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Users\momok\OneDrive\デスクトップ\在庫管理\8月末在庫\"/>
    </mc:Choice>
  </mc:AlternateContent>
  <xr:revisionPtr revIDLastSave="0" documentId="13_ncr:1_{3AFF84BC-FF35-4D75-AB24-92E1D77097A3}" xr6:coauthVersionLast="47" xr6:coauthVersionMax="47" xr10:uidLastSave="{00000000-0000-0000-0000-000000000000}"/>
  <bookViews>
    <workbookView xWindow="-110" yWindow="-110" windowWidth="22780" windowHeight="14540" tabRatio="601" activeTab="1" xr2:uid="{DD56684B-FFFC-4958-93E5-EE67805E8CD3}"/>
  </bookViews>
  <sheets>
    <sheet name="物流情報" sheetId="2" r:id="rId1"/>
    <sheet name="在庫(製品)" sheetId="3" r:id="rId2"/>
    <sheet name="作業用(マスターシート)" sheetId="1" r:id="rId3"/>
    <sheet name="在庫"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1" i="1" l="1"/>
  <c r="E165" i="1"/>
  <c r="E407" i="1" l="1"/>
  <c r="F277" i="1"/>
  <c r="E277" i="1"/>
  <c r="E405" i="1"/>
  <c r="F74" i="1"/>
  <c r="E404" i="1"/>
  <c r="E403" i="1"/>
  <c r="E402" i="1"/>
  <c r="E395" i="1"/>
  <c r="E394" i="1"/>
  <c r="E78" i="1"/>
  <c r="F109" i="1"/>
  <c r="E109" i="1"/>
  <c r="F104" i="1"/>
  <c r="E104" i="1"/>
  <c r="E204" i="1"/>
  <c r="F106" i="1" l="1"/>
  <c r="E106" i="1"/>
  <c r="F213" i="1"/>
  <c r="E213" i="1"/>
  <c r="F428" i="1" l="1"/>
  <c r="E428" i="1"/>
  <c r="E419" i="1"/>
  <c r="F419" i="1"/>
  <c r="E420" i="1"/>
  <c r="F420" i="1"/>
  <c r="E421" i="1"/>
  <c r="F421" i="1"/>
  <c r="E422" i="1"/>
  <c r="F422" i="1"/>
  <c r="E423" i="1"/>
  <c r="F423" i="1"/>
  <c r="E424" i="1"/>
  <c r="F424" i="1"/>
  <c r="E425" i="1"/>
  <c r="F425" i="1"/>
  <c r="E426" i="1"/>
  <c r="F426" i="1"/>
  <c r="F418" i="1"/>
  <c r="E418" i="1"/>
  <c r="E378" i="1" l="1"/>
  <c r="F318" i="1"/>
  <c r="G441" i="1"/>
  <c r="H441" i="1" s="1"/>
  <c r="J441" i="1" s="1"/>
  <c r="G442" i="1"/>
  <c r="H442" i="1" s="1"/>
  <c r="J442" i="1" s="1"/>
  <c r="G443" i="1"/>
  <c r="H443" i="1" s="1"/>
  <c r="J443" i="1" s="1"/>
  <c r="G444" i="1"/>
  <c r="H444" i="1" s="1"/>
  <c r="J444" i="1" s="1"/>
  <c r="G437" i="1"/>
  <c r="G438" i="1"/>
  <c r="G439" i="1"/>
  <c r="G440" i="1"/>
  <c r="G436" i="1"/>
  <c r="F435" i="1" l="1"/>
  <c r="E435" i="1"/>
  <c r="G435" i="1" s="1"/>
  <c r="H435" i="1" s="1"/>
  <c r="J435" i="1" s="1"/>
  <c r="H436" i="1"/>
  <c r="J436" i="1" s="1"/>
  <c r="H437" i="1"/>
  <c r="J437" i="1" s="1"/>
  <c r="H438" i="1"/>
  <c r="J438" i="1" s="1"/>
  <c r="H439" i="1"/>
  <c r="H440" i="1"/>
  <c r="J440" i="1" s="1"/>
  <c r="J439" i="1"/>
  <c r="G416" i="1"/>
  <c r="H416" i="1" s="1"/>
  <c r="J416" i="1" s="1"/>
  <c r="G417" i="1"/>
  <c r="H417" i="1" s="1"/>
  <c r="J417" i="1" s="1"/>
  <c r="G418" i="1"/>
  <c r="H418" i="1" s="1"/>
  <c r="J418" i="1" s="1"/>
  <c r="G419" i="1"/>
  <c r="H419" i="1" s="1"/>
  <c r="J419" i="1" s="1"/>
  <c r="G420" i="1"/>
  <c r="H420" i="1" s="1"/>
  <c r="J420" i="1" s="1"/>
  <c r="G421" i="1"/>
  <c r="H421" i="1" s="1"/>
  <c r="J421" i="1" s="1"/>
  <c r="G422" i="1"/>
  <c r="H422" i="1" s="1"/>
  <c r="J422" i="1" s="1"/>
  <c r="G423" i="1"/>
  <c r="H423" i="1" s="1"/>
  <c r="J423" i="1" s="1"/>
  <c r="G424" i="1"/>
  <c r="H424" i="1" s="1"/>
  <c r="J424" i="1" s="1"/>
  <c r="G425" i="1"/>
  <c r="H425" i="1" s="1"/>
  <c r="J425" i="1" s="1"/>
  <c r="G426" i="1"/>
  <c r="H426" i="1" s="1"/>
  <c r="J426" i="1" s="1"/>
  <c r="G427" i="1"/>
  <c r="H427" i="1" s="1"/>
  <c r="J427" i="1" s="1"/>
  <c r="G428" i="1"/>
  <c r="H428" i="1" s="1"/>
  <c r="J428" i="1" s="1"/>
  <c r="G429" i="1"/>
  <c r="H429" i="1" s="1"/>
  <c r="J429" i="1" s="1"/>
  <c r="G430" i="1"/>
  <c r="H430" i="1" s="1"/>
  <c r="J430" i="1" s="1"/>
  <c r="G431" i="1"/>
  <c r="H431" i="1" s="1"/>
  <c r="J431" i="1" s="1"/>
  <c r="G432" i="1"/>
  <c r="H432" i="1" s="1"/>
  <c r="J432" i="1" s="1"/>
  <c r="G433" i="1"/>
  <c r="H433" i="1" s="1"/>
  <c r="J433" i="1" s="1"/>
  <c r="G434" i="1"/>
  <c r="H434" i="1" s="1"/>
  <c r="J434" i="1" s="1"/>
  <c r="E318" i="1" l="1"/>
  <c r="G415" i="1"/>
  <c r="H415" i="1" s="1"/>
  <c r="J415" i="1" s="1"/>
  <c r="G414" i="1"/>
  <c r="H414" i="1" s="1"/>
  <c r="J414" i="1" s="1"/>
  <c r="F38" i="1" l="1"/>
  <c r="F36" i="1"/>
  <c r="G35" i="1"/>
  <c r="H35" i="1" s="1"/>
  <c r="J35" i="1" s="1"/>
  <c r="G37" i="1"/>
  <c r="H37" i="1" s="1"/>
  <c r="J37" i="1" s="1"/>
  <c r="F255" i="1" l="1"/>
  <c r="E255" i="1"/>
  <c r="E238" i="1" l="1"/>
  <c r="F103" i="1"/>
  <c r="E103" i="1"/>
  <c r="G410" i="1"/>
  <c r="G409" i="1"/>
  <c r="G411" i="1"/>
  <c r="G413" i="1"/>
  <c r="E17" i="1"/>
  <c r="H411" i="1" l="1"/>
  <c r="J411" i="1" s="1"/>
  <c r="E114" i="1"/>
  <c r="E76" i="1" l="1"/>
  <c r="E91" i="1" l="1"/>
  <c r="F297" i="1" l="1"/>
  <c r="E297" i="1"/>
  <c r="F296" i="1"/>
  <c r="E296" i="1"/>
  <c r="F314" i="1"/>
  <c r="E314" i="1"/>
  <c r="F385" i="1"/>
  <c r="E385" i="1"/>
  <c r="F295" i="1"/>
  <c r="E295" i="1"/>
  <c r="E307" i="1" l="1"/>
  <c r="E294" i="1"/>
  <c r="F294" i="1"/>
  <c r="F178" i="1"/>
  <c r="E178" i="1"/>
  <c r="F308" i="1"/>
  <c r="E308" i="1"/>
  <c r="F391" i="1"/>
  <c r="E391" i="1"/>
  <c r="F386" i="1"/>
  <c r="E386" i="1"/>
  <c r="F281" i="1"/>
  <c r="E281" i="1"/>
  <c r="F381" i="1"/>
  <c r="E381" i="1"/>
  <c r="E361" i="1" l="1"/>
  <c r="F361" i="1"/>
  <c r="E362" i="1"/>
  <c r="F362" i="1"/>
  <c r="E363" i="1"/>
  <c r="F363" i="1"/>
  <c r="E360" i="1"/>
  <c r="F360" i="1"/>
  <c r="H410" i="1"/>
  <c r="J410" i="1" s="1"/>
  <c r="H409" i="1"/>
  <c r="J409" i="1" s="1"/>
  <c r="E412" i="1"/>
  <c r="G412" i="1" s="1"/>
  <c r="H412" i="1" s="1"/>
  <c r="J412" i="1" s="1"/>
  <c r="F280" i="1"/>
  <c r="E280" i="1"/>
  <c r="E67" i="1"/>
  <c r="F67" i="1"/>
  <c r="G407" i="1" l="1"/>
  <c r="G408" i="1"/>
  <c r="H408" i="1" s="1"/>
  <c r="J408" i="1" s="1"/>
  <c r="E196" i="1"/>
  <c r="G403" i="1" l="1"/>
  <c r="H403" i="1" s="1"/>
  <c r="G402" i="1"/>
  <c r="H402" i="1" s="1"/>
  <c r="G406" i="1"/>
  <c r="H406" i="1" s="1"/>
  <c r="G405" i="1"/>
  <c r="H405" i="1" s="1"/>
  <c r="G404" i="1"/>
  <c r="H404" i="1" s="1"/>
  <c r="F114" i="1" l="1"/>
  <c r="F203" i="1" l="1"/>
  <c r="E203" i="1"/>
  <c r="F205" i="1"/>
  <c r="E205" i="1"/>
  <c r="E328" i="1" l="1"/>
  <c r="E77" i="1" l="1"/>
  <c r="E202" i="1" l="1"/>
  <c r="E282" i="1" l="1"/>
  <c r="F194" i="1" l="1"/>
  <c r="E194" i="1"/>
  <c r="E393" i="1" l="1"/>
  <c r="F284" i="1" l="1"/>
  <c r="F320" i="1"/>
  <c r="E263" i="1"/>
  <c r="F63" i="1"/>
  <c r="E63" i="1"/>
  <c r="E283" i="1"/>
  <c r="F108" i="1"/>
  <c r="E108" i="1"/>
  <c r="F396" i="1" l="1"/>
  <c r="E398" i="1"/>
  <c r="G400" i="1" l="1"/>
  <c r="H400" i="1" s="1"/>
  <c r="J400" i="1" s="1"/>
  <c r="G401" i="1"/>
  <c r="H401" i="1" s="1"/>
  <c r="J401" i="1" s="1"/>
  <c r="G396" i="1"/>
  <c r="G397" i="1"/>
  <c r="G398" i="1"/>
  <c r="G399" i="1"/>
  <c r="H396" i="1" l="1"/>
  <c r="J396" i="1" s="1"/>
  <c r="H397" i="1"/>
  <c r="J397" i="1" s="1"/>
  <c r="H398" i="1"/>
  <c r="J398" i="1" s="1"/>
  <c r="H399" i="1"/>
  <c r="J399" i="1" s="1"/>
  <c r="G375" i="1" l="1"/>
  <c r="H375" i="1" s="1"/>
  <c r="J375" i="1" s="1"/>
  <c r="G374" i="1"/>
  <c r="H374" i="1" s="1"/>
  <c r="J374" i="1" s="1"/>
  <c r="G373" i="1"/>
  <c r="H373" i="1" s="1"/>
  <c r="J373" i="1" s="1"/>
  <c r="G372" i="1"/>
  <c r="H372" i="1" s="1"/>
  <c r="J372" i="1" s="1"/>
  <c r="G368" i="1"/>
  <c r="H368" i="1" s="1"/>
  <c r="G369" i="1"/>
  <c r="H369" i="1" s="1"/>
  <c r="J369" i="1" s="1"/>
  <c r="G370" i="1"/>
  <c r="H370" i="1" s="1"/>
  <c r="J370" i="1" s="1"/>
  <c r="G371" i="1"/>
  <c r="H371" i="1" s="1"/>
  <c r="J371" i="1" s="1"/>
  <c r="G367" i="1"/>
  <c r="H367" i="1" s="1"/>
  <c r="J367" i="1" s="1"/>
  <c r="F377" i="1"/>
  <c r="F376" i="1"/>
  <c r="J368" i="1" l="1"/>
  <c r="F153" i="1"/>
  <c r="E359" i="1" l="1"/>
  <c r="F359" i="1"/>
  <c r="E358" i="1"/>
  <c r="F358" i="1"/>
  <c r="E357" i="1"/>
  <c r="F357" i="1"/>
  <c r="G357" i="1"/>
  <c r="E356" i="1" l="1"/>
  <c r="F356" i="1"/>
  <c r="F34" i="1" l="1"/>
  <c r="F32" i="1"/>
  <c r="E355" i="1" l="1"/>
  <c r="F355" i="1"/>
  <c r="E354" i="1"/>
  <c r="F354" i="1"/>
  <c r="F188" i="1"/>
  <c r="F187" i="1"/>
  <c r="E188" i="1"/>
  <c r="E187" i="1"/>
  <c r="E234" i="1" l="1"/>
  <c r="G234" i="1" s="1"/>
  <c r="F234" i="1"/>
  <c r="F233" i="1"/>
  <c r="E233" i="1"/>
  <c r="G233" i="1" s="1"/>
  <c r="F338" i="1"/>
  <c r="F379" i="1"/>
  <c r="E379" i="1"/>
  <c r="E351" i="1" l="1"/>
  <c r="G351" i="1" s="1"/>
  <c r="F351" i="1"/>
  <c r="E352" i="1"/>
  <c r="G352" i="1" s="1"/>
  <c r="F352" i="1"/>
  <c r="E353" i="1"/>
  <c r="F353" i="1"/>
  <c r="G353" i="1"/>
  <c r="F86" i="1" l="1"/>
  <c r="F222" i="1"/>
  <c r="F88" i="1"/>
  <c r="E88" i="1"/>
  <c r="E86" i="1"/>
  <c r="E350" i="1" l="1"/>
  <c r="F350" i="1"/>
  <c r="E348" i="1"/>
  <c r="F348" i="1"/>
  <c r="E349" i="1"/>
  <c r="F349" i="1"/>
  <c r="E344" i="1"/>
  <c r="F344" i="1"/>
  <c r="E345" i="1"/>
  <c r="F345" i="1"/>
  <c r="E346" i="1"/>
  <c r="F346" i="1"/>
  <c r="E347" i="1"/>
  <c r="F347" i="1"/>
  <c r="F82" i="1" l="1"/>
  <c r="E82" i="1"/>
  <c r="E34" i="1" l="1"/>
  <c r="E32" i="1"/>
  <c r="E342" i="1" l="1"/>
  <c r="F342" i="1"/>
  <c r="E343" i="1"/>
  <c r="F343" i="1"/>
  <c r="E340" i="1"/>
  <c r="F340" i="1"/>
  <c r="G340" i="1"/>
  <c r="H340" i="1" s="1"/>
  <c r="J340" i="1" s="1"/>
  <c r="F221" i="1" l="1"/>
  <c r="F224" i="1"/>
  <c r="E224" i="1"/>
  <c r="E221" i="1"/>
  <c r="G395" i="1" l="1"/>
  <c r="H395" i="1" s="1"/>
  <c r="G394" i="1"/>
  <c r="H394" i="1" s="1"/>
  <c r="G393" i="1"/>
  <c r="H393" i="1" s="1"/>
  <c r="F380" i="1"/>
  <c r="E380" i="1"/>
  <c r="E341" i="1" l="1"/>
  <c r="F341" i="1"/>
  <c r="E337" i="1"/>
  <c r="F337" i="1"/>
  <c r="F382" i="1" l="1"/>
  <c r="E382" i="1"/>
  <c r="E377" i="1" l="1"/>
  <c r="E376" i="1"/>
  <c r="E275" i="1"/>
  <c r="F275" i="1"/>
  <c r="F199" i="1" l="1"/>
  <c r="E199" i="1"/>
  <c r="F197" i="1"/>
  <c r="E197" i="1"/>
  <c r="F110" i="1"/>
  <c r="E110" i="1"/>
  <c r="F87" i="1"/>
  <c r="E87" i="1"/>
  <c r="F242" i="1" l="1"/>
  <c r="E242" i="1"/>
  <c r="F193" i="1" l="1"/>
  <c r="E193" i="1"/>
  <c r="E195" i="1"/>
  <c r="F195" i="1"/>
  <c r="E222" i="1" l="1"/>
  <c r="E66" i="1" l="1"/>
  <c r="F66" i="1"/>
  <c r="E40" i="1" l="1"/>
  <c r="E310" i="1"/>
  <c r="E251" i="1" l="1"/>
  <c r="F41" i="1"/>
  <c r="F241" i="1"/>
  <c r="E241" i="1"/>
  <c r="F339" i="1" l="1"/>
  <c r="E339" i="1"/>
  <c r="F198" i="1"/>
  <c r="E198" i="1"/>
  <c r="F249" i="1"/>
  <c r="E249" i="1"/>
  <c r="G249" i="1" s="1"/>
  <c r="E248" i="1" l="1"/>
  <c r="F272" i="1"/>
  <c r="E272" i="1"/>
  <c r="F270" i="1"/>
  <c r="F271" i="1"/>
  <c r="E264" i="1"/>
  <c r="F264" i="1"/>
  <c r="F84" i="1" l="1"/>
  <c r="E84" i="1"/>
  <c r="F269" i="1" l="1"/>
  <c r="E269" i="1"/>
  <c r="F212" i="1" l="1"/>
  <c r="E212" i="1"/>
  <c r="F85" i="1" l="1"/>
  <c r="E85" i="1"/>
  <c r="E83" i="1" l="1"/>
  <c r="E41" i="1"/>
  <c r="G41" i="1" s="1"/>
  <c r="G43" i="1"/>
  <c r="H43" i="1" s="1"/>
  <c r="J43" i="1" s="1"/>
  <c r="E334" i="1"/>
  <c r="F334" i="1"/>
  <c r="E335" i="1"/>
  <c r="F335" i="1"/>
  <c r="E336" i="1"/>
  <c r="F336" i="1"/>
  <c r="F333" i="1"/>
  <c r="E333" i="1"/>
  <c r="G272" i="1" l="1"/>
  <c r="G264" i="1"/>
  <c r="F332" i="1" l="1"/>
  <c r="E332" i="1"/>
  <c r="E331" i="1" l="1"/>
  <c r="G331" i="1" s="1"/>
  <c r="H331" i="1" s="1"/>
  <c r="J331" i="1" s="1"/>
  <c r="F331" i="1"/>
  <c r="E320" i="1" l="1"/>
  <c r="E230" i="1" l="1"/>
  <c r="F230" i="1"/>
  <c r="E231" i="1"/>
  <c r="F231" i="1"/>
  <c r="E232" i="1"/>
  <c r="F232" i="1"/>
  <c r="F229" i="1"/>
  <c r="E229" i="1"/>
  <c r="E12" i="1"/>
  <c r="F13" i="1"/>
  <c r="E13" i="1"/>
  <c r="F80" i="1" l="1"/>
  <c r="G381" i="1" l="1"/>
  <c r="H381" i="1" s="1"/>
  <c r="J381" i="1" s="1"/>
  <c r="G382" i="1"/>
  <c r="H382" i="1" s="1"/>
  <c r="J382" i="1" s="1"/>
  <c r="G383" i="1"/>
  <c r="H383" i="1" s="1"/>
  <c r="J383" i="1" s="1"/>
  <c r="G384" i="1"/>
  <c r="H384" i="1" s="1"/>
  <c r="J384" i="1" s="1"/>
  <c r="G385" i="1"/>
  <c r="H385" i="1" s="1"/>
  <c r="J385" i="1" s="1"/>
  <c r="G386" i="1"/>
  <c r="H386" i="1" s="1"/>
  <c r="J386" i="1" s="1"/>
  <c r="G387" i="1"/>
  <c r="H387" i="1" s="1"/>
  <c r="J387" i="1" s="1"/>
  <c r="G388" i="1"/>
  <c r="H388" i="1" s="1"/>
  <c r="J388" i="1" s="1"/>
  <c r="G389" i="1"/>
  <c r="H389" i="1" s="1"/>
  <c r="J389" i="1" s="1"/>
  <c r="G390" i="1"/>
  <c r="H390" i="1" s="1"/>
  <c r="J390" i="1" s="1"/>
  <c r="G391" i="1"/>
  <c r="H391" i="1" s="1"/>
  <c r="J391" i="1" s="1"/>
  <c r="G392" i="1"/>
  <c r="H392" i="1" s="1"/>
  <c r="J392" i="1" s="1"/>
  <c r="E324" i="1" l="1"/>
  <c r="F324" i="1"/>
  <c r="E325" i="1"/>
  <c r="F325" i="1"/>
  <c r="G323" i="1"/>
  <c r="F323" i="1"/>
  <c r="E323" i="1"/>
  <c r="E64" i="1" l="1"/>
  <c r="F274" i="1" l="1"/>
  <c r="E274" i="1"/>
  <c r="E211" i="1" l="1"/>
  <c r="E244" i="1"/>
  <c r="F244" i="1"/>
  <c r="E245" i="1"/>
  <c r="F245" i="1"/>
  <c r="E246" i="1"/>
  <c r="F246" i="1"/>
  <c r="E247" i="1"/>
  <c r="F247" i="1"/>
  <c r="F243" i="1"/>
  <c r="E243" i="1"/>
  <c r="F211" i="1"/>
  <c r="F327" i="1" l="1"/>
  <c r="F329" i="1"/>
  <c r="F330" i="1"/>
  <c r="E327" i="1"/>
  <c r="E329" i="1"/>
  <c r="E330" i="1"/>
  <c r="G330" i="1" s="1"/>
  <c r="H330" i="1" s="1"/>
  <c r="J330" i="1" s="1"/>
  <c r="E33" i="1" l="1"/>
  <c r="G193" i="1"/>
  <c r="H193" i="1" s="1"/>
  <c r="J193" i="1" s="1"/>
  <c r="G380" i="1"/>
  <c r="H380" i="1" s="1"/>
  <c r="J380" i="1" s="1"/>
  <c r="G379" i="1"/>
  <c r="H379" i="1" s="1"/>
  <c r="J379" i="1" s="1"/>
  <c r="F286" i="1" l="1"/>
  <c r="E286" i="1"/>
  <c r="G377" i="1" l="1"/>
  <c r="H377" i="1" s="1"/>
  <c r="J377" i="1" s="1"/>
  <c r="G378" i="1"/>
  <c r="H378" i="1" s="1"/>
  <c r="J378" i="1" s="1"/>
  <c r="F237" i="1"/>
  <c r="F70" i="1"/>
  <c r="E20" i="1" l="1"/>
  <c r="F326" i="1" l="1"/>
  <c r="E326" i="1"/>
  <c r="F282" i="1" l="1"/>
  <c r="F216" i="1"/>
  <c r="E216" i="1"/>
  <c r="E237" i="1"/>
  <c r="E293" i="1" l="1"/>
  <c r="E292" i="1"/>
  <c r="F291" i="1"/>
  <c r="F292" i="1"/>
  <c r="F293" i="1"/>
  <c r="E291" i="1"/>
  <c r="G376" i="1" l="1"/>
  <c r="H376" i="1" s="1"/>
  <c r="J376" i="1" s="1"/>
  <c r="E21" i="1" l="1"/>
  <c r="F273" i="1" l="1"/>
  <c r="E273" i="1"/>
  <c r="E65" i="1" l="1"/>
  <c r="F65" i="1"/>
  <c r="F307" i="1" l="1"/>
  <c r="F306" i="1"/>
  <c r="F305" i="1"/>
  <c r="F304" i="1"/>
  <c r="F303" i="1"/>
  <c r="E306" i="1"/>
  <c r="E305" i="1"/>
  <c r="E304" i="1"/>
  <c r="E303" i="1"/>
  <c r="F175" i="1"/>
  <c r="E175" i="1"/>
  <c r="F172" i="1"/>
  <c r="E172" i="1"/>
  <c r="F156" i="1"/>
  <c r="E156" i="1"/>
  <c r="E271" i="1" l="1"/>
  <c r="E270" i="1"/>
  <c r="E59" i="1" l="1"/>
  <c r="F69" i="1" l="1"/>
  <c r="E7" i="1" l="1"/>
  <c r="E2" i="1" l="1"/>
  <c r="H323" i="1"/>
  <c r="J323" i="1" s="1"/>
  <c r="G324" i="1"/>
  <c r="H324" i="1" s="1"/>
  <c r="J324" i="1" s="1"/>
  <c r="G325" i="1"/>
  <c r="H325" i="1" s="1"/>
  <c r="J325" i="1" s="1"/>
  <c r="G326" i="1"/>
  <c r="H326" i="1" s="1"/>
  <c r="J326" i="1" s="1"/>
  <c r="G327" i="1"/>
  <c r="H327" i="1" s="1"/>
  <c r="J327" i="1" s="1"/>
  <c r="G328" i="1"/>
  <c r="H328" i="1" s="1"/>
  <c r="J328" i="1" s="1"/>
  <c r="G329" i="1"/>
  <c r="H329" i="1" s="1"/>
  <c r="J329" i="1" s="1"/>
  <c r="G332" i="1"/>
  <c r="H332" i="1" s="1"/>
  <c r="J332" i="1" s="1"/>
  <c r="G333" i="1"/>
  <c r="H333" i="1" s="1"/>
  <c r="J333" i="1" s="1"/>
  <c r="G334" i="1"/>
  <c r="H334" i="1" s="1"/>
  <c r="J334" i="1" s="1"/>
  <c r="G335" i="1"/>
  <c r="H335" i="1" s="1"/>
  <c r="J335" i="1" s="1"/>
  <c r="G336" i="1"/>
  <c r="H336" i="1" s="1"/>
  <c r="J336" i="1" s="1"/>
  <c r="G337" i="1"/>
  <c r="H337" i="1" s="1"/>
  <c r="J337" i="1" s="1"/>
  <c r="G338" i="1"/>
  <c r="H338" i="1" s="1"/>
  <c r="J338" i="1" s="1"/>
  <c r="G339" i="1"/>
  <c r="H339" i="1" s="1"/>
  <c r="J339" i="1" s="1"/>
  <c r="G341" i="1"/>
  <c r="H341" i="1" s="1"/>
  <c r="J341" i="1" s="1"/>
  <c r="G342" i="1"/>
  <c r="H342" i="1" s="1"/>
  <c r="J342" i="1" s="1"/>
  <c r="G343" i="1"/>
  <c r="H343" i="1" s="1"/>
  <c r="J343" i="1" s="1"/>
  <c r="G344" i="1"/>
  <c r="H344" i="1" s="1"/>
  <c r="J344" i="1" s="1"/>
  <c r="G345" i="1"/>
  <c r="H345" i="1" s="1"/>
  <c r="J345" i="1" s="1"/>
  <c r="G346" i="1"/>
  <c r="H346" i="1" s="1"/>
  <c r="J346" i="1" s="1"/>
  <c r="G347" i="1"/>
  <c r="H347" i="1" s="1"/>
  <c r="J347" i="1" s="1"/>
  <c r="G348" i="1"/>
  <c r="H348" i="1" s="1"/>
  <c r="J348" i="1" s="1"/>
  <c r="G349" i="1"/>
  <c r="H349" i="1" s="1"/>
  <c r="J349" i="1" s="1"/>
  <c r="G350" i="1"/>
  <c r="H350" i="1" s="1"/>
  <c r="J350" i="1" s="1"/>
  <c r="H351" i="1"/>
  <c r="J351" i="1" s="1"/>
  <c r="H352" i="1"/>
  <c r="J352" i="1" s="1"/>
  <c r="H353" i="1"/>
  <c r="J353" i="1" s="1"/>
  <c r="G354" i="1"/>
  <c r="H354" i="1" s="1"/>
  <c r="J354" i="1" s="1"/>
  <c r="G355" i="1"/>
  <c r="H355" i="1" s="1"/>
  <c r="J355" i="1" s="1"/>
  <c r="G356" i="1"/>
  <c r="H356" i="1" s="1"/>
  <c r="J356" i="1" s="1"/>
  <c r="H357" i="1"/>
  <c r="J357" i="1" s="1"/>
  <c r="G358" i="1"/>
  <c r="H358" i="1" s="1"/>
  <c r="J358" i="1" s="1"/>
  <c r="G359" i="1"/>
  <c r="H359" i="1" s="1"/>
  <c r="J359" i="1" s="1"/>
  <c r="G360" i="1"/>
  <c r="H360" i="1" s="1"/>
  <c r="J360" i="1" s="1"/>
  <c r="G361" i="1"/>
  <c r="H361" i="1" s="1"/>
  <c r="J361" i="1" s="1"/>
  <c r="G362" i="1"/>
  <c r="H362" i="1" s="1"/>
  <c r="J362" i="1" s="1"/>
  <c r="G363" i="1"/>
  <c r="H363" i="1" s="1"/>
  <c r="J363" i="1" s="1"/>
  <c r="G364" i="1"/>
  <c r="H364" i="1" s="1"/>
  <c r="J364" i="1" s="1"/>
  <c r="G365" i="1"/>
  <c r="H365" i="1" s="1"/>
  <c r="J365" i="1" s="1"/>
  <c r="G366" i="1"/>
  <c r="G322" i="1"/>
  <c r="H322" i="1" s="1"/>
  <c r="J322" i="1" s="1"/>
  <c r="H366" i="1" l="1"/>
  <c r="J366" i="1" s="1"/>
  <c r="E160" i="1"/>
  <c r="F7" i="3" l="1"/>
  <c r="E321" i="1" l="1"/>
  <c r="G321" i="1" l="1"/>
  <c r="H321" i="1" s="1"/>
  <c r="J321" i="1" s="1"/>
  <c r="E219" i="1" l="1"/>
  <c r="G320" i="1" l="1"/>
  <c r="H320" i="1" s="1"/>
  <c r="J320" i="1" s="1"/>
  <c r="G312" i="1" l="1"/>
  <c r="H312" i="1" s="1"/>
  <c r="J312" i="1" s="1"/>
  <c r="G313" i="1"/>
  <c r="H313" i="1" s="1"/>
  <c r="J313" i="1" s="1"/>
  <c r="G314" i="1"/>
  <c r="H314" i="1" s="1"/>
  <c r="J314" i="1" s="1"/>
  <c r="G315" i="1"/>
  <c r="H315" i="1" s="1"/>
  <c r="J315" i="1" s="1"/>
  <c r="G316" i="1"/>
  <c r="H316" i="1" s="1"/>
  <c r="J316" i="1" s="1"/>
  <c r="G317" i="1"/>
  <c r="G318" i="1"/>
  <c r="G319" i="1"/>
  <c r="H319" i="1" s="1"/>
  <c r="J319" i="1" s="1"/>
  <c r="G311" i="1"/>
  <c r="H311" i="1" s="1"/>
  <c r="J311" i="1" s="1"/>
  <c r="F262" i="1"/>
  <c r="F261" i="1"/>
  <c r="E261" i="1"/>
  <c r="F102" i="1"/>
  <c r="F285" i="1"/>
  <c r="E285" i="1"/>
  <c r="E102" i="1"/>
  <c r="E27" i="1"/>
  <c r="F27" i="1"/>
  <c r="H318" i="1" l="1"/>
  <c r="J318" i="1" s="1"/>
  <c r="H317" i="1"/>
  <c r="J317" i="1" s="1"/>
  <c r="F68" i="1"/>
  <c r="E68" i="1"/>
  <c r="F107" i="1"/>
  <c r="F105" i="1"/>
  <c r="E107" i="1"/>
  <c r="E105" i="1"/>
  <c r="F158" i="1"/>
  <c r="E158" i="1"/>
  <c r="G84" i="1" l="1"/>
  <c r="G85" i="1"/>
  <c r="G86" i="1"/>
  <c r="G87" i="1"/>
  <c r="G88" i="1"/>
  <c r="G76" i="1"/>
  <c r="G77" i="1"/>
  <c r="G78" i="1"/>
  <c r="G79" i="1"/>
  <c r="G80" i="1"/>
  <c r="F268" i="1"/>
  <c r="F266" i="1"/>
  <c r="F267" i="1"/>
  <c r="F265" i="1"/>
  <c r="E266" i="1"/>
  <c r="E267" i="1"/>
  <c r="E268" i="1"/>
  <c r="E265" i="1"/>
  <c r="F248" i="1" l="1"/>
  <c r="F302" i="1" l="1"/>
  <c r="E302" i="1"/>
  <c r="F301" i="1"/>
  <c r="E301" i="1"/>
  <c r="F300" i="1"/>
  <c r="E300" i="1"/>
  <c r="F101" i="1"/>
  <c r="E101" i="1"/>
  <c r="F99" i="1"/>
  <c r="E99" i="1"/>
  <c r="F290" i="1"/>
  <c r="E290" i="1"/>
  <c r="G290" i="1" s="1"/>
  <c r="H290" i="1" s="1"/>
  <c r="J290" i="1" s="1"/>
  <c r="F180" i="1"/>
  <c r="E180" i="1"/>
  <c r="F179" i="1"/>
  <c r="E179" i="1"/>
  <c r="F174" i="1"/>
  <c r="E174" i="1"/>
  <c r="F260" i="1" l="1"/>
  <c r="F259" i="1"/>
  <c r="F258" i="1"/>
  <c r="F256" i="1"/>
  <c r="F238" i="1"/>
  <c r="F223" i="1"/>
  <c r="F140" i="1"/>
  <c r="F73" i="1"/>
  <c r="F19" i="1"/>
  <c r="F279" i="1"/>
  <c r="F278" i="1"/>
  <c r="E278" i="1"/>
  <c r="E279" i="1"/>
  <c r="F276" i="1" l="1"/>
  <c r="E276" i="1"/>
  <c r="F11" i="3" s="1"/>
  <c r="E119" i="1" l="1"/>
  <c r="D249" i="1" l="1"/>
  <c r="F192" i="1" l="1"/>
  <c r="E192" i="1"/>
  <c r="F154" i="1" l="1"/>
  <c r="E154" i="1"/>
  <c r="F289" i="1" l="1"/>
  <c r="E289" i="1"/>
  <c r="E141" i="1"/>
  <c r="E30" i="1" l="1"/>
  <c r="F287" i="1" l="1"/>
  <c r="E287" i="1"/>
  <c r="F252" i="1"/>
  <c r="E252" i="1"/>
  <c r="E257" i="1"/>
  <c r="E130" i="1" l="1"/>
  <c r="F136" i="1" l="1"/>
  <c r="E136" i="1"/>
  <c r="F125" i="1"/>
  <c r="E125" i="1"/>
  <c r="E262" i="1" l="1"/>
  <c r="F90" i="1"/>
  <c r="E90" i="1"/>
  <c r="G90" i="1" s="1"/>
  <c r="F59" i="1" l="1"/>
  <c r="G59" i="1" s="1"/>
  <c r="E240" i="1" l="1"/>
  <c r="F10" i="3" s="1"/>
  <c r="F16" i="4"/>
  <c r="F15" i="4"/>
  <c r="F13" i="4"/>
  <c r="F9" i="4"/>
  <c r="F4" i="4"/>
  <c r="G241" i="1"/>
  <c r="G242" i="1"/>
  <c r="G243" i="1"/>
  <c r="G244" i="1"/>
  <c r="G245" i="1"/>
  <c r="G246" i="1"/>
  <c r="G247" i="1"/>
  <c r="G248" i="1"/>
  <c r="G206" i="1"/>
  <c r="G236" i="1"/>
  <c r="G310" i="1"/>
  <c r="H310" i="1" s="1"/>
  <c r="J310" i="1" s="1"/>
  <c r="G240" i="1" l="1"/>
  <c r="F17" i="4"/>
  <c r="F14" i="4"/>
  <c r="G17" i="4" l="1"/>
  <c r="H17" i="4" s="1"/>
  <c r="G10" i="3"/>
  <c r="H10" i="3" s="1"/>
  <c r="H240" i="1"/>
  <c r="G14" i="4"/>
  <c r="H14" i="4" s="1"/>
  <c r="F191" i="1"/>
  <c r="E191" i="1"/>
  <c r="F81" i="1" l="1"/>
  <c r="E81" i="1"/>
  <c r="F6" i="3" s="1"/>
  <c r="G81" i="1" l="1"/>
  <c r="F8" i="4"/>
  <c r="G301" i="1"/>
  <c r="H301" i="1" s="1"/>
  <c r="J301" i="1" s="1"/>
  <c r="G302" i="1"/>
  <c r="H302" i="1" s="1"/>
  <c r="J302" i="1" s="1"/>
  <c r="G303" i="1"/>
  <c r="H303" i="1" s="1"/>
  <c r="J303" i="1" s="1"/>
  <c r="G304" i="1"/>
  <c r="H304" i="1" s="1"/>
  <c r="J304" i="1" s="1"/>
  <c r="G305" i="1"/>
  <c r="H305" i="1" s="1"/>
  <c r="J305" i="1" s="1"/>
  <c r="G306" i="1"/>
  <c r="H306" i="1" s="1"/>
  <c r="J306" i="1" s="1"/>
  <c r="G307" i="1"/>
  <c r="H307" i="1" s="1"/>
  <c r="J307" i="1" s="1"/>
  <c r="G308" i="1"/>
  <c r="H308" i="1" s="1"/>
  <c r="J308" i="1" s="1"/>
  <c r="G309" i="1"/>
  <c r="H309" i="1" s="1"/>
  <c r="J309" i="1" s="1"/>
  <c r="G300" i="1"/>
  <c r="H300" i="1" s="1"/>
  <c r="J300" i="1" s="1"/>
  <c r="G291" i="1"/>
  <c r="H291" i="1" s="1"/>
  <c r="J291" i="1" s="1"/>
  <c r="G292" i="1"/>
  <c r="H292" i="1" s="1"/>
  <c r="J292" i="1" s="1"/>
  <c r="G293" i="1"/>
  <c r="H293" i="1" s="1"/>
  <c r="J293" i="1" s="1"/>
  <c r="G294" i="1"/>
  <c r="H294" i="1" s="1"/>
  <c r="J294" i="1" s="1"/>
  <c r="G295" i="1"/>
  <c r="H295" i="1" s="1"/>
  <c r="J295" i="1" s="1"/>
  <c r="G296" i="1"/>
  <c r="H296" i="1" s="1"/>
  <c r="J296" i="1" s="1"/>
  <c r="G297" i="1"/>
  <c r="H297" i="1" s="1"/>
  <c r="J297" i="1" s="1"/>
  <c r="G298" i="1"/>
  <c r="H298" i="1" s="1"/>
  <c r="J298" i="1" s="1"/>
  <c r="G299" i="1"/>
  <c r="H299" i="1" s="1"/>
  <c r="J299" i="1" s="1"/>
  <c r="G289" i="1"/>
  <c r="E73" i="1" l="1"/>
  <c r="E256" i="1"/>
  <c r="E239" i="1"/>
  <c r="E186" i="1"/>
  <c r="E25" i="1" l="1"/>
  <c r="F89" i="1" l="1"/>
  <c r="E89" i="1"/>
  <c r="F288" i="1" l="1"/>
  <c r="E288" i="1"/>
  <c r="G288" i="1" s="1"/>
  <c r="H288" i="1" s="1"/>
  <c r="J288" i="1" s="1"/>
  <c r="F254" i="1"/>
  <c r="E254" i="1"/>
  <c r="H289" i="1"/>
  <c r="J289" i="1" s="1"/>
  <c r="G283" i="1"/>
  <c r="H283" i="1" s="1"/>
  <c r="J283" i="1" s="1"/>
  <c r="G284" i="1"/>
  <c r="H284" i="1" s="1"/>
  <c r="J284" i="1" s="1"/>
  <c r="G285" i="1"/>
  <c r="H285" i="1" s="1"/>
  <c r="J285" i="1" s="1"/>
  <c r="G286" i="1"/>
  <c r="H286" i="1" s="1"/>
  <c r="J286" i="1" s="1"/>
  <c r="G287" i="1"/>
  <c r="H287" i="1" s="1"/>
  <c r="J287" i="1" s="1"/>
  <c r="F253" i="1"/>
  <c r="E253" i="1"/>
  <c r="F218" i="1" l="1"/>
  <c r="E218" i="1"/>
  <c r="F263" i="1" l="1"/>
  <c r="F26" i="1"/>
  <c r="F239" i="1" l="1"/>
  <c r="G239" i="1" s="1"/>
  <c r="E135" i="1" l="1"/>
  <c r="E134" i="1"/>
  <c r="E133" i="1"/>
  <c r="E132" i="1"/>
  <c r="E131" i="1"/>
  <c r="E129" i="1"/>
  <c r="F177" i="1" l="1"/>
  <c r="F176" i="1"/>
  <c r="F173" i="1"/>
  <c r="F171" i="1"/>
  <c r="F170" i="1"/>
  <c r="E177" i="1"/>
  <c r="E176" i="1"/>
  <c r="E173" i="1"/>
  <c r="E171" i="1"/>
  <c r="E170" i="1"/>
  <c r="G262" i="1" l="1"/>
  <c r="H262" i="1" s="1"/>
  <c r="J262" i="1" s="1"/>
  <c r="G263" i="1"/>
  <c r="H263" i="1" s="1"/>
  <c r="J263" i="1" s="1"/>
  <c r="G265" i="1"/>
  <c r="G266" i="1"/>
  <c r="H266" i="1" s="1"/>
  <c r="J266" i="1" s="1"/>
  <c r="G267" i="1"/>
  <c r="H267" i="1" s="1"/>
  <c r="J267" i="1" s="1"/>
  <c r="G268" i="1"/>
  <c r="H268" i="1" s="1"/>
  <c r="J268" i="1" s="1"/>
  <c r="G269" i="1"/>
  <c r="H269" i="1" s="1"/>
  <c r="J269" i="1" s="1"/>
  <c r="G270" i="1"/>
  <c r="H270" i="1" s="1"/>
  <c r="J270" i="1" s="1"/>
  <c r="G271" i="1"/>
  <c r="H271" i="1" s="1"/>
  <c r="J271" i="1" s="1"/>
  <c r="H272" i="1"/>
  <c r="J272" i="1" s="1"/>
  <c r="G273" i="1"/>
  <c r="H273" i="1" s="1"/>
  <c r="J273" i="1" s="1"/>
  <c r="G274" i="1"/>
  <c r="H274" i="1" s="1"/>
  <c r="J274" i="1" s="1"/>
  <c r="G275" i="1"/>
  <c r="H275" i="1" s="1"/>
  <c r="J275" i="1" s="1"/>
  <c r="G276" i="1"/>
  <c r="H276" i="1" s="1"/>
  <c r="J276" i="1" s="1"/>
  <c r="G277" i="1"/>
  <c r="H277" i="1" s="1"/>
  <c r="J277" i="1" s="1"/>
  <c r="G278" i="1"/>
  <c r="H278" i="1" s="1"/>
  <c r="J278" i="1" s="1"/>
  <c r="G279" i="1"/>
  <c r="H279" i="1" s="1"/>
  <c r="J279" i="1" s="1"/>
  <c r="G280" i="1"/>
  <c r="H280" i="1" s="1"/>
  <c r="J280" i="1" s="1"/>
  <c r="G281" i="1"/>
  <c r="H281" i="1" s="1"/>
  <c r="J281" i="1" s="1"/>
  <c r="G282" i="1"/>
  <c r="H282" i="1" s="1"/>
  <c r="J282" i="1" s="1"/>
  <c r="G261" i="1"/>
  <c r="H261" i="1" s="1"/>
  <c r="J261" i="1" s="1"/>
  <c r="H19" i="1"/>
  <c r="H74" i="1"/>
  <c r="H75" i="1"/>
  <c r="H76" i="1"/>
  <c r="H77" i="1"/>
  <c r="H78" i="1"/>
  <c r="H79" i="1"/>
  <c r="H81" i="1"/>
  <c r="H84" i="1"/>
  <c r="H85" i="1"/>
  <c r="H86" i="1"/>
  <c r="H87" i="1"/>
  <c r="H88" i="1"/>
  <c r="H90" i="1"/>
  <c r="H241" i="1"/>
  <c r="H242" i="1"/>
  <c r="H243" i="1"/>
  <c r="H244" i="1"/>
  <c r="H245" i="1"/>
  <c r="H246" i="1"/>
  <c r="H247" i="1"/>
  <c r="H248" i="1"/>
  <c r="H249" i="1"/>
  <c r="E260" i="1"/>
  <c r="G260" i="1" s="1"/>
  <c r="H265" i="1" l="1"/>
  <c r="J265" i="1" s="1"/>
  <c r="G11" i="3"/>
  <c r="H11" i="3" s="1"/>
  <c r="H264" i="1"/>
  <c r="J264" i="1" s="1"/>
  <c r="J260" i="1"/>
  <c r="H260" i="1"/>
  <c r="E259" i="1" l="1"/>
  <c r="E258" i="1"/>
  <c r="E228" i="1"/>
  <c r="E227" i="1"/>
  <c r="G25" i="1" l="1"/>
  <c r="H25" i="1" s="1"/>
  <c r="F162" i="1" l="1"/>
  <c r="E162" i="1"/>
  <c r="E140" i="1" l="1"/>
  <c r="E93" i="1"/>
  <c r="E19" i="1" l="1"/>
  <c r="E226" i="1" l="1"/>
  <c r="G83" i="1" l="1"/>
  <c r="H83" i="1" s="1"/>
  <c r="F6" i="4"/>
  <c r="E53" i="1"/>
  <c r="F5" i="4" s="1"/>
  <c r="E223" i="1" l="1"/>
  <c r="G259" i="1" l="1"/>
  <c r="H259" i="1" s="1"/>
  <c r="G258" i="1"/>
  <c r="J258" i="1" l="1"/>
  <c r="H258" i="1"/>
  <c r="J259" i="1"/>
  <c r="G257" i="1"/>
  <c r="G256" i="1"/>
  <c r="G251" i="1"/>
  <c r="G252" i="1"/>
  <c r="G253" i="1"/>
  <c r="G254" i="1"/>
  <c r="G255" i="1"/>
  <c r="G250" i="1"/>
  <c r="H250" i="1" s="1"/>
  <c r="H236" i="1"/>
  <c r="J236" i="1" s="1"/>
  <c r="G6" i="1"/>
  <c r="H252" i="1" l="1"/>
  <c r="J252" i="1" s="1"/>
  <c r="H256" i="1"/>
  <c r="J256" i="1" s="1"/>
  <c r="H255" i="1"/>
  <c r="J255" i="1" s="1"/>
  <c r="H254" i="1"/>
  <c r="J254" i="1" s="1"/>
  <c r="H253" i="1"/>
  <c r="J253" i="1" s="1"/>
  <c r="H251" i="1"/>
  <c r="J251" i="1" s="1"/>
  <c r="H257" i="1"/>
  <c r="J257" i="1" s="1"/>
  <c r="H6" i="1"/>
  <c r="J6" i="1" s="1"/>
  <c r="J250" i="1"/>
  <c r="F7" i="4" l="1"/>
  <c r="G237" i="1" l="1"/>
  <c r="H237" i="1" s="1"/>
  <c r="E71" i="1" l="1"/>
  <c r="E47" i="1"/>
  <c r="G47" i="1" s="1"/>
  <c r="H47" i="1" s="1"/>
  <c r="J240" i="1" l="1"/>
  <c r="J241" i="1"/>
  <c r="J242" i="1"/>
  <c r="J243" i="1"/>
  <c r="J244" i="1"/>
  <c r="J245" i="1"/>
  <c r="J246" i="1"/>
  <c r="J247" i="1"/>
  <c r="J248" i="1"/>
  <c r="J249" i="1"/>
  <c r="E18" i="1" l="1"/>
  <c r="F10" i="4" s="1"/>
  <c r="G238" i="1"/>
  <c r="H239" i="1" l="1"/>
  <c r="J239" i="1" s="1"/>
  <c r="H238" i="1"/>
  <c r="J238" i="1" s="1"/>
  <c r="J237" i="1"/>
  <c r="G142" i="1"/>
  <c r="G143" i="1"/>
  <c r="G144" i="1"/>
  <c r="G145" i="1"/>
  <c r="G146" i="1"/>
  <c r="G147" i="1"/>
  <c r="G148" i="1"/>
  <c r="G149" i="1"/>
  <c r="G230" i="1"/>
  <c r="G231" i="1"/>
  <c r="G232" i="1"/>
  <c r="G235" i="1"/>
  <c r="G229" i="1"/>
  <c r="F11" i="4"/>
  <c r="H148" i="1" l="1"/>
  <c r="J148" i="1" s="1"/>
  <c r="H146" i="1"/>
  <c r="J146" i="1" s="1"/>
  <c r="H229" i="1"/>
  <c r="J229" i="1" s="1"/>
  <c r="H143" i="1"/>
  <c r="J143" i="1" s="1"/>
  <c r="H142" i="1"/>
  <c r="J142" i="1" s="1"/>
  <c r="H233" i="1"/>
  <c r="J233" i="1" s="1"/>
  <c r="H147" i="1"/>
  <c r="J147" i="1" s="1"/>
  <c r="H145" i="1"/>
  <c r="J145" i="1" s="1"/>
  <c r="H144" i="1"/>
  <c r="J144" i="1" s="1"/>
  <c r="H235" i="1"/>
  <c r="J235" i="1" s="1"/>
  <c r="H234" i="1"/>
  <c r="J234" i="1" s="1"/>
  <c r="H232" i="1"/>
  <c r="J232" i="1" s="1"/>
  <c r="H231" i="1"/>
  <c r="J231" i="1" s="1"/>
  <c r="H230" i="1"/>
  <c r="J230" i="1" s="1"/>
  <c r="H149" i="1"/>
  <c r="J149" i="1" s="1"/>
  <c r="G228" i="1"/>
  <c r="H228" i="1" s="1"/>
  <c r="G227" i="1"/>
  <c r="J227" i="1" l="1"/>
  <c r="H227" i="1"/>
  <c r="J228" i="1"/>
  <c r="G226" i="1"/>
  <c r="H226" i="1" s="1"/>
  <c r="G223" i="1"/>
  <c r="G222" i="1"/>
  <c r="G220" i="1"/>
  <c r="G219" i="1"/>
  <c r="G218" i="1"/>
  <c r="G189" i="1"/>
  <c r="G188" i="1"/>
  <c r="G187" i="1"/>
  <c r="G191" i="1"/>
  <c r="G174" i="1"/>
  <c r="G224" i="1"/>
  <c r="G221" i="1"/>
  <c r="G225" i="1"/>
  <c r="G217" i="1"/>
  <c r="H221" i="1" l="1"/>
  <c r="J221" i="1" s="1"/>
  <c r="H224" i="1"/>
  <c r="J224" i="1" s="1"/>
  <c r="J174" i="1"/>
  <c r="H174" i="1"/>
  <c r="H191" i="1"/>
  <c r="J191" i="1" s="1"/>
  <c r="H187" i="1"/>
  <c r="J187" i="1" s="1"/>
  <c r="H188" i="1"/>
  <c r="J188" i="1" s="1"/>
  <c r="H189" i="1"/>
  <c r="J189" i="1" s="1"/>
  <c r="H218" i="1"/>
  <c r="J218" i="1" s="1"/>
  <c r="H219" i="1"/>
  <c r="J219" i="1" s="1"/>
  <c r="H220" i="1"/>
  <c r="J220" i="1" s="1"/>
  <c r="H217" i="1"/>
  <c r="J217" i="1" s="1"/>
  <c r="H222" i="1"/>
  <c r="J222" i="1" s="1"/>
  <c r="H225" i="1"/>
  <c r="J225" i="1" s="1"/>
  <c r="H223" i="1"/>
  <c r="J223" i="1" s="1"/>
  <c r="J226" i="1"/>
  <c r="G214" i="1"/>
  <c r="G215" i="1"/>
  <c r="G216" i="1"/>
  <c r="G212" i="1"/>
  <c r="G213" i="1"/>
  <c r="G192" i="1"/>
  <c r="H192" i="1" s="1"/>
  <c r="G194" i="1"/>
  <c r="H194" i="1" s="1"/>
  <c r="G195" i="1"/>
  <c r="G196" i="1"/>
  <c r="G197" i="1"/>
  <c r="G198" i="1"/>
  <c r="G199" i="1"/>
  <c r="G200" i="1"/>
  <c r="G201" i="1"/>
  <c r="G202" i="1"/>
  <c r="G203" i="1"/>
  <c r="G204" i="1"/>
  <c r="G205" i="1"/>
  <c r="G207" i="1"/>
  <c r="G208" i="1"/>
  <c r="G209" i="1"/>
  <c r="G210" i="1"/>
  <c r="G211" i="1"/>
  <c r="H205" i="1" l="1"/>
  <c r="J205" i="1" s="1"/>
  <c r="H204" i="1"/>
  <c r="J204" i="1" s="1"/>
  <c r="H203" i="1"/>
  <c r="J203" i="1" s="1"/>
  <c r="H202" i="1"/>
  <c r="J202" i="1" s="1"/>
  <c r="H201" i="1"/>
  <c r="J201" i="1" s="1"/>
  <c r="H215" i="1"/>
  <c r="J215" i="1" s="1"/>
  <c r="H211" i="1"/>
  <c r="J211" i="1" s="1"/>
  <c r="H199" i="1"/>
  <c r="J199" i="1" s="1"/>
  <c r="H214" i="1"/>
  <c r="J214" i="1" s="1"/>
  <c r="H210" i="1"/>
  <c r="J210" i="1" s="1"/>
  <c r="H198" i="1"/>
  <c r="J198" i="1" s="1"/>
  <c r="H213" i="1"/>
  <c r="J213" i="1" s="1"/>
  <c r="H212" i="1"/>
  <c r="J212" i="1" s="1"/>
  <c r="H216" i="1"/>
  <c r="J216" i="1" s="1"/>
  <c r="H200" i="1"/>
  <c r="J200" i="1" s="1"/>
  <c r="H209" i="1"/>
  <c r="J209" i="1" s="1"/>
  <c r="H197" i="1"/>
  <c r="J197" i="1" s="1"/>
  <c r="H208" i="1"/>
  <c r="J208" i="1" s="1"/>
  <c r="H196" i="1"/>
  <c r="J196" i="1" s="1"/>
  <c r="H207" i="1"/>
  <c r="J207" i="1" s="1"/>
  <c r="H195" i="1"/>
  <c r="J195" i="1" s="1"/>
  <c r="H206" i="1"/>
  <c r="J206" i="1" s="1"/>
  <c r="J192" i="1"/>
  <c r="J194" i="1"/>
  <c r="G190" i="1"/>
  <c r="H190" i="1" l="1"/>
  <c r="J190" i="1" s="1"/>
  <c r="H59" i="1"/>
  <c r="G91" i="1"/>
  <c r="H91" i="1" s="1"/>
  <c r="G82" i="1"/>
  <c r="H82" i="1" s="1"/>
  <c r="G64" i="1"/>
  <c r="H64" i="1" s="1"/>
  <c r="G56" i="1"/>
  <c r="H56" i="1" s="1"/>
  <c r="G55" i="1"/>
  <c r="H55" i="1" s="1"/>
  <c r="G54" i="1"/>
  <c r="H54" i="1" s="1"/>
  <c r="G49" i="1"/>
  <c r="H49" i="1" s="1"/>
  <c r="G181" i="1" l="1"/>
  <c r="H181" i="1" s="1"/>
  <c r="G182" i="1"/>
  <c r="H182" i="1" s="1"/>
  <c r="G183" i="1"/>
  <c r="H183" i="1" s="1"/>
  <c r="G184" i="1"/>
  <c r="H184" i="1" s="1"/>
  <c r="G185" i="1"/>
  <c r="H185" i="1" s="1"/>
  <c r="G186" i="1"/>
  <c r="H186" i="1" s="1"/>
  <c r="G180" i="1"/>
  <c r="G179" i="1"/>
  <c r="G178" i="1"/>
  <c r="H178" i="1" s="1"/>
  <c r="G177" i="1"/>
  <c r="G176" i="1"/>
  <c r="H176" i="1" s="1"/>
  <c r="G175" i="1"/>
  <c r="H175" i="1" s="1"/>
  <c r="G173" i="1"/>
  <c r="G172" i="1"/>
  <c r="G171" i="1"/>
  <c r="H171" i="1" s="1"/>
  <c r="G170" i="1"/>
  <c r="H170" i="1" s="1"/>
  <c r="E57" i="1"/>
  <c r="G101" i="1"/>
  <c r="H101" i="1" s="1"/>
  <c r="G100" i="1"/>
  <c r="H100" i="1" s="1"/>
  <c r="G99" i="1"/>
  <c r="G98" i="1"/>
  <c r="G97" i="1"/>
  <c r="H97" i="1" s="1"/>
  <c r="G96" i="1"/>
  <c r="G95" i="1"/>
  <c r="H95" i="1" s="1"/>
  <c r="G73" i="1"/>
  <c r="H73" i="1" s="1"/>
  <c r="J98" i="1" l="1"/>
  <c r="H98" i="1"/>
  <c r="J179" i="1"/>
  <c r="H179" i="1"/>
  <c r="J96" i="1"/>
  <c r="H96" i="1"/>
  <c r="J177" i="1"/>
  <c r="H177" i="1"/>
  <c r="J99" i="1"/>
  <c r="H99" i="1"/>
  <c r="J180" i="1"/>
  <c r="H180" i="1"/>
  <c r="J172" i="1"/>
  <c r="H172" i="1"/>
  <c r="J173" i="1"/>
  <c r="H173" i="1"/>
  <c r="J171" i="1"/>
  <c r="J184" i="1"/>
  <c r="J186" i="1"/>
  <c r="J183" i="1"/>
  <c r="J182" i="1"/>
  <c r="J185" i="1"/>
  <c r="J181" i="1"/>
  <c r="J170" i="1"/>
  <c r="J176" i="1"/>
  <c r="J178" i="1"/>
  <c r="J175" i="1"/>
  <c r="J95" i="1"/>
  <c r="J100" i="1"/>
  <c r="J101" i="1"/>
  <c r="J97" i="1"/>
  <c r="E58" i="1" l="1"/>
  <c r="G58" i="1" l="1"/>
  <c r="H58" i="1" s="1"/>
  <c r="F2" i="3"/>
  <c r="E94" i="1"/>
  <c r="F2" i="4" s="1"/>
  <c r="G153" i="1"/>
  <c r="G154" i="1"/>
  <c r="G155" i="1"/>
  <c r="G156" i="1"/>
  <c r="G157" i="1"/>
  <c r="G158" i="1"/>
  <c r="G159" i="1"/>
  <c r="G160" i="1"/>
  <c r="G161" i="1"/>
  <c r="G162" i="1"/>
  <c r="G163" i="1"/>
  <c r="G164" i="1"/>
  <c r="G165" i="1"/>
  <c r="G166" i="1"/>
  <c r="G167" i="1"/>
  <c r="G168" i="1"/>
  <c r="G169" i="1"/>
  <c r="H166" i="1" l="1"/>
  <c r="J166" i="1" s="1"/>
  <c r="H156" i="1"/>
  <c r="J156" i="1" s="1"/>
  <c r="H168" i="1"/>
  <c r="J168" i="1" s="1"/>
  <c r="H165" i="1"/>
  <c r="J165" i="1" s="1"/>
  <c r="H164" i="1"/>
  <c r="J164" i="1" s="1"/>
  <c r="H163" i="1"/>
  <c r="J163" i="1" s="1"/>
  <c r="H155" i="1"/>
  <c r="J155" i="1" s="1"/>
  <c r="H154" i="1"/>
  <c r="J154" i="1" s="1"/>
  <c r="H153" i="1"/>
  <c r="J153" i="1" s="1"/>
  <c r="H167" i="1"/>
  <c r="J167" i="1" s="1"/>
  <c r="H157" i="1"/>
  <c r="J157" i="1" s="1"/>
  <c r="H162" i="1"/>
  <c r="J162" i="1" s="1"/>
  <c r="H161" i="1"/>
  <c r="J161" i="1" s="1"/>
  <c r="H160" i="1"/>
  <c r="J160" i="1" s="1"/>
  <c r="H159" i="1"/>
  <c r="J159" i="1" s="1"/>
  <c r="H169" i="1"/>
  <c r="J169" i="1" s="1"/>
  <c r="H158" i="1"/>
  <c r="J158" i="1" s="1"/>
  <c r="G150" i="1"/>
  <c r="G151" i="1"/>
  <c r="G152" i="1"/>
  <c r="H152" i="1" l="1"/>
  <c r="J152" i="1" s="1"/>
  <c r="H151" i="1"/>
  <c r="J151" i="1" s="1"/>
  <c r="H150" i="1"/>
  <c r="J150" i="1" s="1"/>
  <c r="E138" i="1"/>
  <c r="G141" i="1"/>
  <c r="G140" i="1"/>
  <c r="G139" i="1"/>
  <c r="H139" i="1" l="1"/>
  <c r="J139" i="1" s="1"/>
  <c r="H140" i="1"/>
  <c r="J140" i="1" s="1"/>
  <c r="H141" i="1"/>
  <c r="J141" i="1" s="1"/>
  <c r="G138" i="1"/>
  <c r="G137" i="1"/>
  <c r="H41" i="1" l="1"/>
  <c r="H137" i="1"/>
  <c r="J137" i="1" s="1"/>
  <c r="H138" i="1"/>
  <c r="J138" i="1" s="1"/>
  <c r="G136" i="1"/>
  <c r="G120" i="1"/>
  <c r="G121" i="1"/>
  <c r="G122" i="1"/>
  <c r="G123" i="1"/>
  <c r="G124" i="1"/>
  <c r="G125" i="1"/>
  <c r="G126" i="1"/>
  <c r="G127" i="1"/>
  <c r="G128" i="1"/>
  <c r="G129" i="1"/>
  <c r="G130" i="1"/>
  <c r="G131" i="1"/>
  <c r="G132" i="1"/>
  <c r="G133" i="1"/>
  <c r="G134" i="1"/>
  <c r="G135" i="1"/>
  <c r="G115" i="1"/>
  <c r="G116" i="1"/>
  <c r="G117" i="1"/>
  <c r="G118" i="1"/>
  <c r="G119" i="1"/>
  <c r="G114" i="1"/>
  <c r="G111" i="1"/>
  <c r="G112" i="1"/>
  <c r="G113" i="1"/>
  <c r="G110" i="1"/>
  <c r="G102" i="1"/>
  <c r="G103" i="1"/>
  <c r="G104" i="1"/>
  <c r="G105" i="1"/>
  <c r="G106" i="1"/>
  <c r="G107" i="1"/>
  <c r="G108" i="1"/>
  <c r="G109" i="1"/>
  <c r="H105" i="1" l="1"/>
  <c r="J105" i="1" s="1"/>
  <c r="H117" i="1"/>
  <c r="J117" i="1" s="1"/>
  <c r="H126" i="1"/>
  <c r="J126" i="1" s="1"/>
  <c r="H104" i="1"/>
  <c r="J104" i="1" s="1"/>
  <c r="H116" i="1"/>
  <c r="J116" i="1" s="1"/>
  <c r="H125" i="1"/>
  <c r="J125" i="1" s="1"/>
  <c r="H103" i="1"/>
  <c r="J103" i="1" s="1"/>
  <c r="H115" i="1"/>
  <c r="J115" i="1" s="1"/>
  <c r="H124" i="1"/>
  <c r="J124" i="1" s="1"/>
  <c r="H102" i="1"/>
  <c r="J102" i="1" s="1"/>
  <c r="H135" i="1"/>
  <c r="J135" i="1" s="1"/>
  <c r="H123" i="1"/>
  <c r="J123" i="1" s="1"/>
  <c r="H134" i="1"/>
  <c r="J134" i="1" s="1"/>
  <c r="H122" i="1"/>
  <c r="J122" i="1" s="1"/>
  <c r="H110" i="1"/>
  <c r="J110" i="1" s="1"/>
  <c r="H133" i="1"/>
  <c r="J133" i="1" s="1"/>
  <c r="H121" i="1"/>
  <c r="J121" i="1" s="1"/>
  <c r="H113" i="1"/>
  <c r="J113" i="1" s="1"/>
  <c r="H132" i="1"/>
  <c r="J132" i="1" s="1"/>
  <c r="H120" i="1"/>
  <c r="J120" i="1" s="1"/>
  <c r="H112" i="1"/>
  <c r="J112" i="1" s="1"/>
  <c r="H131" i="1"/>
  <c r="J131" i="1" s="1"/>
  <c r="H136" i="1"/>
  <c r="J136" i="1" s="1"/>
  <c r="H109" i="1"/>
  <c r="J109" i="1" s="1"/>
  <c r="H111" i="1"/>
  <c r="J111" i="1" s="1"/>
  <c r="H130" i="1"/>
  <c r="J130" i="1" s="1"/>
  <c r="H108" i="1"/>
  <c r="J108" i="1" s="1"/>
  <c r="H114" i="1"/>
  <c r="J114" i="1" s="1"/>
  <c r="H129" i="1"/>
  <c r="J129" i="1" s="1"/>
  <c r="H107" i="1"/>
  <c r="J107" i="1" s="1"/>
  <c r="H119" i="1"/>
  <c r="J119" i="1" s="1"/>
  <c r="H128" i="1"/>
  <c r="J128" i="1" s="1"/>
  <c r="H106" i="1"/>
  <c r="J106" i="1" s="1"/>
  <c r="H118" i="1"/>
  <c r="J118" i="1" s="1"/>
  <c r="H127" i="1"/>
  <c r="J127" i="1" s="1"/>
  <c r="F8" i="3"/>
  <c r="H80" i="1"/>
  <c r="E31" i="1"/>
  <c r="G94" i="1" l="1"/>
  <c r="H94" i="1" l="1"/>
  <c r="J94" i="1" s="1"/>
  <c r="G92" i="1"/>
  <c r="G93" i="1"/>
  <c r="H93" i="1" l="1"/>
  <c r="J93" i="1" s="1"/>
  <c r="H92" i="1"/>
  <c r="J92" i="1" s="1"/>
  <c r="J91" i="1"/>
  <c r="J25" i="1"/>
  <c r="F5" i="3" l="1"/>
  <c r="J90" i="1"/>
  <c r="G8" i="1" l="1"/>
  <c r="H8" i="1" l="1"/>
  <c r="J8" i="1" s="1"/>
  <c r="F4" i="3"/>
  <c r="E9" i="1" l="1"/>
  <c r="F12" i="4" s="1"/>
  <c r="E44" i="1"/>
  <c r="F3" i="4" s="1"/>
  <c r="G89" i="1"/>
  <c r="G6" i="4" s="1"/>
  <c r="H6" i="4" s="1"/>
  <c r="J81" i="1"/>
  <c r="J82" i="1"/>
  <c r="J83" i="1"/>
  <c r="J84" i="1"/>
  <c r="J85" i="1"/>
  <c r="J86" i="1"/>
  <c r="J87" i="1"/>
  <c r="J88" i="1"/>
  <c r="J75" i="1"/>
  <c r="J76" i="1"/>
  <c r="J77" i="1"/>
  <c r="J78" i="1"/>
  <c r="J79" i="1"/>
  <c r="J80" i="1"/>
  <c r="J74" i="1"/>
  <c r="G21" i="1"/>
  <c r="G9" i="4" l="1"/>
  <c r="H9" i="4" s="1"/>
  <c r="G7" i="3"/>
  <c r="H89" i="1"/>
  <c r="J89" i="1" s="1"/>
  <c r="H21" i="1"/>
  <c r="J21" i="1" s="1"/>
  <c r="G72" i="1" l="1"/>
  <c r="J73" i="1"/>
  <c r="G30" i="1"/>
  <c r="H30" i="1" s="1"/>
  <c r="H72" i="1" l="1"/>
  <c r="J72" i="1" s="1"/>
  <c r="F9" i="3"/>
  <c r="J64" i="1" l="1"/>
  <c r="G11" i="1" l="1"/>
  <c r="G7" i="1"/>
  <c r="H7" i="1" l="1"/>
  <c r="J7" i="1" s="1"/>
  <c r="H11" i="1"/>
  <c r="J11" i="1" s="1"/>
  <c r="G20" i="1"/>
  <c r="G8" i="4" s="1"/>
  <c r="H8" i="4" s="1"/>
  <c r="F3" i="3"/>
  <c r="G63" i="1"/>
  <c r="G62" i="1"/>
  <c r="H20" i="1" l="1"/>
  <c r="J20" i="1" s="1"/>
  <c r="H62" i="1"/>
  <c r="J62" i="1" s="1"/>
  <c r="H63" i="1"/>
  <c r="J63" i="1" s="1"/>
  <c r="G65" i="1"/>
  <c r="G66" i="1"/>
  <c r="G67" i="1"/>
  <c r="G68" i="1"/>
  <c r="G69" i="1"/>
  <c r="G70" i="1"/>
  <c r="G71" i="1"/>
  <c r="H71" i="1" l="1"/>
  <c r="J71" i="1" s="1"/>
  <c r="H70" i="1"/>
  <c r="J70" i="1" s="1"/>
  <c r="H69" i="1"/>
  <c r="J69" i="1" s="1"/>
  <c r="H68" i="1"/>
  <c r="J68" i="1" s="1"/>
  <c r="H67" i="1"/>
  <c r="J67" i="1" s="1"/>
  <c r="H66" i="1"/>
  <c r="J66" i="1" s="1"/>
  <c r="H65" i="1"/>
  <c r="J65" i="1" s="1"/>
  <c r="G60" i="1"/>
  <c r="G61" i="1"/>
  <c r="H61" i="1" l="1"/>
  <c r="J61" i="1" s="1"/>
  <c r="H60" i="1"/>
  <c r="J60" i="1" s="1"/>
  <c r="J54" i="1"/>
  <c r="J55" i="1"/>
  <c r="J56" i="1"/>
  <c r="G57" i="1"/>
  <c r="J58" i="1"/>
  <c r="J59" i="1"/>
  <c r="G38" i="1"/>
  <c r="G39" i="1"/>
  <c r="G40" i="1"/>
  <c r="J41" i="1"/>
  <c r="G42" i="1"/>
  <c r="G44" i="1"/>
  <c r="G45" i="1"/>
  <c r="G46" i="1"/>
  <c r="J47" i="1"/>
  <c r="G48" i="1"/>
  <c r="J49" i="1"/>
  <c r="G50" i="1"/>
  <c r="G51" i="1"/>
  <c r="G52" i="1"/>
  <c r="G53" i="1"/>
  <c r="G36" i="1"/>
  <c r="G26" i="1"/>
  <c r="G27" i="1"/>
  <c r="G28" i="1"/>
  <c r="G16" i="4" s="1"/>
  <c r="H16" i="4" s="1"/>
  <c r="G29" i="1"/>
  <c r="G15" i="4" s="1"/>
  <c r="H15" i="4" s="1"/>
  <c r="J30" i="1"/>
  <c r="G31" i="1"/>
  <c r="G32" i="1"/>
  <c r="G33" i="1"/>
  <c r="G34" i="1"/>
  <c r="G5" i="1"/>
  <c r="G13" i="4" s="1"/>
  <c r="H13" i="4" s="1"/>
  <c r="G9" i="1"/>
  <c r="G10" i="1"/>
  <c r="G12" i="1"/>
  <c r="G13" i="1"/>
  <c r="G14" i="1"/>
  <c r="G15" i="1"/>
  <c r="H15" i="1" s="1"/>
  <c r="G16" i="1"/>
  <c r="G17" i="1"/>
  <c r="G9" i="3" s="1"/>
  <c r="G18" i="1"/>
  <c r="G10" i="4" s="1"/>
  <c r="H10" i="4" s="1"/>
  <c r="J19" i="1"/>
  <c r="G22" i="1"/>
  <c r="G23" i="1"/>
  <c r="G24" i="1"/>
  <c r="G3" i="1"/>
  <c r="G4" i="1"/>
  <c r="G2" i="1"/>
  <c r="G2" i="3" l="1"/>
  <c r="G2" i="4"/>
  <c r="H2" i="4" s="1"/>
  <c r="G3" i="4"/>
  <c r="H3" i="4" s="1"/>
  <c r="G12" i="4"/>
  <c r="H12" i="4" s="1"/>
  <c r="G5" i="4"/>
  <c r="H5" i="4" s="1"/>
  <c r="H17" i="1"/>
  <c r="J17" i="1" s="1"/>
  <c r="G11" i="4"/>
  <c r="H11" i="4" s="1"/>
  <c r="H16" i="1"/>
  <c r="J16" i="1" s="1"/>
  <c r="G4" i="4"/>
  <c r="H4" i="4" s="1"/>
  <c r="G7" i="4"/>
  <c r="H7" i="4" s="1"/>
  <c r="H18" i="1"/>
  <c r="J18" i="1" s="1"/>
  <c r="H42" i="1"/>
  <c r="J42" i="1" s="1"/>
  <c r="H53" i="1"/>
  <c r="J53" i="1" s="1"/>
  <c r="H40" i="1"/>
  <c r="J40" i="1" s="1"/>
  <c r="H24" i="1"/>
  <c r="J24" i="1" s="1"/>
  <c r="H9" i="1"/>
  <c r="J9" i="1" s="1"/>
  <c r="H28" i="1"/>
  <c r="J28" i="1" s="1"/>
  <c r="H23" i="1"/>
  <c r="J23" i="1" s="1"/>
  <c r="H5" i="1"/>
  <c r="J5" i="1" s="1"/>
  <c r="H27" i="1"/>
  <c r="J27" i="1" s="1"/>
  <c r="H46" i="1"/>
  <c r="J46" i="1" s="1"/>
  <c r="H22" i="1"/>
  <c r="J22" i="1" s="1"/>
  <c r="H34" i="1"/>
  <c r="J34" i="1" s="1"/>
  <c r="H26" i="1"/>
  <c r="J26" i="1" s="1"/>
  <c r="H45" i="1"/>
  <c r="J45" i="1" s="1"/>
  <c r="H44" i="1"/>
  <c r="J44" i="1" s="1"/>
  <c r="H36" i="1"/>
  <c r="J36" i="1" s="1"/>
  <c r="H33" i="1"/>
  <c r="J33" i="1" s="1"/>
  <c r="H52" i="1"/>
  <c r="J52" i="1" s="1"/>
  <c r="H39" i="1"/>
  <c r="J39" i="1" s="1"/>
  <c r="H14" i="1"/>
  <c r="J14" i="1" s="1"/>
  <c r="H32" i="1"/>
  <c r="J32" i="1" s="1"/>
  <c r="H51" i="1"/>
  <c r="J51" i="1" s="1"/>
  <c r="H38" i="1"/>
  <c r="J38" i="1" s="1"/>
  <c r="H2" i="1"/>
  <c r="J2" i="1" s="1"/>
  <c r="H13" i="1"/>
  <c r="J13" i="1" s="1"/>
  <c r="H31" i="1"/>
  <c r="J31" i="1" s="1"/>
  <c r="H50" i="1"/>
  <c r="J50" i="1" s="1"/>
  <c r="H4" i="1"/>
  <c r="J4" i="1" s="1"/>
  <c r="H12" i="1"/>
  <c r="J12" i="1" s="1"/>
  <c r="H3" i="1"/>
  <c r="J3" i="1" s="1"/>
  <c r="H10" i="1"/>
  <c r="J10" i="1" s="1"/>
  <c r="H29" i="1"/>
  <c r="J29" i="1" s="1"/>
  <c r="H48" i="1"/>
  <c r="J48" i="1" s="1"/>
  <c r="H57" i="1"/>
  <c r="J57" i="1" s="1"/>
  <c r="J15" i="1"/>
  <c r="H9" i="3"/>
  <c r="H7" i="3"/>
  <c r="G5" i="3"/>
  <c r="H5" i="3" s="1"/>
  <c r="G8" i="3"/>
  <c r="H8" i="3" s="1"/>
  <c r="G6" i="3"/>
  <c r="H6" i="3" s="1"/>
  <c r="G4" i="3"/>
  <c r="H4" i="3" s="1"/>
  <c r="H2" i="3" l="1"/>
  <c r="G3" i="3"/>
  <c r="H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techn</author>
  </authors>
  <commentList>
    <comment ref="F1" authorId="0" shapeId="0" xr:uid="{0F3B99B1-D571-4E26-AE20-70599B9CEE14}">
      <text>
        <r>
          <rPr>
            <b/>
            <sz val="11"/>
            <color indexed="81"/>
            <rFont val="MS P ゴシック"/>
            <family val="3"/>
            <charset val="128"/>
          </rPr>
          <t>長さ(m/本)に対しての在庫(本)
基準以下の長さ(m/本)は在庫(本)に含まず</t>
        </r>
      </text>
    </comment>
    <comment ref="G1" authorId="0" shapeId="0" xr:uid="{5B1128BD-A420-432C-951D-B0A56857E970}">
      <text>
        <r>
          <rPr>
            <b/>
            <sz val="11"/>
            <color indexed="81"/>
            <rFont val="MS P ゴシック"/>
            <family val="3"/>
            <charset val="128"/>
          </rPr>
          <t>切りかけ含む長さ合計(m)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tc={A65EB262-34EC-4A35-B1CA-482AE7B3B0BD}</author>
    <author>tc={FB4ABAD4-B02B-4426-A92E-922761CA1684}</author>
    <author>tc={D00B58C0-394B-4693-9D6D-6DF6B55291FF}</author>
  </authors>
  <commentList>
    <comment ref="E103" authorId="0" shapeId="0" xr:uid="{A65EB262-34EC-4A35-B1CA-482AE7B3B0B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大阪ガス</t>
      </text>
    </comment>
    <comment ref="G409" authorId="1" shapeId="0" xr:uid="{FB4ABAD4-B02B-4426-A92E-922761CA168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8/23-0.3</t>
      </text>
    </comment>
    <comment ref="G410" authorId="2" shapeId="0" xr:uid="{D00B58C0-394B-4693-9D6D-6DF6B55291F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8/23-0.3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techn</author>
  </authors>
  <commentList>
    <comment ref="F1" authorId="0" shapeId="0" xr:uid="{DC564F11-A9D4-485C-9E95-055CA501EA82}">
      <text>
        <r>
          <rPr>
            <b/>
            <sz val="11"/>
            <color indexed="81"/>
            <rFont val="MS P ゴシック"/>
            <family val="3"/>
            <charset val="128"/>
          </rPr>
          <t>長さ(m/本)に対しての在庫(本)
基準以下の長さ(m/本)は在庫(本)に含まず</t>
        </r>
      </text>
    </comment>
    <comment ref="G1" authorId="0" shapeId="0" xr:uid="{962A11C4-5128-4F37-B9D3-29F489162455}">
      <text>
        <r>
          <rPr>
            <b/>
            <sz val="11"/>
            <color indexed="81"/>
            <rFont val="MS P ゴシック"/>
            <family val="3"/>
            <charset val="128"/>
          </rPr>
          <t>切りかけ含む長さ合計(m)</t>
        </r>
      </text>
    </comment>
  </commentList>
</comments>
</file>

<file path=xl/sharedStrings.xml><?xml version="1.0" encoding="utf-8"?>
<sst xmlns="http://schemas.openxmlformats.org/spreadsheetml/2006/main" count="2799" uniqueCount="875">
  <si>
    <t>品名</t>
    <rPh sb="0" eb="2">
      <t>ヒンメイ</t>
    </rPh>
    <phoneticPr fontId="3"/>
  </si>
  <si>
    <t>Lot</t>
    <phoneticPr fontId="3"/>
  </si>
  <si>
    <t>幅(m)</t>
    <rPh sb="0" eb="1">
      <t>ハバ</t>
    </rPh>
    <phoneticPr fontId="3"/>
  </si>
  <si>
    <t>総面積(㎡)</t>
    <rPh sb="0" eb="1">
      <t>ソウ</t>
    </rPh>
    <rPh sb="1" eb="3">
      <t>メンセキ</t>
    </rPh>
    <phoneticPr fontId="3"/>
  </si>
  <si>
    <t>単価(㎡)</t>
    <rPh sb="0" eb="2">
      <t>タンカ</t>
    </rPh>
    <phoneticPr fontId="3"/>
  </si>
  <si>
    <t>原価</t>
    <rPh sb="0" eb="2">
      <t>ゲンカ</t>
    </rPh>
    <phoneticPr fontId="3"/>
  </si>
  <si>
    <t>保管場所</t>
    <rPh sb="0" eb="4">
      <t>ホカンバショ</t>
    </rPh>
    <phoneticPr fontId="3"/>
  </si>
  <si>
    <t>生産月</t>
    <rPh sb="0" eb="3">
      <t>セイサンツキ</t>
    </rPh>
    <phoneticPr fontId="3"/>
  </si>
  <si>
    <t>SPACECOOLフィルム</t>
    <phoneticPr fontId="3"/>
  </si>
  <si>
    <t>ホワイトマット</t>
    <phoneticPr fontId="3"/>
  </si>
  <si>
    <t>デコラティブ</t>
    <phoneticPr fontId="3"/>
  </si>
  <si>
    <t>－</t>
    <phoneticPr fontId="3"/>
  </si>
  <si>
    <t>大阪ガスから500円／㎡</t>
    <rPh sb="0" eb="2">
      <t>オオサカ</t>
    </rPh>
    <rPh sb="9" eb="10">
      <t>エン</t>
    </rPh>
    <phoneticPr fontId="3"/>
  </si>
  <si>
    <t>シルバーマット</t>
    <phoneticPr fontId="3"/>
  </si>
  <si>
    <t>SC-SVMT210325_1-2-A-MX-BW-25</t>
    <phoneticPr fontId="3"/>
  </si>
  <si>
    <t>SM0001-8-MXJ-K2-25M</t>
    <phoneticPr fontId="3"/>
  </si>
  <si>
    <t>オガサハラ</t>
    <phoneticPr fontId="3"/>
  </si>
  <si>
    <t>カンボウプラス</t>
    <phoneticPr fontId="3"/>
  </si>
  <si>
    <t>山本運輸</t>
    <rPh sb="0" eb="2">
      <t>ヤマモト</t>
    </rPh>
    <rPh sb="2" eb="4">
      <t>ウンユ</t>
    </rPh>
    <phoneticPr fontId="3"/>
  </si>
  <si>
    <t>SPACECOOLシート</t>
    <phoneticPr fontId="3"/>
  </si>
  <si>
    <t>SM0001-7-CAP-KU-20211102-4</t>
  </si>
  <si>
    <t>SPACECOOL不燃膜材料</t>
    <rPh sb="9" eb="11">
      <t>フネン</t>
    </rPh>
    <rPh sb="11" eb="12">
      <t>マク</t>
    </rPh>
    <rPh sb="12" eb="14">
      <t>ザイリョウ</t>
    </rPh>
    <phoneticPr fontId="3"/>
  </si>
  <si>
    <t>SM0002-CAP-B-220119-2</t>
    <phoneticPr fontId="3"/>
  </si>
  <si>
    <t>WM0002-CAP-B-220119-5</t>
  </si>
  <si>
    <t>WM0002-CAP-B-220119-3</t>
  </si>
  <si>
    <t>入江運輸</t>
    <rPh sb="0" eb="2">
      <t>イリエ</t>
    </rPh>
    <rPh sb="2" eb="4">
      <t>ウンユ</t>
    </rPh>
    <phoneticPr fontId="3"/>
  </si>
  <si>
    <t>シルバー光沢</t>
    <rPh sb="4" eb="6">
      <t>コウタク</t>
    </rPh>
    <phoneticPr fontId="3"/>
  </si>
  <si>
    <t>SS0001-3-MXJ-K2</t>
    <phoneticPr fontId="3"/>
  </si>
  <si>
    <t>ホワイト光沢</t>
    <rPh sb="4" eb="6">
      <t>コウタク</t>
    </rPh>
    <phoneticPr fontId="3"/>
  </si>
  <si>
    <t>WS0001-5-1～7</t>
    <phoneticPr fontId="3"/>
  </si>
  <si>
    <t>WS0001-5-8</t>
    <phoneticPr fontId="3"/>
  </si>
  <si>
    <t>SM0002-MXJ-R8-220224_1-4</t>
    <phoneticPr fontId="3"/>
  </si>
  <si>
    <t>WM0002-MXJ-R8-220224_1-7</t>
    <phoneticPr fontId="3"/>
  </si>
  <si>
    <t>WM0002-MXJ-R8-220224_8</t>
    <phoneticPr fontId="3"/>
  </si>
  <si>
    <t>WHMT（粘着加工なし）</t>
    <rPh sb="5" eb="9">
      <t>ネンチャクカコウ</t>
    </rPh>
    <phoneticPr fontId="1"/>
  </si>
  <si>
    <t>ホワイトマット</t>
  </si>
  <si>
    <t>WM0001-2</t>
    <phoneticPr fontId="3"/>
  </si>
  <si>
    <t>SVMT（粘着加工なし）</t>
    <rPh sb="5" eb="9">
      <t>ネンチャクカコウ</t>
    </rPh>
    <phoneticPr fontId="1"/>
  </si>
  <si>
    <t>シルバーマット</t>
  </si>
  <si>
    <t>鴻池運輸</t>
    <rPh sb="0" eb="4">
      <t>コウノイケウンユ</t>
    </rPh>
    <phoneticPr fontId="3"/>
  </si>
  <si>
    <t>塩ビ</t>
    <rPh sb="0" eb="1">
      <t>エン</t>
    </rPh>
    <phoneticPr fontId="3"/>
  </si>
  <si>
    <t>SC-SVMT200521-MXB</t>
    <phoneticPr fontId="3"/>
  </si>
  <si>
    <t>研究所</t>
    <rPh sb="0" eb="3">
      <t>ケンキュウジョ</t>
    </rPh>
    <phoneticPr fontId="3"/>
  </si>
  <si>
    <t>SC-SVSH200521-MXB</t>
    <phoneticPr fontId="3"/>
  </si>
  <si>
    <t>大阪ガスから501円／㎡</t>
    <rPh sb="0" eb="2">
      <t>オオサカ</t>
    </rPh>
    <rPh sb="9" eb="10">
      <t>エン</t>
    </rPh>
    <phoneticPr fontId="3"/>
  </si>
  <si>
    <t>SC-SVSH200521-MXB_切り出し用_①</t>
  </si>
  <si>
    <t>大阪ガスから502円／㎡</t>
    <rPh sb="0" eb="2">
      <t>オオサカ</t>
    </rPh>
    <rPh sb="9" eb="10">
      <t>エン</t>
    </rPh>
    <phoneticPr fontId="3"/>
  </si>
  <si>
    <t>SC-SVMT210325_5-A-ME-5M_切り出し用</t>
  </si>
  <si>
    <t>SC-WHMT210325_2-A-MX-BW-25M</t>
  </si>
  <si>
    <t>大阪ガスから508円／㎡</t>
    <rPh sb="0" eb="2">
      <t>オオサカ</t>
    </rPh>
    <rPh sb="9" eb="10">
      <t>エン</t>
    </rPh>
    <phoneticPr fontId="3"/>
  </si>
  <si>
    <t>SC-SVMT210325_1-2-A-MX-BW-25M_切り出し用②</t>
  </si>
  <si>
    <t>SM0001-7-CAP-KU-20211102-1</t>
  </si>
  <si>
    <t>SM0001-7-CAP-KU-20211102-5</t>
  </si>
  <si>
    <t>WHMTe0000a-MXJ-AS-24M_切り出し用_②(2m)</t>
  </si>
  <si>
    <t>大阪ガスから510円／㎡</t>
    <rPh sb="0" eb="2">
      <t>オオサカ</t>
    </rPh>
    <rPh sb="9" eb="10">
      <t>エン</t>
    </rPh>
    <phoneticPr fontId="3"/>
  </si>
  <si>
    <t>WHMTe0000a-MXJ-AS-25M</t>
  </si>
  <si>
    <t>WHMTe0000a-MXJ-K1-25M</t>
  </si>
  <si>
    <t>SS0001-3-MXJ-K2-10M_切り出し用_①</t>
  </si>
  <si>
    <t>★余裕をもった納期設定、よろしくお願いいたします★</t>
  </si>
  <si>
    <t>■フロー</t>
  </si>
  <si>
    <t>受注</t>
  </si>
  <si>
    <t>お客様または担当者がorder@spacecool.jp（受注専用アドレス）に見積書 兼 注文依頼書を送付する</t>
  </si>
  <si>
    <t>テクニカル</t>
  </si>
  <si>
    <t>見積書 兼 注文依頼書を確認し、各出荷元へ出荷依頼書を発行する</t>
  </si>
  <si>
    <t>コーポレート</t>
  </si>
  <si>
    <t>アライアンス事務からfreee会計に連携された請求書と見積書 兼 注文依頼書に相違が無いか確認し、商品到着後メールにて納品書を送付</t>
  </si>
  <si>
    <t>売上計上日は納品日・請求書は月末締め・翌月末支払期限とし、翌月初1～2営業日内にメールにて送付</t>
  </si>
  <si>
    <t>■出荷</t>
  </si>
  <si>
    <t>・緊急を要する場合などは別途ご相談ください</t>
  </si>
  <si>
    <t>■納品日</t>
  </si>
  <si>
    <t>・納品日（届日数）は場所によって異なります</t>
  </si>
  <si>
    <t>（出荷依頼メールのCCに担当者を入れるので、</t>
  </si>
  <si>
    <t>出荷担当者から出荷日のお知らせを確認し、納品日を確認してください）</t>
  </si>
  <si>
    <t>・参考に佐川急便の届日数を右に添付いたします</t>
  </si>
  <si>
    <t>（原則、フィルムは大阪・帆布は福井から発送となります）</t>
  </si>
  <si>
    <t>■フィルム</t>
  </si>
  <si>
    <t>・ニチモウが取りまとめ</t>
  </si>
  <si>
    <t>・切売と箱売で発送元（倉庫）が異なる。</t>
  </si>
  <si>
    <t>・運送会社の送付票の発送元住所は倉庫の住所。デリバリーでミスが生じた場合、倉庫に連絡がいくようにすることが目的です。</t>
  </si>
  <si>
    <t>・荷物にはSC社発行の送付状を添付。</t>
  </si>
  <si>
    <t>箱売</t>
  </si>
  <si>
    <t>項目</t>
  </si>
  <si>
    <t>費用</t>
  </si>
  <si>
    <t>単位</t>
  </si>
  <si>
    <t>備考</t>
  </si>
  <si>
    <t>委託先</t>
  </si>
  <si>
    <t>入江運輸倉庫（株）</t>
  </si>
  <si>
    <t>保管料(1期)</t>
  </si>
  <si>
    <t>円/本</t>
  </si>
  <si>
    <t>年間倉庫費用792円/本</t>
  </si>
  <si>
    <t>住所</t>
  </si>
  <si>
    <t>大阪市港区石田</t>
  </si>
  <si>
    <t>入出庫料</t>
  </si>
  <si>
    <t>製品サイズ</t>
  </si>
  <si>
    <t>1250mm巾×25m</t>
  </si>
  <si>
    <t>1箱のみ発送時の運賃</t>
  </si>
  <si>
    <t>定額。国内北海道、沖縄、離島別途</t>
  </si>
  <si>
    <t>発送形態</t>
  </si>
  <si>
    <t>段ボールケース入り</t>
  </si>
  <si>
    <t>2箱以上の運賃※</t>
  </si>
  <si>
    <t>納期</t>
  </si>
  <si>
    <t>※例）３箱送る場合の運賃：800円×3箱=2400円　　これに出庫料33円×3箱=99円がかかる。</t>
  </si>
  <si>
    <t>利用運送会社</t>
  </si>
  <si>
    <t>路線便等</t>
  </si>
  <si>
    <t>請求方法</t>
  </si>
  <si>
    <t>月末にまとめて請求</t>
  </si>
  <si>
    <t>←入江運輸倉庫</t>
  </si>
  <si>
    <t>箱サイズ　24cm✕24cm✕130cm</t>
  </si>
  <si>
    <t>↓オガサハラ梱包</t>
  </si>
  <si>
    <t>切売　(例：白色マット4m)</t>
  </si>
  <si>
    <t>（株）オガサハラ</t>
  </si>
  <si>
    <t>大阪府貝塚市</t>
  </si>
  <si>
    <t>1250mm巾×1m巻～</t>
  </si>
  <si>
    <t>梱包</t>
  </si>
  <si>
    <t>3インチ紙管に巻き付け</t>
  </si>
  <si>
    <t>-</t>
  </si>
  <si>
    <t>緩衝材＋クラフト包装</t>
  </si>
  <si>
    <t>保管料</t>
  </si>
  <si>
    <t>切売用は少量のため0円。</t>
  </si>
  <si>
    <t>佐川急便</t>
  </si>
  <si>
    <t>カット&amp;梱包費</t>
  </si>
  <si>
    <t>運賃</t>
  </si>
  <si>
    <r>
      <rPr>
        <sz val="11"/>
        <color theme="1"/>
        <rFont val="游ゴシック"/>
        <family val="3"/>
        <charset val="128"/>
      </rPr>
      <t>円/</t>
    </r>
    <r>
      <rPr>
        <b/>
        <sz val="11"/>
        <color theme="1"/>
        <rFont val="游ゴシック"/>
        <family val="3"/>
        <charset val="128"/>
      </rPr>
      <t>回</t>
    </r>
  </si>
  <si>
    <t>国内北海道、沖縄、離島別途。本数によって多少変動。</t>
  </si>
  <si>
    <t>・山本運輸がとりまとめ</t>
  </si>
  <si>
    <t>・月末にまとめて請求</t>
  </si>
  <si>
    <t>50m売</t>
  </si>
  <si>
    <t>山本運輸</t>
  </si>
  <si>
    <t>福井県鯖江市</t>
  </si>
  <si>
    <t>カット費</t>
  </si>
  <si>
    <t>1カットごとに費用発生</t>
  </si>
  <si>
    <t>クラフト包装</t>
  </si>
  <si>
    <t>■備考</t>
  </si>
  <si>
    <t>・緊急案件用に、エネ研にいくつか在庫置いおります</t>
  </si>
  <si>
    <t>・現状、梱包・発送に5000円を積んで見積書発行いただいていると思いますが、基本は押しなべてこの枠内に収まると思います</t>
  </si>
  <si>
    <t>・運送会社の送り状の発送元は、倉庫会社となります。デリバリー中にトラブルが生じた際に窓口となっていただくためです</t>
  </si>
  <si>
    <t>・荷物には、SC社発行の送付状を付けます</t>
  </si>
  <si>
    <t>・納品書はお客様事務所に商品が到着後、freeeにて送付します</t>
  </si>
  <si>
    <t>■守秘情報</t>
  </si>
  <si>
    <t>・ニチモウ、ジェイネットコーティング・・・守秘レベル高。絶対外に出さない</t>
  </si>
  <si>
    <t>・カンボウプラス・・・プレスリリースしているので、出して問題ない</t>
  </si>
  <si>
    <t>色</t>
  </si>
  <si>
    <t>幅(m)</t>
  </si>
  <si>
    <t>在庫面積(㎡)</t>
  </si>
  <si>
    <t>SPACECOOLフィルム</t>
  </si>
  <si>
    <t>粘着加工あり</t>
  </si>
  <si>
    <t>SPACECOOLシート</t>
  </si>
  <si>
    <t>SPACECOOL不燃膜材料</t>
  </si>
  <si>
    <t>開発中、出荷希望の際はテクニカル本部長へ事前確認</t>
  </si>
  <si>
    <t>SPACECOOLフィルム強粘着</t>
  </si>
  <si>
    <t>在庫(本)</t>
    <rPh sb="0" eb="2">
      <t>ザイコ</t>
    </rPh>
    <rPh sb="3" eb="4">
      <t>ホン</t>
    </rPh>
    <phoneticPr fontId="3"/>
  </si>
  <si>
    <t>長さ(m/本)</t>
    <rPh sb="5" eb="6">
      <t>ホン</t>
    </rPh>
    <phoneticPr fontId="3"/>
  </si>
  <si>
    <t>長さ合計(m)</t>
    <rPh sb="2" eb="4">
      <t>ゴウケイ</t>
    </rPh>
    <phoneticPr fontId="3"/>
  </si>
  <si>
    <t>長さ合計(m)</t>
    <rPh sb="0" eb="1">
      <t>ナガ</t>
    </rPh>
    <rPh sb="2" eb="4">
      <t>ゴウケイ</t>
    </rPh>
    <phoneticPr fontId="3"/>
  </si>
  <si>
    <t>品名</t>
    <rPh sb="0" eb="1">
      <t>ヒン</t>
    </rPh>
    <rPh sb="1" eb="2">
      <t>メイ</t>
    </rPh>
    <phoneticPr fontId="3"/>
  </si>
  <si>
    <t>色</t>
    <rPh sb="0" eb="1">
      <t>イロ</t>
    </rPh>
    <phoneticPr fontId="3"/>
  </si>
  <si>
    <t>備考1</t>
    <rPh sb="0" eb="2">
      <t>ビコウ</t>
    </rPh>
    <phoneticPr fontId="3"/>
  </si>
  <si>
    <t>在庫表に載せない</t>
    <rPh sb="0" eb="3">
      <t>ザイコヒョウ</t>
    </rPh>
    <rPh sb="4" eb="5">
      <t>ノ</t>
    </rPh>
    <phoneticPr fontId="3"/>
  </si>
  <si>
    <t>保管用</t>
    <rPh sb="0" eb="3">
      <t>ホカンヨウ</t>
    </rPh>
    <phoneticPr fontId="3"/>
  </si>
  <si>
    <t>規格外</t>
    <rPh sb="0" eb="3">
      <t>キカクガイ</t>
    </rPh>
    <phoneticPr fontId="3"/>
  </si>
  <si>
    <t>SPACECOOLフィルム強粘着</t>
    <rPh sb="13" eb="14">
      <t>キョウ</t>
    </rPh>
    <rPh sb="14" eb="16">
      <t>ネンチャク</t>
    </rPh>
    <phoneticPr fontId="3"/>
  </si>
  <si>
    <t>鴻池PL No</t>
    <rPh sb="0" eb="2">
      <t>コウノイケ</t>
    </rPh>
    <phoneticPr fontId="3"/>
  </si>
  <si>
    <t>J22D0701-1</t>
  </si>
  <si>
    <t>J22D0701-2</t>
  </si>
  <si>
    <t>SC-3</t>
  </si>
  <si>
    <t>更新日</t>
    <rPh sb="0" eb="3">
      <t>コウシンビ</t>
    </rPh>
    <phoneticPr fontId="3"/>
  </si>
  <si>
    <t>SC-SVMT210325_1-2-A-MX-BW-25M_切り出し用</t>
    <phoneticPr fontId="3"/>
  </si>
  <si>
    <t>WM0002-MXJ-K2-220422_1-30_b</t>
  </si>
  <si>
    <t>WM0002-MXJ-K2-220422_1-38_c</t>
  </si>
  <si>
    <t>WM0002-MXJ-K2-220422_39_c</t>
  </si>
  <si>
    <t>SM0002-MXJ-K2-220422_1-12</t>
  </si>
  <si>
    <t>SM0003-MXJ-K2-220422_1-25</t>
  </si>
  <si>
    <t>J22D0701-3</t>
    <phoneticPr fontId="3"/>
  </si>
  <si>
    <t>SC-6</t>
    <phoneticPr fontId="3"/>
  </si>
  <si>
    <t>GL109T01</t>
    <phoneticPr fontId="3"/>
  </si>
  <si>
    <t>白</t>
    <rPh sb="0" eb="1">
      <t>シロ</t>
    </rPh>
    <phoneticPr fontId="3"/>
  </si>
  <si>
    <t>SC-WHSH210325_3-2-A-CAPC-3-2切り出し用</t>
    <phoneticPr fontId="3"/>
  </si>
  <si>
    <t>SM0002-CAP-TP50F-20220221-2_切り出し用</t>
    <rPh sb="28" eb="29">
      <t>キ</t>
    </rPh>
    <rPh sb="30" eb="31">
      <t>ダ</t>
    </rPh>
    <rPh sb="32" eb="33">
      <t>ヨウ</t>
    </rPh>
    <phoneticPr fontId="3"/>
  </si>
  <si>
    <t>WM0002-CAP-TP50F-20220221-9_切り出し用</t>
    <rPh sb="28" eb="29">
      <t>キ</t>
    </rPh>
    <rPh sb="30" eb="31">
      <t>ダ</t>
    </rPh>
    <rPh sb="32" eb="33">
      <t>ヨウ</t>
    </rPh>
    <phoneticPr fontId="3"/>
  </si>
  <si>
    <t>GL109T05</t>
    <phoneticPr fontId="3"/>
  </si>
  <si>
    <t>FC112T02</t>
    <phoneticPr fontId="3"/>
  </si>
  <si>
    <t>GL104T07</t>
    <phoneticPr fontId="3"/>
  </si>
  <si>
    <t>WM0002-CAP-TP50F-20220425-17</t>
    <phoneticPr fontId="3"/>
  </si>
  <si>
    <t>品番</t>
    <rPh sb="0" eb="2">
      <t>ヒンバン</t>
    </rPh>
    <phoneticPr fontId="3"/>
  </si>
  <si>
    <t>SCF-A25M-ONW</t>
  </si>
  <si>
    <t>SCF-A25M-ONS</t>
  </si>
  <si>
    <t>SCM-100E-OOW</t>
  </si>
  <si>
    <t>SCM-100E-OOS</t>
  </si>
  <si>
    <t>SCM-200E-OFW</t>
  </si>
  <si>
    <t>SCM-200E-OFS</t>
  </si>
  <si>
    <t>SCM-300G-ONW</t>
  </si>
  <si>
    <t>SCM-300G-ONS</t>
  </si>
  <si>
    <t>SCM-050E-OFW</t>
  </si>
  <si>
    <t>SCM-050E-OFS</t>
  </si>
  <si>
    <t>SC-15</t>
  </si>
  <si>
    <t>GL109T05</t>
  </si>
  <si>
    <t>WHMTe0000a-CAP-KU-20211102-6</t>
    <phoneticPr fontId="3"/>
  </si>
  <si>
    <t>SM0001-7-CAP-KU-20211102-3</t>
    <phoneticPr fontId="3"/>
  </si>
  <si>
    <t>SM0001-7-CAP-GL-3</t>
    <phoneticPr fontId="3"/>
  </si>
  <si>
    <t>穴あき塩ビ</t>
    <rPh sb="0" eb="1">
      <t>アナ</t>
    </rPh>
    <rPh sb="3" eb="4">
      <t>エン</t>
    </rPh>
    <phoneticPr fontId="3"/>
  </si>
  <si>
    <t>SC-SVSH210325_1-1-A-CAPC-6-1</t>
    <phoneticPr fontId="3"/>
  </si>
  <si>
    <t>SM0001-7-CAP-GL-7</t>
    <phoneticPr fontId="3"/>
  </si>
  <si>
    <t>WM0002-CAPC-20220719-4_切り出し用</t>
    <rPh sb="23" eb="24">
      <t>キ</t>
    </rPh>
    <rPh sb="25" eb="26">
      <t>ダ</t>
    </rPh>
    <rPh sb="27" eb="28">
      <t>ヨウ</t>
    </rPh>
    <phoneticPr fontId="2"/>
  </si>
  <si>
    <t>WM0002-CAP-GL-20220719-4</t>
  </si>
  <si>
    <t>WM0002-CAP-GL-20220719-5</t>
  </si>
  <si>
    <t>WM0002-CAP-GL-20220719-6</t>
  </si>
  <si>
    <t>WM0002-CAP-GL-20220719-7</t>
  </si>
  <si>
    <t>WM0002-CAP-GL-20220719-8</t>
  </si>
  <si>
    <t>WM0002-CAP-GL-20220719-9</t>
  </si>
  <si>
    <t>WM0002-CAP-GL-20220719-10_切り出し用</t>
    <rPh sb="26" eb="27">
      <t>キ</t>
    </rPh>
    <rPh sb="28" eb="29">
      <t>ダ</t>
    </rPh>
    <rPh sb="30" eb="31">
      <t>ヨウ</t>
    </rPh>
    <phoneticPr fontId="2"/>
  </si>
  <si>
    <t>GL206T09</t>
  </si>
  <si>
    <t>GL207T01</t>
  </si>
  <si>
    <t>WM0002-MXJ-K2-220422_1-20_a</t>
    <phoneticPr fontId="3"/>
  </si>
  <si>
    <t>SM0002-CAP-TP50F-20220221-1</t>
    <phoneticPr fontId="3"/>
  </si>
  <si>
    <t>WM0002-CAP-TP50F-20220221-5</t>
    <phoneticPr fontId="3"/>
  </si>
  <si>
    <t>WM0002-CAP-TP50F-20220221-6</t>
    <phoneticPr fontId="3"/>
  </si>
  <si>
    <t>GL201T07</t>
  </si>
  <si>
    <t>GL201T07</t>
    <phoneticPr fontId="3"/>
  </si>
  <si>
    <t>GL207T01</t>
    <phoneticPr fontId="3"/>
  </si>
  <si>
    <t>WM0001-1-MXJ-K2-25M_デコラティブ</t>
    <phoneticPr fontId="3"/>
  </si>
  <si>
    <t>WM0002-CAP-TP50F-20220221-5_3M</t>
    <phoneticPr fontId="3"/>
  </si>
  <si>
    <t>GL106T03</t>
  </si>
  <si>
    <t>長さ(m)</t>
    <rPh sb="0" eb="1">
      <t>ナガ</t>
    </rPh>
    <phoneticPr fontId="3"/>
  </si>
  <si>
    <t>WHMTe0000a-CAP-KU-20211102-7_切り出し用</t>
    <phoneticPr fontId="3"/>
  </si>
  <si>
    <t>WM0002-MXJ-K2-220127_1-34_a_セイリツ</t>
    <phoneticPr fontId="3"/>
  </si>
  <si>
    <t>セイリツ工業</t>
    <rPh sb="4" eb="6">
      <t>コウギョウ</t>
    </rPh>
    <phoneticPr fontId="3"/>
  </si>
  <si>
    <t>WM0001-1-MXJ-K2-25M</t>
  </si>
  <si>
    <t>セイリツ工業から返却</t>
    <rPh sb="4" eb="6">
      <t>コウギョウ</t>
    </rPh>
    <rPh sb="8" eb="10">
      <t>ヘンキャク</t>
    </rPh>
    <phoneticPr fontId="3"/>
  </si>
  <si>
    <t>9月生産のためJﾈｯﾄへ出荷</t>
    <rPh sb="1" eb="2">
      <t>ガツ</t>
    </rPh>
    <rPh sb="2" eb="4">
      <t>セイサン</t>
    </rPh>
    <rPh sb="12" eb="14">
      <t>シュッカ</t>
    </rPh>
    <phoneticPr fontId="3"/>
  </si>
  <si>
    <t>WHMT0000a-CAP-TP50F-20220425-3</t>
  </si>
  <si>
    <t>SPACECOOL膜材料</t>
    <rPh sb="9" eb="12">
      <t>マクザイリョウ</t>
    </rPh>
    <phoneticPr fontId="3"/>
  </si>
  <si>
    <t>SPACECOOL膜材料(防炎)</t>
    <rPh sb="9" eb="12">
      <t>マクザイリョウ</t>
    </rPh>
    <phoneticPr fontId="3"/>
  </si>
  <si>
    <t>SPACECOOLターポリン</t>
    <phoneticPr fontId="3"/>
  </si>
  <si>
    <t>SPACECOOL膜材料(防炎)</t>
    <rPh sb="9" eb="12">
      <t>マクザイリョウ</t>
    </rPh>
    <rPh sb="13" eb="15">
      <t>ボウエン</t>
    </rPh>
    <phoneticPr fontId="3"/>
  </si>
  <si>
    <t>ジェイトリム</t>
    <phoneticPr fontId="3"/>
  </si>
  <si>
    <t>↓膜材料_カット品梱包</t>
    <rPh sb="1" eb="4">
      <t>マクザイリョウ</t>
    </rPh>
    <rPh sb="8" eb="9">
      <t>ヒン</t>
    </rPh>
    <rPh sb="9" eb="11">
      <t>コンポウ</t>
    </rPh>
    <phoneticPr fontId="3"/>
  </si>
  <si>
    <t>■膜材料</t>
    <rPh sb="1" eb="4">
      <t>マクザイリョウ</t>
    </rPh>
    <phoneticPr fontId="3"/>
  </si>
  <si>
    <t>　　膜材料_ロール品梱包→</t>
    <rPh sb="2" eb="5">
      <t>マクザイリョウ</t>
    </rPh>
    <rPh sb="9" eb="10">
      <t>ヒン</t>
    </rPh>
    <rPh sb="10" eb="12">
      <t>コンポウ</t>
    </rPh>
    <phoneticPr fontId="3"/>
  </si>
  <si>
    <t>SM0001-7</t>
    <phoneticPr fontId="3"/>
  </si>
  <si>
    <t>J22D0701-4</t>
    <phoneticPr fontId="3"/>
  </si>
  <si>
    <t>山本運輸</t>
    <rPh sb="0" eb="4">
      <t>ヤマモトウンユ</t>
    </rPh>
    <phoneticPr fontId="3"/>
  </si>
  <si>
    <t>GL203T02</t>
  </si>
  <si>
    <t>J22I0801-02</t>
  </si>
  <si>
    <t>J22I0801-04</t>
  </si>
  <si>
    <t>J22I0801-05</t>
  </si>
  <si>
    <t>J22I0801-06</t>
  </si>
  <si>
    <t>J22I0801-09</t>
  </si>
  <si>
    <t>J22I0801-11</t>
  </si>
  <si>
    <t>J22I0801-10</t>
  </si>
  <si>
    <t>SC-23</t>
  </si>
  <si>
    <t>SC-24</t>
  </si>
  <si>
    <t>SC-25</t>
  </si>
  <si>
    <t>SC-27</t>
  </si>
  <si>
    <t>SC-28</t>
  </si>
  <si>
    <t>SM0001-7-CAP-GL-20220830-1</t>
  </si>
  <si>
    <t>SM0001-7-CAP-GL-20220830-2</t>
  </si>
  <si>
    <t>SM0001-7-CAP-GL-20220830-3</t>
  </si>
  <si>
    <t>SM0001-7-CAP-GL-20220830-4</t>
  </si>
  <si>
    <t>WM0004-CAP-GL-20220830-5</t>
  </si>
  <si>
    <t>WM0004-CAP-GL-20220830-6</t>
  </si>
  <si>
    <t>WM0004-CAP-GL-20220830-7</t>
  </si>
  <si>
    <t>WM0004-CAP-GL-20220830-8</t>
  </si>
  <si>
    <t>WM0004-CAP-GL-20220830-9</t>
  </si>
  <si>
    <t>WM0004-CAP-GL-20220830-10</t>
  </si>
  <si>
    <t>WM0004-CAP-B-220913-1</t>
  </si>
  <si>
    <t>WM0004-CAP-B-220913-2</t>
  </si>
  <si>
    <t>WM0004-CAP-B-220913-3</t>
  </si>
  <si>
    <t>WM0004-CAP-B-220913-4</t>
  </si>
  <si>
    <t>WM0004-CAP-B-220913-5</t>
  </si>
  <si>
    <t>WM0004-CAP-B-220913-6</t>
  </si>
  <si>
    <t>WM0004-CAP-B-220913-7</t>
  </si>
  <si>
    <t>WM0004-CAP-B-220913-8</t>
  </si>
  <si>
    <t>WM0004-CAP-B-220913-9</t>
  </si>
  <si>
    <t>SM0002-CAP-B-220913-11</t>
  </si>
  <si>
    <t>SM0002-CAP-B-220913-12</t>
  </si>
  <si>
    <t>SM0002-CAP-B-220913-14</t>
  </si>
  <si>
    <t>SM0002-CAP-B-220913-15</t>
  </si>
  <si>
    <t>SM0002-CAP-B-220913-16</t>
  </si>
  <si>
    <t>SM0002-CAP-B-220913-17</t>
  </si>
  <si>
    <t>SM0002-CAP-B-220913-18</t>
  </si>
  <si>
    <t>-</t>
    <phoneticPr fontId="3"/>
  </si>
  <si>
    <t>大杉管理</t>
    <rPh sb="0" eb="2">
      <t>オオスギ</t>
    </rPh>
    <rPh sb="2" eb="4">
      <t>カンリ</t>
    </rPh>
    <phoneticPr fontId="3"/>
  </si>
  <si>
    <t>J22I2101-01</t>
    <phoneticPr fontId="3"/>
  </si>
  <si>
    <t>大杉試作</t>
    <rPh sb="0" eb="4">
      <t>オオスギシサク</t>
    </rPh>
    <phoneticPr fontId="3"/>
  </si>
  <si>
    <t>鴻池運輸</t>
    <rPh sb="0" eb="2">
      <t>コウノイケ</t>
    </rPh>
    <rPh sb="2" eb="4">
      <t>ウンユ</t>
    </rPh>
    <phoneticPr fontId="3"/>
  </si>
  <si>
    <t>SC-29</t>
    <phoneticPr fontId="3"/>
  </si>
  <si>
    <t>J22I2101-04</t>
  </si>
  <si>
    <t>SC-30</t>
    <phoneticPr fontId="3"/>
  </si>
  <si>
    <t>J21L2201-09</t>
    <phoneticPr fontId="3"/>
  </si>
  <si>
    <t>J22I0802-01</t>
    <phoneticPr fontId="3"/>
  </si>
  <si>
    <t>SC-31</t>
    <phoneticPr fontId="3"/>
  </si>
  <si>
    <t>SC-32</t>
  </si>
  <si>
    <t>SC-32</t>
    <phoneticPr fontId="3"/>
  </si>
  <si>
    <t>3291055-005</t>
    <phoneticPr fontId="3"/>
  </si>
  <si>
    <t>E5100 38μ</t>
    <phoneticPr fontId="3"/>
  </si>
  <si>
    <t>SC-33</t>
  </si>
  <si>
    <t>WM0002-MXJ-K2-220127_1-34_a_600mm</t>
    <phoneticPr fontId="3"/>
  </si>
  <si>
    <t>WM0002-MXJ-K2-220127_1-34_a_300mm</t>
    <phoneticPr fontId="3"/>
  </si>
  <si>
    <t>WM0002-MXJ-K2-220127_1-34_a_100mm</t>
    <phoneticPr fontId="3"/>
  </si>
  <si>
    <t>WM0002-MXJ-K2-220127_1-34_a_50mm</t>
    <phoneticPr fontId="3"/>
  </si>
  <si>
    <t>幅短い</t>
    <rPh sb="0" eb="1">
      <t>ハバ</t>
    </rPh>
    <rPh sb="1" eb="2">
      <t>ミジカ</t>
    </rPh>
    <phoneticPr fontId="3"/>
  </si>
  <si>
    <t>SM0002-MXJ-K2-220127_1-36_600mm</t>
    <phoneticPr fontId="3"/>
  </si>
  <si>
    <t>SM0002-MXJ-K2-220127_1-36_300mm</t>
    <phoneticPr fontId="3"/>
  </si>
  <si>
    <t>SM0002-MXJ-K2-220127_1-36_100mm</t>
    <phoneticPr fontId="3"/>
  </si>
  <si>
    <t>SM0002-MXJ-K2-220127_1-36_50mm</t>
    <phoneticPr fontId="3"/>
  </si>
  <si>
    <t>J22I2101-03_200</t>
    <phoneticPr fontId="3"/>
  </si>
  <si>
    <t>J22I2101-03_100</t>
    <phoneticPr fontId="3"/>
  </si>
  <si>
    <t>WM0004-MXJ-K2-220713</t>
    <phoneticPr fontId="3"/>
  </si>
  <si>
    <t>エクシング</t>
    <phoneticPr fontId="3"/>
  </si>
  <si>
    <t>SM0004-MXJ-K2-220903-1_10</t>
  </si>
  <si>
    <t>SM0004-MXJ-K2-220903-12</t>
  </si>
  <si>
    <t>WM0004-MXJ-K2-220921-1_8_a</t>
  </si>
  <si>
    <t>WM0004-MXJ-K2-220921-9_a</t>
  </si>
  <si>
    <t>WM0004-MXJ-K2-220921-1_36_b</t>
  </si>
  <si>
    <t>WM0004-MXJ-K2-220921-42_b</t>
  </si>
  <si>
    <t>WM0004-MXJ-K2-220921-1_37_c</t>
  </si>
  <si>
    <t>WM0004-MXJ-K2-220921-39_c</t>
  </si>
  <si>
    <t>SM0004-MXJ-K2-220921-1_39_a</t>
  </si>
  <si>
    <t>SM0004-MXJ-K2-220921-40_a</t>
  </si>
  <si>
    <t>SM0004-MXJ-K2-220921-1_38_b</t>
  </si>
  <si>
    <t>SM0004-MXJ-K2-220921-39_b</t>
  </si>
  <si>
    <t>SM0004-MXJ-K2-220921-40_b</t>
  </si>
  <si>
    <t>SM0004-MXJ-K2-220921-1_38_c</t>
  </si>
  <si>
    <t>SM0004-MXJ-K2-220921-39_c</t>
  </si>
  <si>
    <t>SM0004-MXJ-K2-220921-40_c</t>
  </si>
  <si>
    <t>SM0004-MXJ-K2-220921-41_c</t>
  </si>
  <si>
    <t>WM0004-MXJ-K2-220713-1_37</t>
  </si>
  <si>
    <t>WM0002-MXJ-K2-220713-1_39</t>
  </si>
  <si>
    <t>SM0002-MXJ-K2-220713-37</t>
  </si>
  <si>
    <t>SM0002-MXJ-K2-220713-38</t>
  </si>
  <si>
    <t>SM0002-MXJ-K2-220713-39</t>
  </si>
  <si>
    <t>SM0002-MXJ-K2-220713-41</t>
  </si>
  <si>
    <t>SM0002-MXJ-K2-220713-1_35</t>
  </si>
  <si>
    <t>WM0001-2-MXJ-K2-25M</t>
    <phoneticPr fontId="3"/>
  </si>
  <si>
    <t>WHMT0000a-CAP-TP50F-20220425-2</t>
    <phoneticPr fontId="3"/>
  </si>
  <si>
    <t>WHMTe0000a-MXJ-AS-25M_切り出し用</t>
    <phoneticPr fontId="3"/>
  </si>
  <si>
    <t>透明</t>
    <rPh sb="0" eb="2">
      <t>トウメイ</t>
    </rPh>
    <phoneticPr fontId="2"/>
  </si>
  <si>
    <t>A6-CL-EM_20220801-2</t>
  </si>
  <si>
    <t>A6-CL-EM_20220801-5</t>
  </si>
  <si>
    <t>A6-CL-EM_20220801-6</t>
  </si>
  <si>
    <t>A6-CL-EM_20220801-7</t>
  </si>
  <si>
    <t>A6-CL-EM_20220801-8</t>
  </si>
  <si>
    <t>A6-CL-EM_20220801-9</t>
  </si>
  <si>
    <t>A6-CL-EM_20220801-10</t>
  </si>
  <si>
    <t>SC-17</t>
  </si>
  <si>
    <t>SC-18</t>
  </si>
  <si>
    <t>大杉試作(粘着フィルム)</t>
    <rPh sb="0" eb="4">
      <t>オオスギシサク</t>
    </rPh>
    <rPh sb="5" eb="7">
      <t>ネンチャク</t>
    </rPh>
    <phoneticPr fontId="3"/>
  </si>
  <si>
    <t>大杉試作(3層ラミフィルム)</t>
    <rPh sb="0" eb="4">
      <t>オオスギシサク</t>
    </rPh>
    <phoneticPr fontId="3"/>
  </si>
  <si>
    <t>大杉試作(離型紙)</t>
    <rPh sb="0" eb="4">
      <t>オオスギシサク</t>
    </rPh>
    <phoneticPr fontId="3"/>
  </si>
  <si>
    <t>大杉試作(PET_銀蒸着なし)</t>
    <rPh sb="0" eb="4">
      <t>オオスギシサク</t>
    </rPh>
    <phoneticPr fontId="3"/>
  </si>
  <si>
    <t>C16-CL-EM_20221101-1</t>
  </si>
  <si>
    <t>C16-CL-EM_20221101-2</t>
  </si>
  <si>
    <t>C16-CL-EM_20221101-3</t>
  </si>
  <si>
    <t>C16-CL-EM_20221101-4</t>
  </si>
  <si>
    <t>C16-CL-EM_20221101-5</t>
  </si>
  <si>
    <t>C16-CL-EM_20221101-6</t>
  </si>
  <si>
    <t>C16-CL-EM_20221101-7</t>
  </si>
  <si>
    <t>C16-CL-EM_20221101-8</t>
  </si>
  <si>
    <t>C16-CL-EM_20221101-9</t>
  </si>
  <si>
    <t>C16-CL-EM_20221101-10</t>
  </si>
  <si>
    <t>210220198-1</t>
  </si>
  <si>
    <t>210220198-2</t>
  </si>
  <si>
    <t>210220198-3</t>
  </si>
  <si>
    <t>210220198-4</t>
  </si>
  <si>
    <t>210220198-5</t>
  </si>
  <si>
    <t>210220198-6</t>
  </si>
  <si>
    <t>210220198-7</t>
  </si>
  <si>
    <t>210220198-8</t>
  </si>
  <si>
    <t>210220198-9</t>
  </si>
  <si>
    <t>210220198-10</t>
  </si>
  <si>
    <t>SC-34</t>
  </si>
  <si>
    <t>SC-35</t>
  </si>
  <si>
    <t>SM0001-9</t>
    <phoneticPr fontId="3"/>
  </si>
  <si>
    <t>J22F2902-06</t>
    <phoneticPr fontId="3"/>
  </si>
  <si>
    <t>PET</t>
    <phoneticPr fontId="3"/>
  </si>
  <si>
    <t>OIP221110-1</t>
  </si>
  <si>
    <t>OIP221110-2</t>
  </si>
  <si>
    <t>OIP221110-3</t>
  </si>
  <si>
    <t>OIP221110-4</t>
  </si>
  <si>
    <t>OIP221110-5</t>
  </si>
  <si>
    <t>OIP221110-6</t>
  </si>
  <si>
    <t>SC-36</t>
  </si>
  <si>
    <t>SC-37</t>
  </si>
  <si>
    <t>SC-38</t>
  </si>
  <si>
    <t>SC-39</t>
  </si>
  <si>
    <t>SC-40</t>
  </si>
  <si>
    <t>SC-41</t>
  </si>
  <si>
    <t>SC-SVMT210325_1-2-A-MX-BW-25M</t>
    <phoneticPr fontId="3"/>
  </si>
  <si>
    <t>SC-SVMT210325_4-A-MD-25M</t>
    <phoneticPr fontId="3"/>
  </si>
  <si>
    <t>SC-SVMT210325_5-A-ME-25M</t>
    <phoneticPr fontId="3"/>
  </si>
  <si>
    <t>SC-SVMT210325_5-A-MF-25M</t>
    <phoneticPr fontId="3"/>
  </si>
  <si>
    <t>SVMTe0000a-MXB-25M</t>
    <phoneticPr fontId="3"/>
  </si>
  <si>
    <t>WM0002-MXJ-K2-220127_1-32_b</t>
    <phoneticPr fontId="3"/>
  </si>
  <si>
    <t>WM0002-MXJ-K2-220127_1-18_c</t>
    <phoneticPr fontId="3"/>
  </si>
  <si>
    <t>WM0001-1-MXJ-K2-25M_切り出し用</t>
    <phoneticPr fontId="3"/>
  </si>
  <si>
    <t>ファブリック</t>
  </si>
  <si>
    <t>白</t>
    <rPh sb="0" eb="1">
      <t>シロ</t>
    </rPh>
    <phoneticPr fontId="4"/>
  </si>
  <si>
    <t>小松マテーレ</t>
    <rPh sb="0" eb="2">
      <t>コマツ</t>
    </rPh>
    <phoneticPr fontId="3"/>
  </si>
  <si>
    <t>WM0002-CAPC-20220719-3</t>
    <phoneticPr fontId="3"/>
  </si>
  <si>
    <t>J22F2902-05</t>
    <phoneticPr fontId="3"/>
  </si>
  <si>
    <t>WM0004-CAPC-202211102-1</t>
  </si>
  <si>
    <t>WM0004-CAPC-202211102-3</t>
  </si>
  <si>
    <t>WM0004-CAPC-202211102-4</t>
  </si>
  <si>
    <t>WM0004-CAPC-202211102-5</t>
  </si>
  <si>
    <t>SM0002-CAPC-202211102-7</t>
  </si>
  <si>
    <t>SM0002-CAPC-202211102-8</t>
  </si>
  <si>
    <t>SM0002-CAPC-202211102-9</t>
  </si>
  <si>
    <t>SM0002-CAPC-202211102-10</t>
  </si>
  <si>
    <t>WM0004-CAPC-202211102-11</t>
  </si>
  <si>
    <t>WM0004-CAPC-202211102-12</t>
  </si>
  <si>
    <t>WM0004-CAPC-202211102-13</t>
  </si>
  <si>
    <t>WM0004-CAPC-202211102-14</t>
  </si>
  <si>
    <t>WM0004-CAPC-202211102-15</t>
  </si>
  <si>
    <t>WM0004-CAPC-202211102-16</t>
  </si>
  <si>
    <t>WM0004-CAPC-202211102-17</t>
  </si>
  <si>
    <t>WM0004-CAPC-202211102-18</t>
  </si>
  <si>
    <t>WM0004-CAPC-202211102-19</t>
  </si>
  <si>
    <t>WM0004-CAPC-202211102-20</t>
  </si>
  <si>
    <t>梱包情報</t>
  </si>
  <si>
    <t>重量(梱包前)</t>
  </si>
  <si>
    <t>12~13kg</t>
  </si>
  <si>
    <t>重量(梱包後)</t>
  </si>
  <si>
    <t>13~14kg</t>
  </si>
  <si>
    <t>梱包サイズ</t>
  </si>
  <si>
    <t>長1300㎜×幅235㎜×高225㎜</t>
  </si>
  <si>
    <t>円/5m以下まで</t>
    <phoneticPr fontId="3"/>
  </si>
  <si>
    <t>・CSC(カンボウプラス)5m以上（注意：保管場所から移送時間も考慮すること）</t>
    <phoneticPr fontId="3"/>
  </si>
  <si>
    <t>長さに等により変動</t>
    <rPh sb="0" eb="1">
      <t>ナガ</t>
    </rPh>
    <rPh sb="3" eb="4">
      <t>ナド</t>
    </rPh>
    <rPh sb="7" eb="9">
      <t>ヘンドウ</t>
    </rPh>
    <phoneticPr fontId="3"/>
  </si>
  <si>
    <t>機械の空き状況等で、時間がかかる場合あり</t>
    <rPh sb="0" eb="2">
      <t>キカイ</t>
    </rPh>
    <rPh sb="3" eb="4">
      <t>ア</t>
    </rPh>
    <rPh sb="5" eb="7">
      <t>ジョウキョウ</t>
    </rPh>
    <rPh sb="7" eb="8">
      <t>ナド</t>
    </rPh>
    <rPh sb="10" eb="12">
      <t>ジカン</t>
    </rPh>
    <rPh sb="16" eb="18">
      <t>バアイ</t>
    </rPh>
    <phoneticPr fontId="3"/>
  </si>
  <si>
    <t>裏：グレー</t>
    <rPh sb="0" eb="1">
      <t>ウラ</t>
    </rPh>
    <phoneticPr fontId="3"/>
  </si>
  <si>
    <t>裏：黒</t>
    <rPh sb="0" eb="1">
      <t>ウラ</t>
    </rPh>
    <rPh sb="2" eb="3">
      <t>クロ</t>
    </rPh>
    <phoneticPr fontId="3"/>
  </si>
  <si>
    <t>裏：白</t>
    <rPh sb="0" eb="1">
      <t>ウラ</t>
    </rPh>
    <rPh sb="2" eb="3">
      <t>シロ</t>
    </rPh>
    <phoneticPr fontId="3"/>
  </si>
  <si>
    <t>GL207T04</t>
    <phoneticPr fontId="3"/>
  </si>
  <si>
    <t>GL209T02</t>
    <phoneticPr fontId="3"/>
  </si>
  <si>
    <t>FC208T02</t>
    <phoneticPr fontId="3"/>
  </si>
  <si>
    <t>6号、裏地：グレー</t>
    <rPh sb="3" eb="5">
      <t>ウラジ</t>
    </rPh>
    <phoneticPr fontId="3"/>
  </si>
  <si>
    <t>KUSA、裏地：黒</t>
    <rPh sb="5" eb="7">
      <t>ウラジ</t>
    </rPh>
    <rPh sb="8" eb="9">
      <t>クロ</t>
    </rPh>
    <phoneticPr fontId="3"/>
  </si>
  <si>
    <t>C種、裏地：白</t>
    <rPh sb="6" eb="7">
      <t>シロ</t>
    </rPh>
    <phoneticPr fontId="3"/>
  </si>
  <si>
    <t>B種、裏地：白</t>
    <phoneticPr fontId="3"/>
  </si>
  <si>
    <t>裏地：白</t>
    <rPh sb="3" eb="4">
      <t>シロ</t>
    </rPh>
    <phoneticPr fontId="3"/>
  </si>
  <si>
    <t>SC-42</t>
    <phoneticPr fontId="3"/>
  </si>
  <si>
    <t>GL208T01</t>
    <phoneticPr fontId="3"/>
  </si>
  <si>
    <t>C16-CL-EM_220614_BT70-1</t>
  </si>
  <si>
    <t>C16-CL-EM_220614_BT70-2</t>
  </si>
  <si>
    <t>C16-CL-EM_220614_BT70-3</t>
  </si>
  <si>
    <t>IN11‐15</t>
    <phoneticPr fontId="3"/>
  </si>
  <si>
    <t>IN11-15_02</t>
    <phoneticPr fontId="3"/>
  </si>
  <si>
    <t>IN11-15_03</t>
  </si>
  <si>
    <t>耐候防炎</t>
    <rPh sb="0" eb="2">
      <t>タイコウ</t>
    </rPh>
    <rPh sb="2" eb="4">
      <t>ボウエン</t>
    </rPh>
    <phoneticPr fontId="3"/>
  </si>
  <si>
    <t>SC-43</t>
    <phoneticPr fontId="3"/>
  </si>
  <si>
    <t>J22L1302-02-01</t>
    <phoneticPr fontId="3"/>
  </si>
  <si>
    <t>WM000X-CAP-TP50F-20221103-1</t>
    <phoneticPr fontId="3"/>
  </si>
  <si>
    <t>銀</t>
    <rPh sb="0" eb="1">
      <t>ギン</t>
    </rPh>
    <phoneticPr fontId="4"/>
  </si>
  <si>
    <t>C級品</t>
    <rPh sb="1" eb="3">
      <t>キュウヒン</t>
    </rPh>
    <phoneticPr fontId="3"/>
  </si>
  <si>
    <t>2本に分かれている</t>
    <rPh sb="1" eb="2">
      <t>ホン</t>
    </rPh>
    <rPh sb="3" eb="4">
      <t>ワ</t>
    </rPh>
    <phoneticPr fontId="3"/>
  </si>
  <si>
    <t>SPC1074-202212-A</t>
    <phoneticPr fontId="3"/>
  </si>
  <si>
    <t>SPC1074-202212-C</t>
    <phoneticPr fontId="3"/>
  </si>
  <si>
    <t>全体的にシワがあり</t>
    <rPh sb="0" eb="3">
      <t>ゼンタイテキ</t>
    </rPh>
    <phoneticPr fontId="2"/>
  </si>
  <si>
    <t>全体的に中レベルシワ有、1か所強いシワ有</t>
  </si>
  <si>
    <t>特別仕様</t>
    <rPh sb="0" eb="4">
      <t>トクベツシヨウ</t>
    </rPh>
    <phoneticPr fontId="3"/>
  </si>
  <si>
    <t>SM0002-CAP-B-220913-19</t>
    <phoneticPr fontId="3"/>
  </si>
  <si>
    <t>J23A1101-02-01</t>
  </si>
  <si>
    <t>裏面塩ビフィルム</t>
    <rPh sb="0" eb="2">
      <t>ウラメン</t>
    </rPh>
    <rPh sb="2" eb="3">
      <t>エン</t>
    </rPh>
    <phoneticPr fontId="3"/>
  </si>
  <si>
    <t>SM0003-MXJ-K2-220422_26</t>
    <phoneticPr fontId="3"/>
  </si>
  <si>
    <t>WHMTe0000a-CAP-GL-11_切り出し用</t>
    <phoneticPr fontId="3"/>
  </si>
  <si>
    <t>SM0001-7-CAP-GL-10</t>
    <phoneticPr fontId="3"/>
  </si>
  <si>
    <t>SC-44</t>
  </si>
  <si>
    <t>2月末加工に使用のため出荷禁止</t>
    <rPh sb="1" eb="3">
      <t>ガツマツ</t>
    </rPh>
    <rPh sb="3" eb="5">
      <t>カコウ</t>
    </rPh>
    <rPh sb="6" eb="8">
      <t>シヨウ</t>
    </rPh>
    <rPh sb="11" eb="13">
      <t>シュッカ</t>
    </rPh>
    <rPh sb="13" eb="15">
      <t>キンシ</t>
    </rPh>
    <phoneticPr fontId="3"/>
  </si>
  <si>
    <t>裏面塩ビフィルム</t>
    <rPh sb="0" eb="2">
      <t>ウラメン</t>
    </rPh>
    <rPh sb="2" eb="3">
      <t>エン</t>
    </rPh>
    <phoneticPr fontId="1"/>
  </si>
  <si>
    <t>WM0005-MAG-M04I-20230127-6</t>
  </si>
  <si>
    <t>WM0005-MAG-M04I-20230127-7</t>
  </si>
  <si>
    <t>WM0005-MAG-M04I-20230127-8</t>
  </si>
  <si>
    <t>マグネットシート（白）</t>
    <rPh sb="9" eb="10">
      <t>シロ</t>
    </rPh>
    <phoneticPr fontId="2"/>
  </si>
  <si>
    <t>2023月1月</t>
    <rPh sb="4" eb="5">
      <t>ガツ</t>
    </rPh>
    <rPh sb="6" eb="7">
      <t>ガツ</t>
    </rPh>
    <phoneticPr fontId="3"/>
  </si>
  <si>
    <t>全て研究開発費として計上</t>
    <rPh sb="0" eb="1">
      <t>スベ</t>
    </rPh>
    <rPh sb="2" eb="7">
      <t>ケンキュウカイハツヒ</t>
    </rPh>
    <rPh sb="10" eb="12">
      <t>ケイジョウ</t>
    </rPh>
    <phoneticPr fontId="3"/>
  </si>
  <si>
    <t>SC-45</t>
    <phoneticPr fontId="3"/>
  </si>
  <si>
    <t>C16-CL-XM_2212xx-1</t>
  </si>
  <si>
    <t>IN11-  90-1</t>
  </si>
  <si>
    <t>IN11-107-2</t>
  </si>
  <si>
    <t>SC-46</t>
    <phoneticPr fontId="3"/>
  </si>
  <si>
    <t>透明</t>
    <rPh sb="0" eb="2">
      <t>トウメイ</t>
    </rPh>
    <phoneticPr fontId="3"/>
  </si>
  <si>
    <t>WM0006-CAP-TP50B-20230126-1</t>
  </si>
  <si>
    <t>WM0006-CAP-TP50B-20230126-2</t>
  </si>
  <si>
    <t>WM0006-CAP-TP50B-20230126-3</t>
  </si>
  <si>
    <t>WM0006-CAP-TP50B-20230126-4</t>
  </si>
  <si>
    <t>WM0006-CAP-TP50B-20230126-5</t>
  </si>
  <si>
    <t>WM0006-CAP-TP50B-20230126-6</t>
  </si>
  <si>
    <t>WM0006-CAP-TP50B-20230126-7</t>
  </si>
  <si>
    <t>WM0006-CAP-TP50B-20230126-8</t>
  </si>
  <si>
    <t>WM0006-CAP-TP50B-20230126-9</t>
  </si>
  <si>
    <t>WM0006-CAP-TP50B-20230126-10</t>
  </si>
  <si>
    <t>SPACECOOL防炎ターポリン</t>
  </si>
  <si>
    <t>カンボウプラス</t>
  </si>
  <si>
    <t>GL212T01</t>
    <phoneticPr fontId="3"/>
  </si>
  <si>
    <t>SM0003-MXJ-K2-220422_1-25</t>
    <phoneticPr fontId="3"/>
  </si>
  <si>
    <t>GL201T08</t>
  </si>
  <si>
    <t>SM0002-CAP-TP50F-20220221-2</t>
    <phoneticPr fontId="3"/>
  </si>
  <si>
    <t>WHMT（粘着加工なし）</t>
    <phoneticPr fontId="1"/>
  </si>
  <si>
    <t>SVMT（粘着加工なし）</t>
    <phoneticPr fontId="1"/>
  </si>
  <si>
    <t>J23B2403-01</t>
  </si>
  <si>
    <t>J23B2403-03</t>
  </si>
  <si>
    <t>J23B2403-04</t>
  </si>
  <si>
    <t>J23B2403-05</t>
  </si>
  <si>
    <t>J23B2402-01</t>
  </si>
  <si>
    <t>J23B2402-02</t>
  </si>
  <si>
    <t>SC-47</t>
  </si>
  <si>
    <t>SC-48</t>
  </si>
  <si>
    <t>SC-49</t>
  </si>
  <si>
    <t>SC-50</t>
  </si>
  <si>
    <t>大杉さん試作品研究開発費</t>
    <rPh sb="0" eb="2">
      <t>オオスギ</t>
    </rPh>
    <rPh sb="4" eb="7">
      <t>シサクヒン</t>
    </rPh>
    <rPh sb="7" eb="12">
      <t>ケンキュウカイハツヒ</t>
    </rPh>
    <phoneticPr fontId="3"/>
  </si>
  <si>
    <t>中井工業Pet使用</t>
    <rPh sb="7" eb="9">
      <t>シヨウ</t>
    </rPh>
    <phoneticPr fontId="3"/>
  </si>
  <si>
    <t>SC-51</t>
    <phoneticPr fontId="3"/>
  </si>
  <si>
    <t>SPACECOOL防炎ターポリン</t>
    <phoneticPr fontId="3"/>
  </si>
  <si>
    <t>SPC1074-202212-A-WH-2</t>
  </si>
  <si>
    <t>SPC1074-202212-A-WH-3</t>
  </si>
  <si>
    <t>SPC1074_202210-A</t>
  </si>
  <si>
    <t>SPC1074_202210-C</t>
  </si>
  <si>
    <t>SPC1074_202210-A-SS-1</t>
  </si>
  <si>
    <t>SPC1074_202210-A-SS-2</t>
  </si>
  <si>
    <t>SPC1074_202210-A-SS-3</t>
  </si>
  <si>
    <t>SPC1074_202210-A-SS-4</t>
  </si>
  <si>
    <t>SPC1074_202210-C-SS-5</t>
  </si>
  <si>
    <t>SPC1074-202212-A-SV-1</t>
  </si>
  <si>
    <t>SPC1074-202212-A-SV-2</t>
  </si>
  <si>
    <t>SPC1074-202212-A-SV-3</t>
  </si>
  <si>
    <t>SPC1074-202212-A-SV-4</t>
  </si>
  <si>
    <t>SPC1074-202212-A-WH-1</t>
  </si>
  <si>
    <t>SPC1074-202212-C-WH-4</t>
  </si>
  <si>
    <t>研究所</t>
    <rPh sb="0" eb="3">
      <t>ケンキュウショ</t>
    </rPh>
    <phoneticPr fontId="3"/>
  </si>
  <si>
    <t>デコラティブから返却</t>
    <rPh sb="8" eb="10">
      <t>ヘンキャク</t>
    </rPh>
    <phoneticPr fontId="3"/>
  </si>
  <si>
    <t>2023月3月</t>
    <rPh sb="4" eb="5">
      <t>ガツ</t>
    </rPh>
    <rPh sb="6" eb="7">
      <t>ガツ</t>
    </rPh>
    <phoneticPr fontId="3"/>
  </si>
  <si>
    <t>2023月3月</t>
    <phoneticPr fontId="3"/>
  </si>
  <si>
    <t>AK8-Z330-2</t>
  </si>
  <si>
    <t>AK8-Z330-3</t>
  </si>
  <si>
    <t>AK8-Z330-4</t>
  </si>
  <si>
    <t>ラミ試作品（銀）</t>
    <rPh sb="2" eb="5">
      <t>シサクヒン</t>
    </rPh>
    <rPh sb="6" eb="7">
      <t>ギン</t>
    </rPh>
    <phoneticPr fontId="1"/>
  </si>
  <si>
    <t>裏面塩ビラミ試作（銀）</t>
    <rPh sb="0" eb="2">
      <t>ウラメン</t>
    </rPh>
    <rPh sb="2" eb="3">
      <t>エン</t>
    </rPh>
    <rPh sb="6" eb="8">
      <t>シサク</t>
    </rPh>
    <rPh sb="9" eb="10">
      <t>ギン</t>
    </rPh>
    <phoneticPr fontId="1"/>
  </si>
  <si>
    <t>裏面塩ビラミ試作（白）</t>
    <rPh sb="0" eb="2">
      <t>ウラメン</t>
    </rPh>
    <rPh sb="2" eb="3">
      <t>エン</t>
    </rPh>
    <rPh sb="6" eb="8">
      <t>シサク</t>
    </rPh>
    <rPh sb="9" eb="10">
      <t>シロ</t>
    </rPh>
    <phoneticPr fontId="1"/>
  </si>
  <si>
    <t>NAP230412-1</t>
  </si>
  <si>
    <t>NAP230412-2</t>
  </si>
  <si>
    <t>鴻池運輸</t>
    <phoneticPr fontId="3"/>
  </si>
  <si>
    <t>大杉さん用</t>
    <rPh sb="0" eb="2">
      <t>オオスギ</t>
    </rPh>
    <rPh sb="4" eb="5">
      <t>ヨウ</t>
    </rPh>
    <phoneticPr fontId="3"/>
  </si>
  <si>
    <t>SC-53</t>
  </si>
  <si>
    <t>SC-52</t>
  </si>
  <si>
    <t>J23D1404-01</t>
  </si>
  <si>
    <t>J23D1404-02</t>
  </si>
  <si>
    <t>J23D1404-03</t>
  </si>
  <si>
    <t>J23D1404-04</t>
  </si>
  <si>
    <t>J23D1404-05</t>
  </si>
  <si>
    <t>J23D1402-01</t>
  </si>
  <si>
    <t>大杉さん試作品</t>
    <rPh sb="0" eb="2">
      <t>オオスギ</t>
    </rPh>
    <rPh sb="4" eb="7">
      <t>シサクヒン</t>
    </rPh>
    <phoneticPr fontId="3"/>
  </si>
  <si>
    <t>SC-54</t>
  </si>
  <si>
    <t>SC-55</t>
  </si>
  <si>
    <t>J23B2403-06</t>
    <phoneticPr fontId="3"/>
  </si>
  <si>
    <t>SC-56</t>
  </si>
  <si>
    <t>SC-57</t>
  </si>
  <si>
    <t>210230005-1</t>
  </si>
  <si>
    <t>210230005-2</t>
  </si>
  <si>
    <t>210230005-3</t>
  </si>
  <si>
    <t>210230005-4</t>
  </si>
  <si>
    <t>210230005-5</t>
  </si>
  <si>
    <t>210230005-6</t>
  </si>
  <si>
    <t>210230005-7</t>
  </si>
  <si>
    <t>210230005-8</t>
  </si>
  <si>
    <t>210230005-9</t>
  </si>
  <si>
    <t>210230005-10</t>
  </si>
  <si>
    <t>210230004-1</t>
  </si>
  <si>
    <t>210230004-2</t>
  </si>
  <si>
    <t>210230004-3</t>
  </si>
  <si>
    <t>210230004-4</t>
  </si>
  <si>
    <t>210230004-5</t>
  </si>
  <si>
    <t>210230004-6</t>
  </si>
  <si>
    <t>210230004-7</t>
  </si>
  <si>
    <t>210230004-8</t>
  </si>
  <si>
    <t>210230004-9</t>
  </si>
  <si>
    <t>210230004-10</t>
  </si>
  <si>
    <t>SC-58</t>
  </si>
  <si>
    <t>SC-59</t>
  </si>
  <si>
    <t>SC-60</t>
  </si>
  <si>
    <t>SC-61</t>
  </si>
  <si>
    <t>GL207T04</t>
  </si>
  <si>
    <t>J23D1404-06</t>
    <phoneticPr fontId="3"/>
  </si>
  <si>
    <t>J23E2903-03</t>
  </si>
  <si>
    <t>J23E2903-04</t>
  </si>
  <si>
    <t>J23E2903-05</t>
  </si>
  <si>
    <t>J23E2903-06</t>
  </si>
  <si>
    <t>J23E2903-07</t>
  </si>
  <si>
    <t>J23E2903-08</t>
  </si>
  <si>
    <t>J23E290101-01</t>
  </si>
  <si>
    <t>J23E290101-02</t>
  </si>
  <si>
    <t>J23E3103-03</t>
  </si>
  <si>
    <t>SC-62</t>
  </si>
  <si>
    <t>SC-63</t>
  </si>
  <si>
    <t>SC-64</t>
  </si>
  <si>
    <t>SC-65</t>
  </si>
  <si>
    <t>SC-66</t>
  </si>
  <si>
    <t>裏面塩ﾋﾞﾗﾐ試作品</t>
  </si>
  <si>
    <t>粘着試作品(ﾗﾐ試作品 銀)</t>
  </si>
  <si>
    <t>SVMT（粘着加工なし）</t>
  </si>
  <si>
    <t>SC-67</t>
  </si>
  <si>
    <t>SC-67</t>
    <phoneticPr fontId="3"/>
  </si>
  <si>
    <t>1m×3本</t>
    <rPh sb="4" eb="5">
      <t>ホン</t>
    </rPh>
    <phoneticPr fontId="3"/>
  </si>
  <si>
    <t>出荷不可(鋼板を屋外暴露　大杉調査中　6月30日)</t>
    <rPh sb="0" eb="2">
      <t>シュッカ</t>
    </rPh>
    <rPh sb="2" eb="4">
      <t>フカ</t>
    </rPh>
    <phoneticPr fontId="3"/>
  </si>
  <si>
    <t>出荷不可(鋼板を屋外暴露　大杉調査中　6月31日)</t>
    <rPh sb="0" eb="2">
      <t>シュッカ</t>
    </rPh>
    <rPh sb="2" eb="4">
      <t>フカ</t>
    </rPh>
    <phoneticPr fontId="3"/>
  </si>
  <si>
    <t>出荷不可(鋼板を屋外暴露　大杉調査中　6月32日)</t>
    <rPh sb="0" eb="2">
      <t>シュッカ</t>
    </rPh>
    <rPh sb="2" eb="4">
      <t>フカ</t>
    </rPh>
    <phoneticPr fontId="3"/>
  </si>
  <si>
    <t>出荷不可(鋼板を屋外暴露　大杉調査中　6月33日)</t>
    <rPh sb="0" eb="2">
      <t>シュッカ</t>
    </rPh>
    <rPh sb="2" eb="4">
      <t>フカ</t>
    </rPh>
    <phoneticPr fontId="3"/>
  </si>
  <si>
    <t>出荷不可(鋼板を屋外暴露　大杉調査中　6月34日)</t>
    <rPh sb="0" eb="2">
      <t>シュッカ</t>
    </rPh>
    <rPh sb="2" eb="4">
      <t>フカ</t>
    </rPh>
    <phoneticPr fontId="3"/>
  </si>
  <si>
    <t>出荷不可(鋼板を屋外暴露　大杉調査中　6月35日)</t>
    <rPh sb="0" eb="2">
      <t>シュッカ</t>
    </rPh>
    <rPh sb="2" eb="4">
      <t>フカ</t>
    </rPh>
    <phoneticPr fontId="3"/>
  </si>
  <si>
    <t>A6-CL-EM_20220801-2</t>
    <phoneticPr fontId="3"/>
  </si>
  <si>
    <t>備考2</t>
    <rPh sb="0" eb="2">
      <t>ビコウ2</t>
    </rPh>
    <phoneticPr fontId="3"/>
  </si>
  <si>
    <t>備考3</t>
    <rPh sb="0" eb="2">
      <t>ビコウ2</t>
    </rPh>
    <phoneticPr fontId="3"/>
  </si>
  <si>
    <t>備考4</t>
    <rPh sb="0" eb="2">
      <t>ビコウ2</t>
    </rPh>
    <phoneticPr fontId="3"/>
  </si>
  <si>
    <t>A6-CL-EM</t>
    <phoneticPr fontId="2"/>
  </si>
  <si>
    <t>C16-CL-EM</t>
    <phoneticPr fontId="3"/>
  </si>
  <si>
    <t>A6-CL-EM_2301xx-2</t>
    <phoneticPr fontId="3"/>
  </si>
  <si>
    <t>A6-CL-EM</t>
    <phoneticPr fontId="3"/>
  </si>
  <si>
    <t>C16-CL-EM_210230005-1</t>
  </si>
  <si>
    <t>C16-CL-EM_210230005-2</t>
  </si>
  <si>
    <t>C16-CL-EM_210230005-3</t>
  </si>
  <si>
    <t>C16-CL-EM_210230005-4</t>
  </si>
  <si>
    <t>C16-CL-EM_210230005-5</t>
  </si>
  <si>
    <t>C16-CL-EM_210230005-6</t>
  </si>
  <si>
    <t>C16-CL-EM_210230005-7</t>
  </si>
  <si>
    <t>C16-CL-EM_210230005-8</t>
  </si>
  <si>
    <t>C16-CL-EM_210230005-9</t>
  </si>
  <si>
    <t>C16-CL-EM_210230005-10</t>
  </si>
  <si>
    <t>A6-CL-EM_210230004-1</t>
  </si>
  <si>
    <t>A6-CL-EM_210230004-2</t>
  </si>
  <si>
    <t>A6-CL-EM_210230004-3</t>
  </si>
  <si>
    <t>A6-CL-EM_210230004-4</t>
  </si>
  <si>
    <t>A6-CL-EM_210230004-5</t>
  </si>
  <si>
    <t>A6-CL-EM_210230004-6</t>
  </si>
  <si>
    <t>A6-CL-EM_210230004-7</t>
  </si>
  <si>
    <t>A6-CL-EM_210230004-8</t>
  </si>
  <si>
    <t>A6-CL-EM_210230004-9</t>
  </si>
  <si>
    <t>A6-CL-EM_210230004-10</t>
  </si>
  <si>
    <t>NAP230124-1</t>
  </si>
  <si>
    <t>NAP230124-2</t>
  </si>
  <si>
    <t>NAP230310-1</t>
  </si>
  <si>
    <t>NAP230310-2</t>
  </si>
  <si>
    <t>NAP230310-3</t>
  </si>
  <si>
    <t>2M1506-1</t>
    <phoneticPr fontId="1"/>
  </si>
  <si>
    <t>2M1601-1</t>
    <phoneticPr fontId="1"/>
  </si>
  <si>
    <t>3C0101-1</t>
    <phoneticPr fontId="3"/>
  </si>
  <si>
    <t>3C0102-1</t>
    <phoneticPr fontId="3"/>
  </si>
  <si>
    <t>3C0102-2</t>
    <phoneticPr fontId="3"/>
  </si>
  <si>
    <t>3A2301-1</t>
    <phoneticPr fontId="3"/>
  </si>
  <si>
    <t>3A2301-2</t>
    <phoneticPr fontId="3"/>
  </si>
  <si>
    <t>NA0003</t>
    <phoneticPr fontId="3"/>
  </si>
  <si>
    <t>SM0003-MXJ-K2-220422_1-25_1</t>
    <phoneticPr fontId="3"/>
  </si>
  <si>
    <t>SM0003-MXJ-K2-220422_1-25_2</t>
    <phoneticPr fontId="3"/>
  </si>
  <si>
    <t>SM0003-MXJ-K2-220422_1-25_3</t>
    <phoneticPr fontId="3"/>
  </si>
  <si>
    <t>SM0003-MXJ-K2-220422_1-25_4</t>
    <phoneticPr fontId="3"/>
  </si>
  <si>
    <t>WM0002-MXJ-K2-220422_1-30_b_2</t>
    <phoneticPr fontId="3"/>
  </si>
  <si>
    <t>WM0002-MXJ-K2-220422_1-30_b_3</t>
    <phoneticPr fontId="3"/>
  </si>
  <si>
    <t>WM0004-CAPC-202211102-2-1</t>
    <phoneticPr fontId="3"/>
  </si>
  <si>
    <t>WM0004-CAPC-202211102-2-2</t>
    <phoneticPr fontId="3"/>
  </si>
  <si>
    <t>WM0005-MAG-M04I-20230127-1</t>
  </si>
  <si>
    <t>WM0005-MAG-M04I-20230127-2</t>
  </si>
  <si>
    <t>WM0005-MAG-M04I-20230127-3</t>
  </si>
  <si>
    <t>WM0005-MAG-M04I-20230127-4</t>
  </si>
  <si>
    <t>WM0005-MAG-M04I-20230127-5</t>
  </si>
  <si>
    <t>J23G0601-01</t>
  </si>
  <si>
    <t>J23G0602-01</t>
  </si>
  <si>
    <t>J23G0602-02</t>
  </si>
  <si>
    <t>J23G0602-04</t>
  </si>
  <si>
    <t>J23G0602-03</t>
  </si>
  <si>
    <t>J23G0602-05</t>
  </si>
  <si>
    <t>J23G0602-06</t>
  </si>
  <si>
    <t>J23G0602-07</t>
  </si>
  <si>
    <t>J23G0602-08</t>
  </si>
  <si>
    <t>J23G0602-09</t>
  </si>
  <si>
    <t>J23G0602-10</t>
  </si>
  <si>
    <t>J23G0602-11</t>
  </si>
  <si>
    <t>SC-68</t>
  </si>
  <si>
    <t>SC-69</t>
  </si>
  <si>
    <t>SC-70</t>
  </si>
  <si>
    <t>SC-71</t>
  </si>
  <si>
    <t>SC-72</t>
  </si>
  <si>
    <t>WHMT(粘着なし防炎)</t>
    <phoneticPr fontId="3"/>
  </si>
  <si>
    <t>WHMT(粘着なし)</t>
    <phoneticPr fontId="3"/>
  </si>
  <si>
    <t>SVMT(粘着なし)</t>
    <phoneticPr fontId="3"/>
  </si>
  <si>
    <t>SPACECOOLマグネットシート</t>
    <phoneticPr fontId="3"/>
  </si>
  <si>
    <t>WM0004-MAG-M04I-20230323-1</t>
  </si>
  <si>
    <t>WM0004-MAG-M04I-20230323-2</t>
  </si>
  <si>
    <t>WM0004-MAG-M04I-20230323-3</t>
  </si>
  <si>
    <t>WM0004-MAG-M04I-20230323-4</t>
  </si>
  <si>
    <t>WM0004-MAG-M04I-20230323-5</t>
  </si>
  <si>
    <t>WM0004-MAG-M04I-20230323-6</t>
  </si>
  <si>
    <t>WM0004-MAG-M04I-20230323-7</t>
  </si>
  <si>
    <t>WM0004-MAG-M04I-20230323-8</t>
  </si>
  <si>
    <t>WM0004-MAG-M04I-20230323-9</t>
  </si>
  <si>
    <t>WM0004-MAG-M04I-20230323-10</t>
  </si>
  <si>
    <t>WM0004-MAG-M04I-20230323-11</t>
  </si>
  <si>
    <t>WM0004-MAG-M04I-20230323-12</t>
  </si>
  <si>
    <t>WM0004-MAG-M04I-20230323-13</t>
  </si>
  <si>
    <t>WM0004-MAG-M04I-20230323-14</t>
  </si>
  <si>
    <t>WM0004-MAG-M04I-20230323-15</t>
  </si>
  <si>
    <t>WM0004-MAG-M04I-20230323-16</t>
  </si>
  <si>
    <t>WM0004-MAG-M04I-20230323-17</t>
  </si>
  <si>
    <t>WMN0009-MAG-M04I-20230620-1</t>
  </si>
  <si>
    <t>WMN0009-MAG-M04I-20230620-2</t>
  </si>
  <si>
    <t>WMN0009-MAG-M04I-20230620-3</t>
  </si>
  <si>
    <t>WMN0009-MAG-M04I-20230620-4</t>
  </si>
  <si>
    <t>WMN0009-MAG-M04I-20230620-5</t>
  </si>
  <si>
    <t>WMN0009-MAG-M04I-20230620-6</t>
  </si>
  <si>
    <t>WMN0009-MAG-M04I-20230620-7</t>
  </si>
  <si>
    <t>WMN0009-MAG-M04I-20230620-8</t>
  </si>
  <si>
    <t>WMN0009-MAG-M04I-20230620-9</t>
  </si>
  <si>
    <t>WMN0009-MAG-M04I-20230620-10</t>
  </si>
  <si>
    <t>WMN0009-MAG-M04I-20230620-11</t>
  </si>
  <si>
    <t>WMN0009-MAG-M04I-20230620-12</t>
  </si>
  <si>
    <t>WMN0009-MAG-M04I-20230620-13</t>
  </si>
  <si>
    <t>WMN0009-MAG-M04I-20230620-14</t>
  </si>
  <si>
    <t>WMN0009-MAG-M04I-20230620-15</t>
  </si>
  <si>
    <t>WMN0009-MAG-M04I-20230620-16</t>
  </si>
  <si>
    <t>WMN0009-MAG-M04I-20230620-17</t>
  </si>
  <si>
    <t>WMN0009-MAG-M04I-20230620-18</t>
  </si>
  <si>
    <t>WMN0009-MAG-M04I-20230620-19</t>
  </si>
  <si>
    <t>WMN0009-MAG-M04I-20230620-20</t>
  </si>
  <si>
    <t>WMN0009-MAG-M04I-20230620-21</t>
  </si>
  <si>
    <t>WMN0009-MAG-M04I-20230620-22</t>
  </si>
  <si>
    <t>WMN0009-MAG-M04I-20230620-23</t>
  </si>
  <si>
    <t>WMN0009-MAG-M04I-20230620-24</t>
  </si>
  <si>
    <t>WMN0009-MAG-M04I-20230620-25</t>
  </si>
  <si>
    <t>WMN0009-MAG-M04I-20230620-26</t>
  </si>
  <si>
    <t>WMN0009-MAG-M04I-20230620-27</t>
  </si>
  <si>
    <t>WMN0009-MAG-M04I-20230620-28</t>
  </si>
  <si>
    <t>WMN0009-MAG-M04I-20230620-29</t>
  </si>
  <si>
    <t>WMN0009-MAG-M04I-20230620-30</t>
  </si>
  <si>
    <t>WMN0009-MAG-M04I-20230620-31</t>
  </si>
  <si>
    <t>WMN0009-MAG-M04I-20230620-32</t>
  </si>
  <si>
    <t>WMN0009-MAG-M04I-20230620-33</t>
  </si>
  <si>
    <t>WMN0009-MAG-M04I-20230620-34</t>
  </si>
  <si>
    <t>WMN0009-MAG-M04I-20230620-35</t>
  </si>
  <si>
    <t>WMN0009-MAG-M04I-20230620-36</t>
  </si>
  <si>
    <t>WMN0009-MAG-M04I-20230620-37</t>
  </si>
  <si>
    <t>WMN0009-MAG-M04I-20230620-38</t>
  </si>
  <si>
    <t>WMN0009-MAG-M04I-20230620-39</t>
  </si>
  <si>
    <t>WMN0009-MAG-M04I-20230620-40</t>
  </si>
  <si>
    <t>WMN0009-MAG-M04I-20230620-41</t>
  </si>
  <si>
    <t>WMN0009-MAG-M04I-20230620-42</t>
  </si>
  <si>
    <t>WMN0009-MAG-M04I-20230620-43</t>
  </si>
  <si>
    <t>WMN0009-MAG-M04I-20230620-44</t>
  </si>
  <si>
    <t>WMN0009-MAG-M04I-20230620-45</t>
  </si>
  <si>
    <t>WM-M1X-33n-001-OXX</t>
  </si>
  <si>
    <t>WM-M1X-33n-002-OXX</t>
  </si>
  <si>
    <t>WM-M1X-33n-003-OXX</t>
  </si>
  <si>
    <t>WM-M1X-33n-004-OXX</t>
  </si>
  <si>
    <t>WM-M1X-33n-005-OXX</t>
  </si>
  <si>
    <t>WM-M1X-33n-006-OXX</t>
  </si>
  <si>
    <t>WM-M1X-33n-007-OXX</t>
  </si>
  <si>
    <t>WM-M1X-33n-008-OXX</t>
  </si>
  <si>
    <t>WM-M1X-33n-009-OXX</t>
  </si>
  <si>
    <t>WM-M1X-33n-010-OXX</t>
  </si>
  <si>
    <t>WM-M1X-33n-011-OXX</t>
  </si>
  <si>
    <t>WM-M1X-33n-012-OXX</t>
  </si>
  <si>
    <t>WM-M1X-33n-013-OXX</t>
  </si>
  <si>
    <t>WM-M1X-33n-014-OXX</t>
  </si>
  <si>
    <t>WM-M1X-33n-015-OXX</t>
  </si>
  <si>
    <t>WM-M1X-33n-016-OXX</t>
  </si>
  <si>
    <t>WM-M1X-33n-017-OXX</t>
  </si>
  <si>
    <t>WM-M1X-33n-018-OXX</t>
  </si>
  <si>
    <t>WM-M1X-36m-001-OXX</t>
  </si>
  <si>
    <t>WM-M1X-36m-002-OXX</t>
  </si>
  <si>
    <t>WM-M1X-36m-003-OXX</t>
  </si>
  <si>
    <t>WM-M1X-36m-004-OXX</t>
  </si>
  <si>
    <t>WM-M1X-36m-005-OXX</t>
  </si>
  <si>
    <t>WM-M1X-36m-006-OXX</t>
  </si>
  <si>
    <t>WM-M1X-36m-007-OXX</t>
  </si>
  <si>
    <t>WM-M1X-36m-008-OXX</t>
  </si>
  <si>
    <t>WM-M1X-36m-009-OXX</t>
  </si>
  <si>
    <t>WM-M1X-36m-010-OXX</t>
  </si>
  <si>
    <t>WM-M1X-36m-011-OXX</t>
  </si>
  <si>
    <t>WM-M1X-36m-012-OXX</t>
  </si>
  <si>
    <t>WM-M1X-36m-013-OXX</t>
  </si>
  <si>
    <t>WM-M1X-36m-014-OXX</t>
  </si>
  <si>
    <t>WM-M1X-36m-015-OXX</t>
  </si>
  <si>
    <t>WM-M1X-36m-016-OXX</t>
  </si>
  <si>
    <t>WM-M1X-36m-017-OXX</t>
  </si>
  <si>
    <t>WM-M1X-36m-018-OXX</t>
  </si>
  <si>
    <t>WM-M1X-36m-019-OXX</t>
  </si>
  <si>
    <t>WM-M1X-36m-020-OXX</t>
  </si>
  <si>
    <t>WM-M1X-36m-021-OXX</t>
  </si>
  <si>
    <t>WM-M1X-36m-022-OXX</t>
  </si>
  <si>
    <t>WM-M1X-36m-023-OXX</t>
  </si>
  <si>
    <t>WM-M1X-36m-024-OXX</t>
  </si>
  <si>
    <t>WM-M1X-36m-025-OXX</t>
  </si>
  <si>
    <t>WM-M1X-36m-026-OXX</t>
  </si>
  <si>
    <t>WM-M1X-36m-027-OXX</t>
  </si>
  <si>
    <t>WM-M1X-36m-028-OXX</t>
  </si>
  <si>
    <t>WM-M1X-36m-029-OXX</t>
  </si>
  <si>
    <t>WM-M1X-36m-030-OXX</t>
  </si>
  <si>
    <t>WM-M1X-36m-031-OXX</t>
  </si>
  <si>
    <t>WM-M1X-36m-032-OXX</t>
  </si>
  <si>
    <t>WM-M1X-36m-033-OXX</t>
  </si>
  <si>
    <t>WM-M1X-36m-034-OXX</t>
  </si>
  <si>
    <t>WM-M1X-36m-035-OXX</t>
  </si>
  <si>
    <t>WM-M1X-36m-036-OXX</t>
  </si>
  <si>
    <t>WM-M1X-36m-037-OXX</t>
  </si>
  <si>
    <t>WM-M1X-36m-038-OXX</t>
  </si>
  <si>
    <t>WM-M1X-36m-039-OXX</t>
  </si>
  <si>
    <t>WM-M1X-36m-040-OXX</t>
  </si>
  <si>
    <t>WM-M1X-36m-041-OXX</t>
  </si>
  <si>
    <t>WM-M1X-36m-042-OXX</t>
  </si>
  <si>
    <t>WM-M1X-36m-043-OXX</t>
  </si>
  <si>
    <t>WM-M1X-36m-044-OXX</t>
  </si>
  <si>
    <t>SC-73</t>
  </si>
  <si>
    <t>J23B2403-02</t>
    <phoneticPr fontId="3"/>
  </si>
  <si>
    <t>SC-47</t>
    <phoneticPr fontId="3"/>
  </si>
  <si>
    <t>4m、0.7m</t>
    <phoneticPr fontId="3"/>
  </si>
  <si>
    <t>小田さん用</t>
    <rPh sb="0" eb="2">
      <t>オダ</t>
    </rPh>
    <rPh sb="4" eb="5">
      <t>ヨウ</t>
    </rPh>
    <phoneticPr fontId="3"/>
  </si>
  <si>
    <t>3.6m1本</t>
    <phoneticPr fontId="3"/>
  </si>
  <si>
    <t>WM0005-MXJ-K2-230607-1_41</t>
  </si>
  <si>
    <t>WM0005-MXJ-K2-230607-42</t>
  </si>
  <si>
    <t>WM0005-MXJ-K2-230607-43</t>
  </si>
  <si>
    <t>WM0005-MXJ-K2-230607-44</t>
  </si>
  <si>
    <t>WM0005-MXJ-K2-230607-45</t>
  </si>
  <si>
    <t>SM0005-MXJ-K2-230607-1_42</t>
    <phoneticPr fontId="3"/>
  </si>
  <si>
    <t>SM0005-MXJ-K2-230607-1_36</t>
    <phoneticPr fontId="3"/>
  </si>
  <si>
    <t>WMＮ0008-MXJ-K2-230724-1_39</t>
    <phoneticPr fontId="3"/>
  </si>
  <si>
    <t>WMＮ0008-MXJ-K2-230724-40</t>
    <phoneticPr fontId="3"/>
  </si>
  <si>
    <t>WMＮ0008-MXJ-K2-230724-42_43</t>
    <phoneticPr fontId="3"/>
  </si>
  <si>
    <t>SM0005-MXJ-K2-230607-37</t>
    <phoneticPr fontId="3"/>
  </si>
  <si>
    <t>SM0005-MXJ-K2-230607-38</t>
    <phoneticPr fontId="3"/>
  </si>
  <si>
    <t>SMＮ0007-MXJ-K2-230724-28</t>
    <phoneticPr fontId="3"/>
  </si>
  <si>
    <t>SMＮ0007-MXJ-K2-230724-1_27</t>
    <phoneticPr fontId="3"/>
  </si>
  <si>
    <t>WMＮ0008-MXJ-K2-230724-41</t>
    <phoneticPr fontId="3"/>
  </si>
  <si>
    <t>J22I0801-03</t>
    <phoneticPr fontId="3"/>
  </si>
  <si>
    <t>870m1本,130m1本</t>
    <rPh sb="5" eb="6">
      <t>ホン</t>
    </rPh>
    <rPh sb="12" eb="13">
      <t>ホン</t>
    </rPh>
    <phoneticPr fontId="3"/>
  </si>
  <si>
    <t>SCM-050F-OFW</t>
    <phoneticPr fontId="3"/>
  </si>
  <si>
    <t>GL209T02</t>
  </si>
  <si>
    <t>ロジフォース</t>
    <phoneticPr fontId="3"/>
  </si>
  <si>
    <t>ー</t>
    <phoneticPr fontId="3"/>
  </si>
  <si>
    <t>倉庫へ午前中までの出荷指示で、最短翌日出荷</t>
    <rPh sb="3" eb="6">
      <t>ゴゼンチュウ</t>
    </rPh>
    <phoneticPr fontId="3"/>
  </si>
  <si>
    <t>103cm×50m</t>
    <phoneticPr fontId="3"/>
  </si>
  <si>
    <t>・山本運輸5m以下</t>
    <phoneticPr fontId="3"/>
  </si>
  <si>
    <t>WM0009-MXJ-K2-230623</t>
  </si>
  <si>
    <t>SM0009-MXJ-K2-230623</t>
  </si>
  <si>
    <t>M009331-01</t>
  </si>
  <si>
    <t>SPACECOOLマグネットシート</t>
  </si>
  <si>
    <t>AK8-Z810-7</t>
  </si>
  <si>
    <t>AKX-Z810-1</t>
  </si>
  <si>
    <t>SC-74</t>
  </si>
  <si>
    <t>GL208T02-1</t>
  </si>
  <si>
    <t>GL208T02-2</t>
  </si>
  <si>
    <t>GL208T02-3</t>
  </si>
  <si>
    <t>GL208T02-4</t>
  </si>
  <si>
    <t>GL208T02-5</t>
  </si>
  <si>
    <t>GL208T02-6</t>
  </si>
  <si>
    <t>GL208T02-7</t>
  </si>
  <si>
    <t>GL208T02-8</t>
  </si>
  <si>
    <t>GL208T02-9</t>
  </si>
  <si>
    <t>GL208T02-10</t>
  </si>
  <si>
    <t>GL208T02-11</t>
  </si>
  <si>
    <t>GL208T02-12</t>
  </si>
  <si>
    <t>GL208T02-13</t>
  </si>
  <si>
    <t>GL208T02-14</t>
  </si>
  <si>
    <t>GL208T02-15</t>
  </si>
  <si>
    <t>GL208T02-16</t>
  </si>
  <si>
    <t>GL208T02-17</t>
  </si>
  <si>
    <t>GL208T02-18</t>
  </si>
  <si>
    <t>GL208T02-19</t>
  </si>
  <si>
    <t>SPACECOOL帆布(防炎)</t>
    <rPh sb="9" eb="11">
      <t>ハンプ</t>
    </rPh>
    <rPh sb="12" eb="14">
      <t>ボウエン</t>
    </rPh>
    <phoneticPr fontId="2"/>
  </si>
  <si>
    <t>TP-50F-1</t>
    <phoneticPr fontId="3"/>
  </si>
  <si>
    <t>TP-50F-2</t>
  </si>
  <si>
    <t>TP-50F-3</t>
  </si>
  <si>
    <t>TP-50F-7</t>
    <phoneticPr fontId="3"/>
  </si>
  <si>
    <t>TP-50F-8</t>
  </si>
  <si>
    <t>TP-50F-9</t>
  </si>
  <si>
    <t>SPC1074_202309-A-SV-1</t>
  </si>
  <si>
    <t>SPC1074_202309-A-SV-2</t>
  </si>
  <si>
    <t>SPC1074_202309-A-SV-3</t>
  </si>
  <si>
    <t>SPC1074_202309-A-SV-4</t>
  </si>
  <si>
    <t>シルバー</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</si>
</sst>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_);[Red]\(&quot;¥&quot;#,##0\)"/>
    <numFmt numFmtId="177" formatCode="yyyy&quot;年&quot;m&quot;月&quot;;@"/>
    <numFmt numFmtId="178" formatCode="0_ "/>
  </numFmts>
  <fonts count="21">
    <font>
      <sz val="11"/>
      <color theme="1"/>
      <name val="游ゴシック"/>
      <family val="2"/>
      <charset val="128"/>
      <scheme val="minor"/>
    </font>
    <font>
      <sz val="11"/>
      <color theme="1"/>
      <name val="游ゴシック"/>
      <family val="2"/>
      <charset val="128"/>
      <scheme val="minor"/>
    </font>
    <font>
      <sz val="11"/>
      <color theme="1"/>
      <name val="游ゴシック"/>
      <family val="3"/>
      <charset val="128"/>
      <scheme val="minor"/>
    </font>
    <font>
      <sz val="6"/>
      <name val="游ゴシック"/>
      <family val="2"/>
      <charset val="128"/>
      <scheme val="minor"/>
    </font>
    <font>
      <sz val="11"/>
      <color theme="1"/>
      <name val="游ゴシック"/>
      <family val="3"/>
      <charset val="128"/>
      <scheme val="minor"/>
    </font>
    <font>
      <b/>
      <sz val="11"/>
      <color rgb="FFFF0000"/>
      <name val="游ゴシック"/>
      <family val="3"/>
      <charset val="128"/>
    </font>
    <font>
      <sz val="11"/>
      <color theme="1"/>
      <name val="游ゴシック"/>
      <family val="3"/>
      <charset val="128"/>
    </font>
    <font>
      <b/>
      <sz val="11"/>
      <color theme="1"/>
      <name val="游ゴシック"/>
      <family val="3"/>
      <charset val="128"/>
    </font>
    <font>
      <sz val="11"/>
      <color rgb="FF000000"/>
      <name val="游ゴシック"/>
      <family val="3"/>
      <charset val="128"/>
    </font>
    <font>
      <sz val="11"/>
      <color rgb="FFFF0000"/>
      <name val="游ゴシック"/>
      <family val="3"/>
      <charset val="128"/>
    </font>
    <font>
      <sz val="11"/>
      <name val="Calibri"/>
      <family val="2"/>
    </font>
    <font>
      <sz val="11"/>
      <color rgb="FF1D1C1D"/>
      <name val="游ゴシック"/>
      <family val="3"/>
      <charset val="128"/>
    </font>
    <font>
      <u/>
      <sz val="11"/>
      <color rgb="FF1155CC"/>
      <name val="游ゴシック"/>
      <family val="3"/>
      <charset val="128"/>
    </font>
    <font>
      <b/>
      <sz val="11"/>
      <color indexed="81"/>
      <name val="MS P ゴシック"/>
      <family val="3"/>
      <charset val="128"/>
    </font>
    <font>
      <b/>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0"/>
      <color rgb="FFFF0000"/>
      <name val="游ゴシック"/>
      <family val="3"/>
      <charset val="128"/>
      <scheme val="minor"/>
    </font>
    <font>
      <sz val="10"/>
      <color theme="1"/>
      <name val="游ゴシック"/>
      <family val="3"/>
      <charset val="128"/>
    </font>
    <font>
      <sz val="10"/>
      <name val="游ゴシック"/>
      <family val="3"/>
      <charset val="128"/>
      <scheme val="minor"/>
    </font>
    <font>
      <strike/>
      <sz val="10"/>
      <color theme="1"/>
      <name val="游ゴシック"/>
      <family val="3"/>
      <charset val="128"/>
      <scheme val="minor"/>
    </font>
  </fonts>
  <fills count="21">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9FC5E8"/>
        <bgColor rgb="FF9FC5E8"/>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D9E2F3"/>
        <bgColor rgb="FFD9E2F3"/>
      </patternFill>
    </fill>
    <fill>
      <patternFill patternType="solid">
        <fgColor rgb="FFD9E1F2"/>
        <bgColor rgb="FFD9E1F2"/>
      </patternFill>
    </fill>
    <fill>
      <patternFill patternType="solid">
        <fgColor rgb="FFF8F8F8"/>
        <bgColor rgb="FFF8F8F8"/>
      </patternFill>
    </fill>
    <fill>
      <patternFill patternType="solid">
        <fgColor theme="2"/>
        <bgColor rgb="FFDEEAF6"/>
      </patternFill>
    </fill>
    <fill>
      <patternFill patternType="solid">
        <fgColor rgb="FFD9EAD3"/>
        <bgColor indexed="64"/>
      </patternFill>
    </fill>
    <fill>
      <patternFill patternType="solid">
        <fgColor theme="7" tint="0.39997558519241921"/>
        <bgColor indexed="64"/>
      </patternFill>
    </fill>
    <fill>
      <patternFill patternType="solid">
        <fgColor theme="0"/>
        <bgColor indexed="64"/>
      </patternFill>
    </fill>
    <fill>
      <patternFill patternType="solid">
        <fgColor theme="1" tint="0.499984740745262"/>
        <bgColor indexed="64"/>
      </patternFill>
    </fill>
    <fill>
      <patternFill patternType="solid">
        <fgColor rgb="FFFFFF00"/>
        <bgColor indexed="64"/>
      </patternFill>
    </fill>
  </fills>
  <borders count="14">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rgb="FFCCCCCC"/>
      </left>
      <right/>
      <top style="medium">
        <color rgb="FF000000"/>
      </top>
      <bottom/>
      <diagonal/>
    </border>
    <border>
      <left/>
      <right style="medium">
        <color rgb="FFCCCCCC"/>
      </right>
      <top style="medium">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thin">
        <color indexed="64"/>
      </top>
      <bottom/>
      <diagonal/>
    </border>
  </borders>
  <cellStyleXfs count="3">
    <xf numFmtId="0" fontId="0" fillId="0" borderId="0">
      <alignment vertical="center"/>
    </xf>
    <xf numFmtId="0" fontId="4" fillId="0" borderId="0"/>
    <xf numFmtId="0" fontId="4" fillId="0" borderId="0"/>
  </cellStyleXfs>
  <cellXfs count="141">
    <xf numFmtId="0" fontId="0" fillId="0" borderId="0" xfId="0">
      <alignment vertical="center"/>
    </xf>
    <xf numFmtId="0" fontId="2" fillId="0" borderId="2" xfId="0" applyFont="1" applyBorder="1" applyAlignment="1">
      <alignment vertical="center" wrapText="1"/>
    </xf>
    <xf numFmtId="0" fontId="5" fillId="0" borderId="0" xfId="1" applyFont="1" applyAlignment="1">
      <alignment vertical="center"/>
    </xf>
    <xf numFmtId="0" fontId="6" fillId="0" borderId="0" xfId="1" applyFont="1" applyAlignment="1">
      <alignment vertical="center"/>
    </xf>
    <xf numFmtId="0" fontId="2" fillId="0" borderId="0" xfId="1" applyFont="1" applyAlignment="1">
      <alignment vertical="center"/>
    </xf>
    <xf numFmtId="0" fontId="7" fillId="6" borderId="0" xfId="1" applyFont="1" applyFill="1" applyAlignment="1">
      <alignment vertical="center"/>
    </xf>
    <xf numFmtId="0" fontId="6" fillId="0" borderId="0" xfId="1" applyFont="1" applyAlignment="1">
      <alignment vertical="center" wrapText="1"/>
    </xf>
    <xf numFmtId="0" fontId="8" fillId="7" borderId="0" xfId="1" applyFont="1" applyFill="1" applyAlignment="1">
      <alignment vertical="center"/>
    </xf>
    <xf numFmtId="0" fontId="9" fillId="0" borderId="0" xfId="1" applyFont="1" applyAlignment="1">
      <alignment vertical="center"/>
    </xf>
    <xf numFmtId="0" fontId="7" fillId="8" borderId="0" xfId="1" applyFont="1" applyFill="1" applyAlignment="1">
      <alignment vertical="center"/>
    </xf>
    <xf numFmtId="0" fontId="6" fillId="8" borderId="0" xfId="1" applyFont="1" applyFill="1" applyAlignment="1">
      <alignment vertical="center"/>
    </xf>
    <xf numFmtId="0" fontId="6" fillId="8" borderId="3" xfId="1" applyFont="1" applyFill="1" applyBorder="1" applyAlignment="1">
      <alignment vertical="center"/>
    </xf>
    <xf numFmtId="0" fontId="6" fillId="0" borderId="3" xfId="1" applyFont="1" applyBorder="1" applyAlignment="1">
      <alignment vertical="center"/>
    </xf>
    <xf numFmtId="0" fontId="5" fillId="9" borderId="3" xfId="1" applyFont="1" applyFill="1" applyBorder="1" applyAlignment="1">
      <alignment vertical="center"/>
    </xf>
    <xf numFmtId="0" fontId="7" fillId="10" borderId="0" xfId="1" applyFont="1" applyFill="1" applyAlignment="1">
      <alignment vertical="center"/>
    </xf>
    <xf numFmtId="0" fontId="6" fillId="10" borderId="0" xfId="1" applyFont="1" applyFill="1" applyAlignment="1">
      <alignment vertical="center"/>
    </xf>
    <xf numFmtId="0" fontId="6" fillId="10" borderId="3" xfId="1" applyFont="1" applyFill="1" applyBorder="1" applyAlignment="1">
      <alignment vertical="center"/>
    </xf>
    <xf numFmtId="0" fontId="7" fillId="11" borderId="0" xfId="1" applyFont="1" applyFill="1" applyAlignment="1">
      <alignment vertical="center"/>
    </xf>
    <xf numFmtId="0" fontId="6" fillId="11" borderId="0" xfId="1" applyFont="1" applyFill="1" applyAlignment="1">
      <alignment vertical="center"/>
    </xf>
    <xf numFmtId="0" fontId="6" fillId="12" borderId="0" xfId="1" applyFont="1" applyFill="1" applyAlignment="1">
      <alignment vertical="center"/>
    </xf>
    <xf numFmtId="0" fontId="11" fillId="14" borderId="0" xfId="1" applyFont="1" applyFill="1" applyAlignment="1">
      <alignment horizontal="left" vertical="center"/>
    </xf>
    <xf numFmtId="0" fontId="12" fillId="14" borderId="0" xfId="1" applyFont="1" applyFill="1" applyAlignment="1">
      <alignment horizontal="left" vertical="center"/>
    </xf>
    <xf numFmtId="0" fontId="2" fillId="0" borderId="0" xfId="2" applyFont="1" applyAlignment="1">
      <alignment vertical="center"/>
    </xf>
    <xf numFmtId="0" fontId="2" fillId="0" borderId="2" xfId="2" applyFont="1" applyBorder="1" applyAlignment="1">
      <alignment vertical="center"/>
    </xf>
    <xf numFmtId="0" fontId="6" fillId="0" borderId="2" xfId="2" applyFont="1" applyBorder="1" applyAlignment="1">
      <alignment horizontal="center" vertical="center"/>
    </xf>
    <xf numFmtId="0" fontId="11" fillId="0" borderId="2" xfId="2" applyFont="1" applyBorder="1" applyAlignment="1">
      <alignment vertical="center"/>
    </xf>
    <xf numFmtId="0" fontId="6" fillId="0" borderId="2" xfId="2" applyFont="1" applyBorder="1" applyAlignment="1">
      <alignment vertical="center"/>
    </xf>
    <xf numFmtId="0" fontId="6" fillId="15" borderId="2" xfId="2" applyFont="1" applyFill="1" applyBorder="1" applyAlignment="1">
      <alignment horizontal="center" vertical="center"/>
    </xf>
    <xf numFmtId="0" fontId="2" fillId="3" borderId="2" xfId="2" applyFont="1" applyFill="1" applyBorder="1" applyAlignment="1">
      <alignment vertical="center"/>
    </xf>
    <xf numFmtId="0" fontId="6" fillId="3" borderId="2" xfId="2" applyFont="1" applyFill="1" applyBorder="1" applyAlignment="1">
      <alignment horizontal="center" vertical="center"/>
    </xf>
    <xf numFmtId="0" fontId="11" fillId="3" borderId="2" xfId="2" applyFont="1" applyFill="1" applyBorder="1" applyAlignment="1">
      <alignment vertical="center"/>
    </xf>
    <xf numFmtId="0" fontId="6" fillId="3" borderId="2" xfId="2" applyFont="1" applyFill="1" applyBorder="1" applyAlignment="1">
      <alignment vertical="center"/>
    </xf>
    <xf numFmtId="56" fontId="2" fillId="0" borderId="7" xfId="2" applyNumberFormat="1" applyFont="1" applyBorder="1" applyAlignment="1">
      <alignment vertical="center"/>
    </xf>
    <xf numFmtId="0" fontId="2" fillId="5" borderId="6" xfId="2" applyFont="1" applyFill="1" applyBorder="1" applyAlignment="1">
      <alignment horizontal="center" vertical="center"/>
    </xf>
    <xf numFmtId="0" fontId="2" fillId="0" borderId="2" xfId="2" applyFont="1" applyBorder="1" applyAlignment="1">
      <alignment horizontal="center" vertical="center"/>
    </xf>
    <xf numFmtId="0" fontId="2" fillId="3" borderId="2" xfId="2" applyFont="1" applyFill="1" applyBorder="1" applyAlignment="1">
      <alignment horizontal="center" vertical="center"/>
    </xf>
    <xf numFmtId="0" fontId="10" fillId="0" borderId="0" xfId="1" applyFont="1" applyAlignment="1">
      <alignment vertical="center"/>
    </xf>
    <xf numFmtId="0" fontId="6" fillId="13" borderId="4" xfId="1" applyFont="1" applyFill="1" applyBorder="1" applyAlignment="1">
      <alignment vertical="center"/>
    </xf>
    <xf numFmtId="0" fontId="6" fillId="0" borderId="2" xfId="1" applyFont="1" applyBorder="1" applyAlignment="1">
      <alignment vertical="center"/>
    </xf>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2" xfId="0" applyFont="1" applyFill="1" applyBorder="1" applyAlignment="1">
      <alignment horizontal="left" vertical="center"/>
    </xf>
    <xf numFmtId="0" fontId="15" fillId="0" borderId="0" xfId="0" applyFont="1">
      <alignment vertical="center"/>
    </xf>
    <xf numFmtId="0" fontId="15" fillId="0" borderId="2" xfId="0" applyFont="1" applyBorder="1">
      <alignment vertical="center"/>
    </xf>
    <xf numFmtId="0" fontId="15" fillId="0" borderId="2" xfId="0" applyFont="1" applyBorder="1" applyAlignment="1">
      <alignment vertical="center" wrapText="1"/>
    </xf>
    <xf numFmtId="0" fontId="15" fillId="0" borderId="2" xfId="0" applyFont="1" applyBorder="1" applyAlignment="1">
      <alignment horizontal="right" vertical="center"/>
    </xf>
    <xf numFmtId="0" fontId="15" fillId="0" borderId="2" xfId="0" applyFont="1" applyBorder="1" applyAlignment="1">
      <alignment horizontal="center" vertical="center"/>
    </xf>
    <xf numFmtId="176" fontId="15" fillId="0" borderId="2" xfId="0" applyNumberFormat="1" applyFont="1" applyBorder="1">
      <alignment vertical="center"/>
    </xf>
    <xf numFmtId="55" fontId="15" fillId="0" borderId="2" xfId="0" applyNumberFormat="1" applyFont="1" applyBorder="1" applyAlignment="1">
      <alignment horizontal="center" vertical="center"/>
    </xf>
    <xf numFmtId="0" fontId="15" fillId="3" borderId="2" xfId="0" applyFont="1" applyFill="1" applyBorder="1">
      <alignment vertical="center"/>
    </xf>
    <xf numFmtId="0" fontId="15" fillId="3" borderId="2" xfId="0" applyFont="1" applyFill="1" applyBorder="1" applyAlignment="1">
      <alignment vertical="center" wrapText="1"/>
    </xf>
    <xf numFmtId="0" fontId="15" fillId="3" borderId="2" xfId="0" applyFont="1" applyFill="1" applyBorder="1" applyAlignment="1">
      <alignment horizontal="right" vertical="center"/>
    </xf>
    <xf numFmtId="0" fontId="15" fillId="3" borderId="2" xfId="0" applyFont="1" applyFill="1" applyBorder="1" applyAlignment="1">
      <alignment horizontal="center" vertical="center"/>
    </xf>
    <xf numFmtId="176" fontId="15" fillId="3" borderId="2" xfId="0" applyNumberFormat="1" applyFont="1" applyFill="1" applyBorder="1">
      <alignment vertical="center"/>
    </xf>
    <xf numFmtId="0" fontId="15" fillId="3" borderId="2" xfId="0" applyFont="1" applyFill="1" applyBorder="1" applyAlignment="1">
      <alignment horizontal="right" vertical="center" wrapText="1"/>
    </xf>
    <xf numFmtId="55" fontId="15" fillId="3" borderId="2" xfId="0" applyNumberFormat="1" applyFont="1" applyFill="1" applyBorder="1" applyAlignment="1">
      <alignment horizontal="center" vertical="center"/>
    </xf>
    <xf numFmtId="0" fontId="16" fillId="0" borderId="2" xfId="0" applyFont="1" applyBorder="1">
      <alignment vertical="center"/>
    </xf>
    <xf numFmtId="0" fontId="15" fillId="0" borderId="5" xfId="0" applyFont="1" applyBorder="1" applyAlignment="1">
      <alignment horizontal="center" vertical="center"/>
    </xf>
    <xf numFmtId="0" fontId="15" fillId="0" borderId="2" xfId="0" applyFont="1" applyBorder="1" applyAlignment="1">
      <alignment horizontal="right" vertical="center" wrapText="1"/>
    </xf>
    <xf numFmtId="0" fontId="15" fillId="4" borderId="2" xfId="0" applyFont="1" applyFill="1" applyBorder="1">
      <alignment vertical="center"/>
    </xf>
    <xf numFmtId="0" fontId="17" fillId="4" borderId="2" xfId="0" applyFont="1" applyFill="1" applyBorder="1" applyAlignment="1">
      <alignment vertical="center" wrapText="1"/>
    </xf>
    <xf numFmtId="0" fontId="15" fillId="4" borderId="2" xfId="0" applyFont="1" applyFill="1" applyBorder="1" applyAlignment="1">
      <alignment vertical="center" wrapText="1"/>
    </xf>
    <xf numFmtId="0" fontId="15" fillId="4" borderId="2" xfId="0" applyFont="1" applyFill="1" applyBorder="1" applyAlignment="1">
      <alignment horizontal="right" vertical="center" wrapText="1"/>
    </xf>
    <xf numFmtId="176" fontId="15" fillId="4" borderId="2" xfId="0" applyNumberFormat="1" applyFont="1" applyFill="1" applyBorder="1">
      <alignment vertical="center"/>
    </xf>
    <xf numFmtId="55" fontId="15" fillId="4" borderId="2" xfId="0" applyNumberFormat="1" applyFont="1" applyFill="1" applyBorder="1" applyAlignment="1">
      <alignment horizontal="center" vertical="center"/>
    </xf>
    <xf numFmtId="0" fontId="15" fillId="5" borderId="2" xfId="0" applyFont="1" applyFill="1" applyBorder="1">
      <alignment vertical="center"/>
    </xf>
    <xf numFmtId="0" fontId="17" fillId="5" borderId="2" xfId="0" applyFont="1" applyFill="1" applyBorder="1" applyAlignment="1">
      <alignment vertical="center" wrapText="1"/>
    </xf>
    <xf numFmtId="0" fontId="15" fillId="5" borderId="2" xfId="0" applyFont="1" applyFill="1" applyBorder="1" applyAlignment="1">
      <alignment vertical="center" wrapText="1"/>
    </xf>
    <xf numFmtId="0" fontId="15" fillId="5" borderId="2" xfId="0" applyFont="1" applyFill="1" applyBorder="1" applyAlignment="1">
      <alignment horizontal="right" vertical="center" wrapText="1"/>
    </xf>
    <xf numFmtId="176" fontId="15" fillId="5" borderId="2" xfId="0" applyNumberFormat="1" applyFont="1" applyFill="1" applyBorder="1">
      <alignment vertical="center"/>
    </xf>
    <xf numFmtId="55" fontId="15" fillId="5" borderId="2" xfId="0" applyNumberFormat="1" applyFont="1" applyFill="1" applyBorder="1" applyAlignment="1">
      <alignment horizontal="center" vertical="center"/>
    </xf>
    <xf numFmtId="0" fontId="15" fillId="0" borderId="2" xfId="0" applyFont="1" applyBorder="1" applyAlignment="1">
      <alignment horizontal="left" vertical="center"/>
    </xf>
    <xf numFmtId="0" fontId="15" fillId="4" borderId="2" xfId="0" applyFont="1" applyFill="1" applyBorder="1" applyAlignment="1">
      <alignment horizontal="center" vertical="center"/>
    </xf>
    <xf numFmtId="0" fontId="16" fillId="4" borderId="2" xfId="0" applyFont="1" applyFill="1" applyBorder="1">
      <alignment vertical="center"/>
    </xf>
    <xf numFmtId="0" fontId="18" fillId="0" borderId="2" xfId="0" applyFont="1" applyBorder="1" applyAlignment="1">
      <alignment vertical="center" wrapText="1"/>
    </xf>
    <xf numFmtId="0" fontId="15" fillId="0" borderId="5" xfId="0" applyFont="1" applyBorder="1">
      <alignment vertical="center"/>
    </xf>
    <xf numFmtId="176" fontId="15" fillId="0" borderId="5" xfId="0" applyNumberFormat="1" applyFont="1" applyBorder="1">
      <alignment vertical="center"/>
    </xf>
    <xf numFmtId="0" fontId="15" fillId="0" borderId="5" xfId="0" applyFont="1" applyBorder="1" applyAlignment="1">
      <alignment horizontal="left" vertical="center"/>
    </xf>
    <xf numFmtId="0" fontId="15" fillId="0" borderId="5" xfId="0" applyFont="1" applyBorder="1" applyAlignment="1">
      <alignment vertical="center" wrapText="1"/>
    </xf>
    <xf numFmtId="55" fontId="15" fillId="0" borderId="5" xfId="0" applyNumberFormat="1" applyFont="1" applyBorder="1" applyAlignment="1">
      <alignment horizontal="center" vertical="center"/>
    </xf>
    <xf numFmtId="0" fontId="15" fillId="3" borderId="5" xfId="0" applyFont="1" applyFill="1" applyBorder="1">
      <alignment vertical="center"/>
    </xf>
    <xf numFmtId="55" fontId="15" fillId="3" borderId="5" xfId="0" applyNumberFormat="1" applyFont="1" applyFill="1" applyBorder="1" applyAlignment="1">
      <alignment horizontal="center" vertical="center"/>
    </xf>
    <xf numFmtId="176" fontId="15" fillId="3" borderId="5" xfId="0" applyNumberFormat="1" applyFont="1" applyFill="1" applyBorder="1">
      <alignment vertical="center"/>
    </xf>
    <xf numFmtId="0" fontId="15" fillId="3" borderId="5" xfId="0" applyFont="1" applyFill="1" applyBorder="1" applyAlignment="1">
      <alignment horizontal="center" vertical="center"/>
    </xf>
    <xf numFmtId="0" fontId="15" fillId="3" borderId="5" xfId="0" applyFont="1" applyFill="1" applyBorder="1" applyAlignment="1">
      <alignment vertical="center" wrapText="1"/>
    </xf>
    <xf numFmtId="176" fontId="15" fillId="0" borderId="0" xfId="0" applyNumberFormat="1" applyFont="1">
      <alignment vertical="center"/>
    </xf>
    <xf numFmtId="0" fontId="15" fillId="0" borderId="0" xfId="0" applyFont="1" applyAlignment="1">
      <alignment horizontal="left" vertical="center"/>
    </xf>
    <xf numFmtId="0" fontId="15" fillId="17" borderId="2" xfId="0" applyFont="1" applyFill="1" applyBorder="1">
      <alignment vertical="center"/>
    </xf>
    <xf numFmtId="0" fontId="15" fillId="17" borderId="2" xfId="0" applyFont="1" applyFill="1" applyBorder="1" applyAlignment="1">
      <alignment vertical="center" wrapText="1"/>
    </xf>
    <xf numFmtId="0" fontId="15" fillId="17" borderId="5" xfId="0" applyFont="1" applyFill="1" applyBorder="1">
      <alignment vertical="center"/>
    </xf>
    <xf numFmtId="176" fontId="15" fillId="17" borderId="2" xfId="0" applyNumberFormat="1" applyFont="1" applyFill="1" applyBorder="1">
      <alignment vertical="center"/>
    </xf>
    <xf numFmtId="55" fontId="15" fillId="17" borderId="2" xfId="0" applyNumberFormat="1" applyFont="1" applyFill="1" applyBorder="1" applyAlignment="1">
      <alignment horizontal="center" vertical="center"/>
    </xf>
    <xf numFmtId="0" fontId="15" fillId="17" borderId="2" xfId="0" applyFont="1" applyFill="1" applyBorder="1" applyAlignment="1">
      <alignment horizontal="center" vertical="center"/>
    </xf>
    <xf numFmtId="0" fontId="15" fillId="17" borderId="5" xfId="0" applyFont="1" applyFill="1" applyBorder="1" applyAlignment="1">
      <alignment horizontal="center" vertical="center"/>
    </xf>
    <xf numFmtId="176" fontId="15" fillId="17" borderId="5" xfId="0" applyNumberFormat="1" applyFont="1" applyFill="1" applyBorder="1">
      <alignment vertical="center"/>
    </xf>
    <xf numFmtId="0" fontId="15" fillId="17" borderId="2" xfId="0" applyFont="1" applyFill="1" applyBorder="1" applyAlignment="1">
      <alignment horizontal="left" vertical="center"/>
    </xf>
    <xf numFmtId="0" fontId="15" fillId="17" borderId="5" xfId="0" applyFont="1" applyFill="1" applyBorder="1" applyAlignment="1">
      <alignment horizontal="left" vertical="center"/>
    </xf>
    <xf numFmtId="0" fontId="15" fillId="2" borderId="2" xfId="0" applyFont="1" applyFill="1" applyBorder="1">
      <alignment vertical="center"/>
    </xf>
    <xf numFmtId="0" fontId="15" fillId="0" borderId="8" xfId="0" applyFont="1" applyBorder="1">
      <alignment vertical="center"/>
    </xf>
    <xf numFmtId="55" fontId="15" fillId="17" borderId="5" xfId="0" applyNumberFormat="1" applyFont="1" applyFill="1" applyBorder="1" applyAlignment="1">
      <alignment horizontal="center" vertical="center"/>
    </xf>
    <xf numFmtId="0" fontId="15" fillId="3" borderId="5" xfId="0" applyFont="1" applyFill="1" applyBorder="1" applyAlignment="1">
      <alignment horizontal="left" vertical="center"/>
    </xf>
    <xf numFmtId="0" fontId="15" fillId="3" borderId="2" xfId="0" applyFont="1" applyFill="1" applyBorder="1" applyAlignment="1">
      <alignment horizontal="left" vertical="center"/>
    </xf>
    <xf numFmtId="177" fontId="15" fillId="3" borderId="2" xfId="0" applyNumberFormat="1" applyFont="1" applyFill="1" applyBorder="1" applyAlignment="1">
      <alignment horizontal="center" vertical="center"/>
    </xf>
    <xf numFmtId="177" fontId="15" fillId="0" borderId="5" xfId="0" applyNumberFormat="1" applyFont="1" applyBorder="1" applyAlignment="1">
      <alignment horizontal="center" vertical="center"/>
    </xf>
    <xf numFmtId="0" fontId="2" fillId="18" borderId="2" xfId="2" applyFont="1" applyFill="1" applyBorder="1" applyAlignment="1">
      <alignment vertical="center"/>
    </xf>
    <xf numFmtId="0" fontId="2" fillId="18" borderId="2" xfId="2" applyFont="1" applyFill="1" applyBorder="1" applyAlignment="1">
      <alignment horizontal="center" vertical="center"/>
    </xf>
    <xf numFmtId="0" fontId="6" fillId="18" borderId="2" xfId="2" applyFont="1" applyFill="1" applyBorder="1" applyAlignment="1">
      <alignment horizontal="center" vertical="center"/>
    </xf>
    <xf numFmtId="0" fontId="6" fillId="18" borderId="2" xfId="2" applyFont="1" applyFill="1" applyBorder="1" applyAlignment="1">
      <alignment vertical="center"/>
    </xf>
    <xf numFmtId="178" fontId="15" fillId="0" borderId="2" xfId="0" applyNumberFormat="1" applyFont="1" applyBorder="1" applyAlignment="1">
      <alignment horizontal="right" vertical="center"/>
    </xf>
    <xf numFmtId="0" fontId="19" fillId="3" borderId="2" xfId="0" applyFont="1" applyFill="1" applyBorder="1">
      <alignment vertical="center"/>
    </xf>
    <xf numFmtId="0" fontId="20" fillId="19" borderId="2" xfId="0" applyFont="1" applyFill="1" applyBorder="1">
      <alignment vertical="center"/>
    </xf>
    <xf numFmtId="176" fontId="15" fillId="19" borderId="2" xfId="0" applyNumberFormat="1" applyFont="1" applyFill="1" applyBorder="1">
      <alignment vertical="center"/>
    </xf>
    <xf numFmtId="0" fontId="15" fillId="19" borderId="2" xfId="0" applyFont="1" applyFill="1" applyBorder="1">
      <alignment vertical="center"/>
    </xf>
    <xf numFmtId="55" fontId="15" fillId="19" borderId="2" xfId="0" applyNumberFormat="1" applyFont="1" applyFill="1" applyBorder="1" applyAlignment="1">
      <alignment horizontal="center" vertical="center"/>
    </xf>
    <xf numFmtId="0" fontId="15" fillId="19" borderId="2" xfId="0" applyFont="1" applyFill="1" applyBorder="1" applyAlignment="1">
      <alignment horizontal="center" vertical="center"/>
    </xf>
    <xf numFmtId="0" fontId="15" fillId="19" borderId="2" xfId="0" applyFont="1" applyFill="1" applyBorder="1" applyAlignment="1">
      <alignment horizontal="left" vertical="center"/>
    </xf>
    <xf numFmtId="177" fontId="15" fillId="19" borderId="2" xfId="0" applyNumberFormat="1" applyFont="1" applyFill="1" applyBorder="1" applyAlignment="1">
      <alignment horizontal="center" vertical="center"/>
    </xf>
    <xf numFmtId="55" fontId="15" fillId="0" borderId="13" xfId="0" applyNumberFormat="1" applyFont="1" applyBorder="1" applyAlignment="1">
      <alignment horizontal="center" vertical="center"/>
    </xf>
    <xf numFmtId="0" fontId="15" fillId="17" borderId="2" xfId="0" applyFont="1" applyFill="1" applyBorder="1" applyAlignment="1">
      <alignment horizontal="right" vertical="center"/>
    </xf>
    <xf numFmtId="178" fontId="15" fillId="0" borderId="2" xfId="0" applyNumberFormat="1" applyFont="1" applyBorder="1">
      <alignment vertical="center"/>
    </xf>
    <xf numFmtId="0" fontId="8" fillId="0" borderId="2" xfId="0" applyFont="1" applyBorder="1" applyAlignment="1">
      <alignment horizontal="center" vertical="center" shrinkToFit="1"/>
    </xf>
    <xf numFmtId="0" fontId="15" fillId="20" borderId="2" xfId="0" applyFont="1" applyFill="1" applyBorder="1">
      <alignment vertical="center"/>
    </xf>
    <xf numFmtId="0" fontId="15" fillId="20" borderId="5" xfId="0" applyFont="1" applyFill="1" applyBorder="1">
      <alignment vertical="center"/>
    </xf>
    <xf numFmtId="176" fontId="15" fillId="20" borderId="2" xfId="0" applyNumberFormat="1" applyFont="1" applyFill="1" applyBorder="1">
      <alignment vertical="center"/>
    </xf>
    <xf numFmtId="55" fontId="15" fillId="20" borderId="2" xfId="0" applyNumberFormat="1" applyFont="1" applyFill="1" applyBorder="1" applyAlignment="1">
      <alignment horizontal="center" vertical="center"/>
    </xf>
    <xf numFmtId="0" fontId="15" fillId="20" borderId="2" xfId="0" applyFont="1" applyFill="1" applyBorder="1" applyAlignment="1">
      <alignment horizontal="center" vertical="center"/>
    </xf>
    <xf numFmtId="0" fontId="15" fillId="20" borderId="2" xfId="0" applyFont="1" applyFill="1" applyBorder="1" applyAlignment="1">
      <alignment horizontal="left" vertical="center"/>
    </xf>
    <xf numFmtId="0" fontId="14" fillId="0" borderId="2" xfId="2" applyFont="1" applyBorder="1" applyAlignment="1">
      <alignment vertical="center"/>
    </xf>
    <xf numFmtId="0" fontId="15" fillId="18" borderId="2" xfId="0" applyFont="1" applyFill="1" applyBorder="1">
      <alignment vertical="center"/>
    </xf>
    <xf numFmtId="176" fontId="15" fillId="18" borderId="2" xfId="0" applyNumberFormat="1" applyFont="1" applyFill="1" applyBorder="1">
      <alignment vertical="center"/>
    </xf>
    <xf numFmtId="55" fontId="15" fillId="18" borderId="5" xfId="0" applyNumberFormat="1" applyFont="1" applyFill="1" applyBorder="1" applyAlignment="1">
      <alignment horizontal="center" vertical="center"/>
    </xf>
    <xf numFmtId="0" fontId="15" fillId="18" borderId="2" xfId="0" applyFont="1" applyFill="1" applyBorder="1" applyAlignment="1">
      <alignment horizontal="center" vertical="center"/>
    </xf>
    <xf numFmtId="0" fontId="15" fillId="18" borderId="2" xfId="0" applyFont="1" applyFill="1" applyBorder="1" applyAlignment="1">
      <alignment horizontal="left" vertical="center"/>
    </xf>
    <xf numFmtId="0" fontId="7" fillId="12" borderId="0" xfId="1" applyFont="1" applyFill="1" applyAlignment="1">
      <alignment vertical="center"/>
    </xf>
    <xf numFmtId="0" fontId="6" fillId="13" borderId="11" xfId="1" applyFont="1" applyFill="1" applyBorder="1" applyAlignment="1">
      <alignment vertical="center"/>
    </xf>
    <xf numFmtId="0" fontId="6" fillId="13" borderId="12" xfId="1" applyFont="1" applyFill="1" applyBorder="1" applyAlignment="1">
      <alignment vertical="center"/>
    </xf>
    <xf numFmtId="0" fontId="6" fillId="0" borderId="2" xfId="1" applyFont="1" applyBorder="1" applyAlignment="1">
      <alignment vertical="center"/>
    </xf>
    <xf numFmtId="0" fontId="7" fillId="9" borderId="0" xfId="1" applyFont="1" applyFill="1" applyAlignment="1">
      <alignment vertical="center"/>
    </xf>
    <xf numFmtId="0" fontId="10" fillId="0" borderId="0" xfId="1" applyFont="1" applyAlignment="1">
      <alignment vertical="center"/>
    </xf>
    <xf numFmtId="0" fontId="14" fillId="16" borderId="9" xfId="0" applyFont="1" applyFill="1" applyBorder="1" applyAlignment="1">
      <alignment vertical="center" wrapText="1"/>
    </xf>
    <xf numFmtId="0" fontId="14" fillId="16" borderId="10" xfId="0" applyFont="1" applyFill="1" applyBorder="1" applyAlignment="1">
      <alignment vertical="center" wrapText="1"/>
    </xf>
  </cellXfs>
  <cellStyles count="3">
    <cellStyle name="標準" xfId="0" builtinId="0"/>
    <cellStyle name="標準 2" xfId="1" xr:uid="{7CA4DD58-AD8A-48A9-8873-1A20B68EA7B9}"/>
    <cellStyle name="標準 3" xfId="2" xr:uid="{7AE35FCC-DA4D-4B4C-8140-CCC1D013BCD0}"/>
  </cellStyles>
  <dxfs count="21">
    <dxf>
      <font>
        <strike val="0"/>
        <outline val="0"/>
        <shadow val="0"/>
        <u val="none"/>
        <vertAlign val="baseline"/>
        <sz val="10"/>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游ゴシック"/>
        <family val="3"/>
        <charset val="128"/>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numFmt numFmtId="176" formatCode="&quot;¥&quot;#,##0_);[Red]\(&quot;¥&quot;#,##0\)"/>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numFmt numFmtId="176" formatCode="&quot;¥&quot;#,##0_);[Red]\(&quot;¥&quot;#,##0\)"/>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numFmt numFmtId="0" formatCode="General"/>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游ゴシック"/>
        <family val="3"/>
        <charset val="128"/>
        <scheme val="minor"/>
      </font>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strike val="0"/>
        <outline val="0"/>
        <shadow val="0"/>
        <u val="none"/>
        <vertAlign val="baseline"/>
        <sz val="10"/>
        <name val="游ゴシック"/>
        <family val="3"/>
        <charset val="128"/>
        <scheme val="minor"/>
      </font>
      <alignment vertical="center" textRotation="0" indent="0" justifyLastLine="0" shrinkToFit="0" readingOrder="0"/>
    </dxf>
    <dxf>
      <border outline="0">
        <bottom style="thin">
          <color indexed="64"/>
        </bottom>
      </border>
    </dxf>
    <dxf>
      <font>
        <strike val="0"/>
        <outline val="0"/>
        <shadow val="0"/>
        <u val="none"/>
        <vertAlign val="baseline"/>
        <sz val="10"/>
        <name val="游ゴシック"/>
        <family val="3"/>
        <charset val="128"/>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4</xdr:col>
      <xdr:colOff>847725</xdr:colOff>
      <xdr:row>7</xdr:row>
      <xdr:rowOff>123825</xdr:rowOff>
    </xdr:from>
    <xdr:ext cx="5457825" cy="2905125"/>
    <xdr:pic>
      <xdr:nvPicPr>
        <xdr:cNvPr id="2" name="image3.png" title="画像">
          <a:extLst>
            <a:ext uri="{FF2B5EF4-FFF2-40B4-BE49-F238E27FC236}">
              <a16:creationId xmlns:a16="http://schemas.microsoft.com/office/drawing/2014/main" id="{75CDAF8A-57E1-4F37-AD90-A468F96693D3}"/>
            </a:ext>
          </a:extLst>
        </xdr:cNvPr>
        <xdr:cNvPicPr preferRelativeResize="0"/>
      </xdr:nvPicPr>
      <xdr:blipFill>
        <a:blip xmlns:r="http://schemas.openxmlformats.org/officeDocument/2006/relationships" r:embed="rId1" cstate="print"/>
        <a:stretch>
          <a:fillRect/>
        </a:stretch>
      </xdr:blipFill>
      <xdr:spPr>
        <a:xfrm>
          <a:off x="5413375" y="1495425"/>
          <a:ext cx="5457825" cy="2905125"/>
        </a:xfrm>
        <a:prstGeom prst="rect">
          <a:avLst/>
        </a:prstGeom>
        <a:noFill/>
      </xdr:spPr>
    </xdr:pic>
    <xdr:clientData fLocksWithSheet="0"/>
  </xdr:oneCellAnchor>
  <xdr:oneCellAnchor>
    <xdr:from>
      <xdr:col>4</xdr:col>
      <xdr:colOff>19050</xdr:colOff>
      <xdr:row>33</xdr:row>
      <xdr:rowOff>57150</xdr:rowOff>
    </xdr:from>
    <xdr:ext cx="1590675" cy="2114550"/>
    <xdr:pic>
      <xdr:nvPicPr>
        <xdr:cNvPr id="3" name="image1.jpg" title="画像">
          <a:extLst>
            <a:ext uri="{FF2B5EF4-FFF2-40B4-BE49-F238E27FC236}">
              <a16:creationId xmlns:a16="http://schemas.microsoft.com/office/drawing/2014/main" id="{9C7042C0-0AD1-417C-BBE7-CD3A8E4C1DA9}"/>
            </a:ext>
          </a:extLst>
        </xdr:cNvPr>
        <xdr:cNvPicPr preferRelativeResize="0"/>
      </xdr:nvPicPr>
      <xdr:blipFill>
        <a:blip xmlns:r="http://schemas.openxmlformats.org/officeDocument/2006/relationships" r:embed="rId2" cstate="print"/>
        <a:stretch>
          <a:fillRect/>
        </a:stretch>
      </xdr:blipFill>
      <xdr:spPr>
        <a:xfrm>
          <a:off x="4584700" y="6546850"/>
          <a:ext cx="1590675" cy="2114550"/>
        </a:xfrm>
        <a:prstGeom prst="rect">
          <a:avLst/>
        </a:prstGeom>
        <a:noFill/>
      </xdr:spPr>
    </xdr:pic>
    <xdr:clientData fLocksWithSheet="0"/>
  </xdr:oneCellAnchor>
  <xdr:oneCellAnchor>
    <xdr:from>
      <xdr:col>5</xdr:col>
      <xdr:colOff>419100</xdr:colOff>
      <xdr:row>39</xdr:row>
      <xdr:rowOff>47625</xdr:rowOff>
    </xdr:from>
    <xdr:ext cx="4629150" cy="809625"/>
    <xdr:pic>
      <xdr:nvPicPr>
        <xdr:cNvPr id="4" name="image2.png" title="画像">
          <a:extLst>
            <a:ext uri="{FF2B5EF4-FFF2-40B4-BE49-F238E27FC236}">
              <a16:creationId xmlns:a16="http://schemas.microsoft.com/office/drawing/2014/main" id="{7F21FA4C-260C-49B1-A6D8-BEB29735E18E}"/>
            </a:ext>
          </a:extLst>
        </xdr:cNvPr>
        <xdr:cNvPicPr preferRelativeResize="0"/>
      </xdr:nvPicPr>
      <xdr:blipFill>
        <a:blip xmlns:r="http://schemas.openxmlformats.org/officeDocument/2006/relationships" r:embed="rId3" cstate="print"/>
        <a:stretch>
          <a:fillRect/>
        </a:stretch>
      </xdr:blipFill>
      <xdr:spPr>
        <a:xfrm>
          <a:off x="6292850" y="7686675"/>
          <a:ext cx="4629150" cy="809625"/>
        </a:xfrm>
        <a:prstGeom prst="rect">
          <a:avLst/>
        </a:prstGeom>
        <a:noFill/>
      </xdr:spPr>
    </xdr:pic>
    <xdr:clientData fLocksWithSheet="0"/>
  </xdr:oneCellAnchor>
  <xdr:twoCellAnchor editAs="oneCell">
    <xdr:from>
      <xdr:col>6</xdr:col>
      <xdr:colOff>711200</xdr:colOff>
      <xdr:row>68</xdr:row>
      <xdr:rowOff>39550</xdr:rowOff>
    </xdr:from>
    <xdr:to>
      <xdr:col>7</xdr:col>
      <xdr:colOff>3613150</xdr:colOff>
      <xdr:row>72</xdr:row>
      <xdr:rowOff>101599</xdr:rowOff>
    </xdr:to>
    <xdr:pic>
      <xdr:nvPicPr>
        <xdr:cNvPr id="6" name="図 5">
          <a:extLst>
            <a:ext uri="{FF2B5EF4-FFF2-40B4-BE49-F238E27FC236}">
              <a16:creationId xmlns:a16="http://schemas.microsoft.com/office/drawing/2014/main" id="{97E8FCF0-E979-42C9-C9CD-9FC390C214B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860" t="45860" r="3104" b="28758"/>
        <a:stretch/>
      </xdr:blipFill>
      <xdr:spPr>
        <a:xfrm>
          <a:off x="7004050" y="13222150"/>
          <a:ext cx="4102100" cy="830399"/>
        </a:xfrm>
        <a:prstGeom prst="rect">
          <a:avLst/>
        </a:prstGeom>
      </xdr:spPr>
    </xdr:pic>
    <xdr:clientData/>
  </xdr:twoCellAnchor>
  <xdr:twoCellAnchor editAs="oneCell">
    <xdr:from>
      <xdr:col>2</xdr:col>
      <xdr:colOff>120650</xdr:colOff>
      <xdr:row>63</xdr:row>
      <xdr:rowOff>101600</xdr:rowOff>
    </xdr:from>
    <xdr:to>
      <xdr:col>2</xdr:col>
      <xdr:colOff>2216150</xdr:colOff>
      <xdr:row>72</xdr:row>
      <xdr:rowOff>93045</xdr:rowOff>
    </xdr:to>
    <xdr:pic>
      <xdr:nvPicPr>
        <xdr:cNvPr id="8" name="図 7">
          <a:extLst>
            <a:ext uri="{FF2B5EF4-FFF2-40B4-BE49-F238E27FC236}">
              <a16:creationId xmlns:a16="http://schemas.microsoft.com/office/drawing/2014/main" id="{166E7425-5892-4E36-B145-A7A547C4584A}"/>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480" t="7193" r="15931" b="15870"/>
        <a:stretch/>
      </xdr:blipFill>
      <xdr:spPr>
        <a:xfrm>
          <a:off x="1955800" y="12331700"/>
          <a:ext cx="2095500" cy="171229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桃花 山中" id="{E30707D5-0339-42C1-BD1A-7785B2B8FC58}" userId="5d9196cb907ef780"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0E2F5-88F1-4CE1-82E6-6B8B3FFD8ADC}" name="テーブル1" displayName="テーブル1" ref="A1:Q444" totalsRowShown="0" headerRowDxfId="20" dataDxfId="18" headerRowBorderDxfId="19" tableBorderDxfId="17">
  <autoFilter ref="A1:Q444" xr:uid="{2640E2F5-88F1-4CE1-82E6-6B8B3FFD8ADC}"/>
  <tableColumns count="17">
    <tableColumn id="1" xr3:uid="{59D7A27C-7765-4557-A04D-F54CB52F1588}" name="品名" dataDxfId="16"/>
    <tableColumn id="2" xr3:uid="{59489A6C-0C22-475E-9DEF-3FBCFE2E3771}" name="色" dataDxfId="15"/>
    <tableColumn id="3" xr3:uid="{F7E1B524-DFC1-412F-9930-A631367BD676}" name="Lot" dataDxfId="14"/>
    <tableColumn id="4" xr3:uid="{8BCB8EB3-3301-4922-BD1A-C90E657DF0F5}" name="幅(m)" dataDxfId="13"/>
    <tableColumn id="5" xr3:uid="{E5B7E8BA-4E44-478E-A25B-ED6F155F16D9}" name="長さ(m)" dataDxfId="12"/>
    <tableColumn id="12" xr3:uid="{12124600-7275-48D8-A289-F68D85250E06}" name="在庫(本)" dataDxfId="11"/>
    <tableColumn id="13" xr3:uid="{BEECC970-CC1F-4948-A5BB-72A8361FEA41}" name="長さ合計(m)" dataDxfId="10"/>
    <tableColumn id="6" xr3:uid="{944368E1-E73C-4539-BC02-5019A5848854}" name="総面積(㎡)" dataDxfId="9">
      <calculatedColumnFormula>D2*G2</calculatedColumnFormula>
    </tableColumn>
    <tableColumn id="7" xr3:uid="{6B378BFB-FD96-4D7C-B7E2-E3B69CEF776B}" name="単価(㎡)" dataDxfId="8"/>
    <tableColumn id="8" xr3:uid="{FD9DE133-0886-49ED-A896-E768659E5984}" name="原価" dataDxfId="7">
      <calculatedColumnFormula>H2*I2</calculatedColumnFormula>
    </tableColumn>
    <tableColumn id="9" xr3:uid="{FB196AC7-6870-4F92-9BFB-7086DD3DDC3A}" name="保管場所" dataDxfId="6"/>
    <tableColumn id="10" xr3:uid="{71C2D1F4-3A24-4C93-A906-CDFE8ECE7798}" name="生産月" dataDxfId="5"/>
    <tableColumn id="18" xr3:uid="{6A5BAD80-DC53-462A-AE31-2F7C1B36324F}" name="備考1" dataDxfId="4"/>
    <tableColumn id="14" xr3:uid="{AD56F579-59C1-4354-96B3-37A0C45203B6}" name="備考2" dataDxfId="3"/>
    <tableColumn id="15" xr3:uid="{D617536D-81BD-42E3-92FD-305A88B2C168}" name="備考3" dataDxfId="2"/>
    <tableColumn id="11" xr3:uid="{4B068BE8-EA83-4167-A744-42C3FEE37406}" name="備考4" dataDxfId="1"/>
    <tableColumn id="16" xr3:uid="{ECACF2FF-CC1C-4D97-ABB4-5C363626236C}" name="鴻池PL No" dataDxfId="0"/>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03" dT="2023-09-27T06:42:23.98" personId="{E30707D5-0339-42C1-BD1A-7785B2B8FC58}" id="{A65EB262-34EC-4A35-B1CA-482AE7B3B0BD}">
    <text>大阪ガス</text>
  </threadedComment>
  <threadedComment ref="G409" dT="2023-09-11T09:04:56.38" personId="{E30707D5-0339-42C1-BD1A-7785B2B8FC58}" id="{FB4ABAD4-B02B-4426-A92E-922761CA1684}">
    <text>8/23-0.3</text>
  </threadedComment>
  <threadedComment ref="G410" dT="2023-09-11T09:04:59.47" personId="{E30707D5-0339-42C1-BD1A-7785B2B8FC58}" id="{D00B58C0-394B-4693-9D6D-6DF6B55291FF}">
    <text>8/23-0.3</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ocs.google.com/spreadsheets/d/1MsXCxnkgtNyAxUxGiTvN6NFXr52u553d/edit"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4D2D1-983D-4DF7-BC77-8CB0C15457FC}">
  <sheetPr codeName="Sheet1">
    <outlinePr summaryBelow="0" summaryRight="0"/>
  </sheetPr>
  <dimension ref="A1:Z1005"/>
  <sheetViews>
    <sheetView topLeftCell="A31" workbookViewId="0">
      <selection activeCell="C94" sqref="C94"/>
    </sheetView>
  </sheetViews>
  <sheetFormatPr defaultColWidth="13.25" defaultRowHeight="15" customHeight="1"/>
  <cols>
    <col min="1" max="1" width="10.08203125" style="4" customWidth="1"/>
    <col min="2" max="2" width="14" style="4" customWidth="1"/>
    <col min="3" max="3" width="40.58203125" style="4" customWidth="1"/>
    <col min="4" max="4" width="5.75" style="4" customWidth="1"/>
    <col min="5" max="5" width="17.1640625" style="4" customWidth="1"/>
    <col min="6" max="6" width="5.5" style="4" customWidth="1"/>
    <col min="7" max="7" width="15.75" style="4" customWidth="1"/>
    <col min="8" max="8" width="47.5" style="4" customWidth="1"/>
    <col min="9" max="26" width="12.1640625" style="4" customWidth="1"/>
    <col min="27" max="16384" width="13.25" style="4"/>
  </cols>
  <sheetData>
    <row r="1" spans="1:26" ht="15" customHeight="1">
      <c r="A1" s="2" t="s">
        <v>58</v>
      </c>
      <c r="B1" s="3"/>
      <c r="C1" s="3"/>
      <c r="D1" s="3"/>
      <c r="E1" s="3"/>
      <c r="F1" s="3"/>
      <c r="G1" s="3"/>
      <c r="H1" s="3"/>
      <c r="I1" s="3"/>
      <c r="J1" s="3"/>
      <c r="K1" s="3"/>
      <c r="L1" s="3"/>
      <c r="M1" s="3"/>
      <c r="N1" s="3"/>
      <c r="O1" s="3"/>
      <c r="P1" s="3"/>
      <c r="Q1" s="3"/>
      <c r="R1" s="3"/>
      <c r="S1" s="3"/>
      <c r="T1" s="3"/>
      <c r="U1" s="3"/>
      <c r="V1" s="3"/>
      <c r="W1" s="3"/>
      <c r="X1" s="3"/>
      <c r="Y1" s="3"/>
      <c r="Z1" s="3"/>
    </row>
    <row r="2" spans="1:26" ht="18">
      <c r="A2" s="3"/>
      <c r="B2" s="3"/>
      <c r="C2" s="3"/>
      <c r="D2" s="3"/>
      <c r="E2" s="3"/>
      <c r="F2" s="3"/>
      <c r="G2" s="3"/>
      <c r="H2" s="3"/>
      <c r="I2" s="3"/>
      <c r="J2" s="3"/>
      <c r="K2" s="3"/>
      <c r="L2" s="3"/>
      <c r="M2" s="3"/>
      <c r="N2" s="3"/>
      <c r="O2" s="3"/>
      <c r="P2" s="3"/>
      <c r="Q2" s="3"/>
      <c r="R2" s="3"/>
      <c r="S2" s="3"/>
      <c r="T2" s="3"/>
      <c r="U2" s="3"/>
      <c r="V2" s="3"/>
      <c r="W2" s="3"/>
      <c r="X2" s="3"/>
      <c r="Y2" s="3"/>
      <c r="Z2" s="3"/>
    </row>
    <row r="3" spans="1:26" ht="15" customHeight="1">
      <c r="A3" s="5" t="s">
        <v>59</v>
      </c>
      <c r="B3" s="3"/>
      <c r="C3" s="3"/>
      <c r="D3" s="3"/>
      <c r="E3" s="3"/>
      <c r="F3" s="3"/>
      <c r="G3" s="3"/>
      <c r="H3" s="3"/>
      <c r="I3" s="3"/>
      <c r="J3" s="3"/>
      <c r="K3" s="3"/>
      <c r="L3" s="3"/>
      <c r="M3" s="3"/>
      <c r="N3" s="3"/>
      <c r="O3" s="3"/>
      <c r="P3" s="3"/>
      <c r="Q3" s="3"/>
      <c r="R3" s="3"/>
      <c r="S3" s="3"/>
      <c r="T3" s="3"/>
      <c r="U3" s="3"/>
      <c r="V3" s="3"/>
      <c r="W3" s="3"/>
      <c r="X3" s="3"/>
      <c r="Y3" s="3"/>
      <c r="Z3" s="3"/>
    </row>
    <row r="4" spans="1:26" ht="15" customHeight="1">
      <c r="A4" s="3"/>
      <c r="B4" s="6" t="s">
        <v>60</v>
      </c>
      <c r="C4" s="3" t="s">
        <v>61</v>
      </c>
      <c r="D4" s="3"/>
      <c r="E4" s="3"/>
      <c r="F4" s="3"/>
      <c r="G4" s="3"/>
      <c r="H4" s="3"/>
      <c r="I4" s="3"/>
      <c r="J4" s="3"/>
      <c r="K4" s="3"/>
      <c r="L4" s="3"/>
      <c r="M4" s="3"/>
      <c r="N4" s="3"/>
      <c r="O4" s="3"/>
      <c r="P4" s="3"/>
      <c r="Q4" s="3"/>
      <c r="R4" s="3"/>
      <c r="S4" s="3"/>
      <c r="T4" s="3"/>
      <c r="U4" s="3"/>
      <c r="V4" s="3"/>
      <c r="W4" s="3"/>
      <c r="X4" s="3"/>
      <c r="Y4" s="3"/>
      <c r="Z4" s="3"/>
    </row>
    <row r="5" spans="1:26" ht="15" customHeight="1">
      <c r="A5" s="3"/>
      <c r="B5" s="3" t="s">
        <v>62</v>
      </c>
      <c r="C5" s="3" t="s">
        <v>63</v>
      </c>
      <c r="D5" s="3"/>
      <c r="E5" s="3"/>
      <c r="F5" s="3"/>
      <c r="G5" s="3"/>
      <c r="H5" s="3"/>
      <c r="I5" s="3"/>
      <c r="J5" s="3"/>
      <c r="K5" s="3"/>
      <c r="L5" s="3"/>
      <c r="M5" s="3"/>
      <c r="N5" s="3"/>
      <c r="O5" s="3"/>
      <c r="P5" s="3"/>
      <c r="Q5" s="3"/>
      <c r="R5" s="3"/>
      <c r="S5" s="3"/>
      <c r="T5" s="3"/>
      <c r="U5" s="3"/>
      <c r="V5" s="3"/>
      <c r="W5" s="3"/>
      <c r="X5" s="3"/>
      <c r="Y5" s="3"/>
      <c r="Z5" s="3"/>
    </row>
    <row r="6" spans="1:26" ht="15" customHeight="1">
      <c r="A6" s="3"/>
      <c r="B6" s="6" t="s">
        <v>64</v>
      </c>
      <c r="C6" s="3" t="s">
        <v>65</v>
      </c>
      <c r="D6" s="3"/>
      <c r="E6" s="3"/>
      <c r="F6" s="3"/>
      <c r="G6" s="3"/>
      <c r="H6" s="3"/>
      <c r="I6" s="3"/>
      <c r="J6" s="3"/>
      <c r="K6" s="3"/>
      <c r="L6" s="3"/>
      <c r="M6" s="3"/>
      <c r="N6" s="3"/>
      <c r="O6" s="3"/>
      <c r="P6" s="3"/>
      <c r="Q6" s="3"/>
      <c r="R6" s="3"/>
      <c r="S6" s="3"/>
      <c r="T6" s="3"/>
      <c r="U6" s="3"/>
      <c r="V6" s="3"/>
      <c r="W6" s="3"/>
      <c r="X6" s="3"/>
      <c r="Y6" s="3"/>
      <c r="Z6" s="3"/>
    </row>
    <row r="7" spans="1:26" ht="15" customHeight="1">
      <c r="A7" s="3"/>
      <c r="B7" s="3"/>
      <c r="C7" s="3" t="s">
        <v>66</v>
      </c>
      <c r="D7" s="3"/>
      <c r="E7" s="3"/>
      <c r="F7" s="3"/>
      <c r="G7" s="3"/>
      <c r="H7" s="3"/>
      <c r="I7" s="3"/>
      <c r="J7" s="3"/>
      <c r="K7" s="3"/>
      <c r="L7" s="3"/>
      <c r="M7" s="3"/>
      <c r="N7" s="3"/>
      <c r="O7" s="3"/>
      <c r="P7" s="3"/>
      <c r="Q7" s="3"/>
      <c r="R7" s="3"/>
      <c r="S7" s="3"/>
      <c r="T7" s="3"/>
      <c r="U7" s="3"/>
      <c r="V7" s="3"/>
      <c r="W7" s="3"/>
      <c r="X7" s="3"/>
      <c r="Y7" s="3"/>
      <c r="Z7" s="3"/>
    </row>
    <row r="8" spans="1:26" ht="18">
      <c r="A8" s="3"/>
      <c r="B8" s="3"/>
      <c r="C8" s="3"/>
      <c r="D8" s="3"/>
      <c r="E8" s="3"/>
      <c r="F8" s="3"/>
      <c r="G8" s="3"/>
      <c r="H8" s="3"/>
      <c r="I8" s="3"/>
      <c r="J8" s="3"/>
      <c r="K8" s="3"/>
      <c r="L8" s="3"/>
      <c r="M8" s="3"/>
      <c r="N8" s="3"/>
      <c r="O8" s="3"/>
      <c r="P8" s="3"/>
      <c r="Q8" s="3"/>
      <c r="R8" s="3"/>
      <c r="S8" s="3"/>
      <c r="T8" s="3"/>
      <c r="U8" s="3"/>
      <c r="V8" s="3"/>
      <c r="W8" s="3"/>
      <c r="X8" s="3"/>
      <c r="Y8" s="3"/>
      <c r="Z8" s="3"/>
    </row>
    <row r="9" spans="1:26" ht="15" customHeight="1">
      <c r="A9" s="3"/>
      <c r="B9" s="6"/>
      <c r="C9" s="3"/>
      <c r="D9" s="3"/>
      <c r="E9" s="3"/>
      <c r="F9" s="3"/>
      <c r="G9" s="3"/>
      <c r="H9" s="3"/>
      <c r="I9" s="3"/>
      <c r="J9" s="3"/>
      <c r="K9" s="3"/>
      <c r="L9" s="3"/>
      <c r="M9" s="3"/>
      <c r="N9" s="3"/>
      <c r="O9" s="3"/>
      <c r="P9" s="3"/>
      <c r="Q9" s="3"/>
      <c r="R9" s="3"/>
      <c r="S9" s="3"/>
      <c r="T9" s="3"/>
      <c r="U9" s="3"/>
      <c r="V9" s="3"/>
      <c r="W9" s="3"/>
      <c r="X9" s="3"/>
      <c r="Y9" s="3"/>
      <c r="Z9" s="3"/>
    </row>
    <row r="10" spans="1:26" ht="18">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8">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 customHeight="1">
      <c r="A12" s="5" t="s">
        <v>67</v>
      </c>
      <c r="B12" s="3"/>
      <c r="C12" s="3"/>
      <c r="D12" s="3"/>
      <c r="E12" s="3"/>
      <c r="F12" s="3"/>
      <c r="G12" s="3"/>
      <c r="H12" s="3"/>
      <c r="I12" s="3"/>
      <c r="J12" s="3"/>
      <c r="K12" s="3"/>
      <c r="L12" s="3"/>
      <c r="M12" s="3"/>
      <c r="N12" s="3"/>
      <c r="O12" s="3"/>
      <c r="P12" s="3"/>
      <c r="Q12" s="3"/>
      <c r="R12" s="3"/>
      <c r="S12" s="3"/>
      <c r="T12" s="3"/>
      <c r="U12" s="3"/>
      <c r="V12" s="3"/>
      <c r="W12" s="3"/>
      <c r="X12" s="3"/>
      <c r="Y12" s="3"/>
      <c r="Z12" s="3"/>
    </row>
    <row r="13" spans="1:26" ht="15" customHeight="1">
      <c r="A13" s="3"/>
      <c r="B13" s="3" t="s">
        <v>68</v>
      </c>
      <c r="C13" s="3"/>
      <c r="D13" s="3"/>
      <c r="E13" s="3"/>
      <c r="F13" s="3"/>
      <c r="G13" s="3"/>
      <c r="H13" s="3"/>
      <c r="I13" s="3"/>
      <c r="J13" s="3"/>
      <c r="K13" s="3"/>
      <c r="L13" s="3"/>
      <c r="M13" s="3"/>
      <c r="N13" s="3"/>
      <c r="O13" s="3"/>
      <c r="P13" s="3"/>
      <c r="Q13" s="3"/>
      <c r="R13" s="3"/>
      <c r="S13" s="3"/>
      <c r="T13" s="3"/>
      <c r="U13" s="3"/>
      <c r="V13" s="3"/>
      <c r="W13" s="3"/>
      <c r="X13" s="3"/>
      <c r="Y13" s="3"/>
      <c r="Z13" s="3"/>
    </row>
    <row r="14" spans="1:26" ht="18">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 customHeight="1">
      <c r="A15" s="5" t="s">
        <v>69</v>
      </c>
      <c r="B15" s="3"/>
      <c r="C15" s="3"/>
      <c r="D15" s="3"/>
      <c r="E15" s="3"/>
      <c r="F15" s="3"/>
      <c r="G15" s="3"/>
      <c r="H15" s="3"/>
      <c r="I15" s="3"/>
      <c r="J15" s="3"/>
      <c r="K15" s="3"/>
      <c r="L15" s="3"/>
      <c r="M15" s="3"/>
      <c r="N15" s="3"/>
      <c r="O15" s="3"/>
      <c r="P15" s="3"/>
      <c r="Q15" s="3"/>
      <c r="R15" s="3"/>
      <c r="S15" s="3"/>
      <c r="T15" s="3"/>
      <c r="U15" s="3"/>
      <c r="V15" s="3"/>
      <c r="W15" s="3"/>
      <c r="X15" s="3"/>
      <c r="Y15" s="3"/>
      <c r="Z15" s="3"/>
    </row>
    <row r="16" spans="1:26" ht="15" customHeight="1">
      <c r="A16" s="3"/>
      <c r="B16" s="3" t="s">
        <v>70</v>
      </c>
      <c r="C16" s="3"/>
      <c r="D16" s="3"/>
      <c r="E16" s="3"/>
      <c r="F16" s="3"/>
      <c r="G16" s="3"/>
      <c r="H16" s="3"/>
      <c r="I16" s="3"/>
      <c r="J16" s="3"/>
      <c r="K16" s="3"/>
      <c r="L16" s="3"/>
      <c r="M16" s="3"/>
      <c r="N16" s="3"/>
      <c r="O16" s="3"/>
      <c r="P16" s="3"/>
      <c r="Q16" s="3"/>
      <c r="R16" s="3"/>
      <c r="S16" s="3"/>
      <c r="T16" s="3"/>
      <c r="U16" s="3"/>
      <c r="V16" s="3"/>
      <c r="W16" s="3"/>
      <c r="X16" s="3"/>
      <c r="Y16" s="3"/>
      <c r="Z16" s="3"/>
    </row>
    <row r="17" spans="1:26" ht="15" customHeight="1">
      <c r="A17" s="3"/>
      <c r="B17" s="3" t="s">
        <v>71</v>
      </c>
      <c r="C17" s="3"/>
      <c r="D17" s="3"/>
      <c r="E17" s="3"/>
      <c r="F17" s="3"/>
      <c r="G17" s="3"/>
      <c r="H17" s="3"/>
      <c r="I17" s="3"/>
      <c r="J17" s="3"/>
      <c r="K17" s="3"/>
      <c r="L17" s="3"/>
      <c r="M17" s="3"/>
      <c r="N17" s="3"/>
      <c r="O17" s="3"/>
      <c r="P17" s="3"/>
      <c r="Q17" s="3"/>
      <c r="R17" s="3"/>
      <c r="S17" s="3"/>
      <c r="T17" s="3"/>
      <c r="U17" s="3"/>
      <c r="V17" s="3"/>
      <c r="W17" s="3"/>
      <c r="X17" s="3"/>
      <c r="Y17" s="3"/>
      <c r="Z17" s="3"/>
    </row>
    <row r="18" spans="1:26" ht="15" customHeight="1">
      <c r="A18" s="3"/>
      <c r="B18" s="7" t="s">
        <v>72</v>
      </c>
      <c r="C18" s="3"/>
      <c r="D18" s="3"/>
      <c r="E18" s="3"/>
      <c r="F18" s="3"/>
      <c r="G18" s="3"/>
      <c r="H18" s="3"/>
      <c r="I18" s="3"/>
      <c r="J18" s="3"/>
      <c r="K18" s="3"/>
      <c r="L18" s="3"/>
      <c r="M18" s="3"/>
      <c r="N18" s="3"/>
      <c r="O18" s="3"/>
      <c r="P18" s="3"/>
      <c r="Q18" s="3"/>
      <c r="R18" s="3"/>
      <c r="S18" s="3"/>
      <c r="T18" s="3"/>
      <c r="U18" s="3"/>
      <c r="V18" s="3"/>
      <c r="W18" s="3"/>
      <c r="X18" s="3"/>
      <c r="Y18" s="3"/>
      <c r="Z18" s="3"/>
    </row>
    <row r="19" spans="1:26" ht="15" customHeight="1">
      <c r="A19" s="3"/>
      <c r="B19" s="3" t="s">
        <v>73</v>
      </c>
      <c r="C19" s="3"/>
      <c r="D19" s="3"/>
      <c r="E19" s="3"/>
      <c r="F19" s="3"/>
      <c r="G19" s="3"/>
      <c r="H19" s="3"/>
      <c r="I19" s="3"/>
      <c r="J19" s="3"/>
      <c r="K19" s="3"/>
      <c r="L19" s="3"/>
      <c r="M19" s="3"/>
      <c r="N19" s="3"/>
      <c r="O19" s="3"/>
      <c r="P19" s="3"/>
      <c r="Q19" s="3"/>
      <c r="R19" s="3"/>
      <c r="S19" s="3"/>
      <c r="T19" s="3"/>
      <c r="U19" s="3"/>
      <c r="V19" s="3"/>
      <c r="W19" s="3"/>
      <c r="X19" s="3"/>
      <c r="Y19" s="3"/>
      <c r="Z19" s="3"/>
    </row>
    <row r="20" spans="1:26" ht="15" customHeight="1">
      <c r="A20" s="3"/>
      <c r="B20" s="3" t="s">
        <v>74</v>
      </c>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 customHeight="1">
      <c r="A22" s="5" t="s">
        <v>75</v>
      </c>
      <c r="B22" s="3"/>
      <c r="C22" s="3"/>
      <c r="D22" s="3"/>
      <c r="E22" s="3"/>
      <c r="F22" s="3"/>
      <c r="G22" s="3"/>
      <c r="H22" s="3"/>
      <c r="I22" s="3"/>
      <c r="J22" s="3"/>
      <c r="K22" s="3"/>
      <c r="L22" s="3"/>
      <c r="M22" s="3"/>
      <c r="N22" s="3"/>
      <c r="O22" s="3"/>
      <c r="P22" s="3"/>
      <c r="Q22" s="3"/>
      <c r="R22" s="3"/>
      <c r="S22" s="3"/>
      <c r="T22" s="3"/>
      <c r="U22" s="3"/>
      <c r="V22" s="3"/>
      <c r="W22" s="3"/>
      <c r="X22" s="3"/>
      <c r="Y22" s="3"/>
      <c r="Z22" s="3"/>
    </row>
    <row r="23" spans="1:26" ht="15" customHeight="1">
      <c r="A23" s="3"/>
      <c r="B23" s="3" t="s">
        <v>76</v>
      </c>
      <c r="C23" s="3"/>
      <c r="D23" s="3"/>
      <c r="E23" s="3"/>
      <c r="F23" s="3"/>
      <c r="G23" s="3"/>
      <c r="H23" s="3"/>
      <c r="I23" s="3"/>
      <c r="J23" s="3"/>
      <c r="K23" s="3"/>
      <c r="L23" s="3"/>
      <c r="M23" s="3"/>
      <c r="N23" s="3"/>
      <c r="O23" s="3"/>
      <c r="P23" s="3"/>
      <c r="Q23" s="3"/>
      <c r="R23" s="3"/>
      <c r="S23" s="3"/>
      <c r="T23" s="3"/>
      <c r="U23" s="3"/>
      <c r="V23" s="3"/>
      <c r="W23" s="3"/>
      <c r="X23" s="3"/>
      <c r="Y23" s="3"/>
      <c r="Z23" s="3"/>
    </row>
    <row r="24" spans="1:26" ht="15" customHeight="1">
      <c r="A24" s="3"/>
      <c r="B24" s="3" t="s">
        <v>77</v>
      </c>
      <c r="C24" s="3"/>
      <c r="D24" s="3"/>
      <c r="E24" s="3"/>
      <c r="F24" s="3"/>
      <c r="G24" s="3"/>
      <c r="H24" s="3"/>
      <c r="I24" s="3"/>
      <c r="J24" s="3"/>
      <c r="K24" s="3"/>
      <c r="L24" s="3"/>
      <c r="M24" s="3"/>
      <c r="N24" s="3"/>
      <c r="O24" s="3"/>
      <c r="P24" s="3"/>
      <c r="Q24" s="3"/>
      <c r="R24" s="3"/>
      <c r="S24" s="3"/>
      <c r="T24" s="3"/>
      <c r="U24" s="3"/>
      <c r="V24" s="3"/>
      <c r="W24" s="3"/>
      <c r="X24" s="3"/>
      <c r="Y24" s="3"/>
      <c r="Z24" s="3"/>
    </row>
    <row r="25" spans="1:26" ht="15" customHeight="1">
      <c r="A25" s="3"/>
      <c r="B25" s="8" t="s">
        <v>78</v>
      </c>
      <c r="C25" s="3"/>
      <c r="D25" s="3"/>
      <c r="E25" s="3"/>
      <c r="F25" s="3"/>
      <c r="G25" s="3"/>
      <c r="H25" s="3"/>
      <c r="I25" s="3"/>
      <c r="J25" s="3"/>
      <c r="K25" s="3"/>
      <c r="L25" s="3"/>
      <c r="M25" s="3"/>
      <c r="N25" s="3"/>
      <c r="O25" s="3"/>
      <c r="P25" s="3"/>
      <c r="Q25" s="3"/>
      <c r="R25" s="3"/>
      <c r="S25" s="3"/>
      <c r="T25" s="3"/>
      <c r="U25" s="3"/>
      <c r="V25" s="3"/>
      <c r="W25" s="3"/>
      <c r="X25" s="3"/>
      <c r="Y25" s="3"/>
      <c r="Z25" s="3"/>
    </row>
    <row r="26" spans="1:26" ht="15" customHeight="1">
      <c r="A26" s="3"/>
      <c r="B26" s="3" t="s">
        <v>79</v>
      </c>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c r="A28" s="3"/>
      <c r="B28" s="9" t="s">
        <v>80</v>
      </c>
      <c r="C28" s="10"/>
      <c r="D28" s="3"/>
      <c r="E28" s="11" t="s">
        <v>81</v>
      </c>
      <c r="F28" s="11" t="s">
        <v>82</v>
      </c>
      <c r="G28" s="11" t="s">
        <v>83</v>
      </c>
      <c r="H28" s="11" t="s">
        <v>84</v>
      </c>
      <c r="I28" s="3"/>
      <c r="J28" s="3"/>
      <c r="K28" s="3"/>
      <c r="L28" s="3"/>
      <c r="M28" s="3"/>
      <c r="N28" s="3"/>
      <c r="O28" s="3"/>
      <c r="P28" s="3"/>
      <c r="Q28" s="3"/>
      <c r="R28" s="3"/>
      <c r="S28" s="3"/>
      <c r="T28" s="3"/>
      <c r="U28" s="3"/>
      <c r="V28" s="3"/>
      <c r="W28" s="3"/>
      <c r="X28" s="3"/>
      <c r="Y28" s="3"/>
      <c r="Z28" s="3"/>
    </row>
    <row r="29" spans="1:26" ht="15" customHeight="1">
      <c r="A29" s="3"/>
      <c r="B29" s="12" t="s">
        <v>85</v>
      </c>
      <c r="C29" s="12" t="s">
        <v>86</v>
      </c>
      <c r="D29" s="3"/>
      <c r="E29" s="12" t="s">
        <v>87</v>
      </c>
      <c r="F29" s="12">
        <v>22</v>
      </c>
      <c r="G29" s="12" t="s">
        <v>88</v>
      </c>
      <c r="H29" s="12" t="s">
        <v>89</v>
      </c>
      <c r="I29" s="3"/>
      <c r="J29" s="3"/>
      <c r="K29" s="3"/>
      <c r="L29" s="3"/>
      <c r="M29" s="3"/>
      <c r="N29" s="3"/>
      <c r="O29" s="3"/>
      <c r="P29" s="3"/>
      <c r="Q29" s="3"/>
      <c r="R29" s="3"/>
      <c r="S29" s="3"/>
      <c r="T29" s="3"/>
      <c r="U29" s="3"/>
      <c r="V29" s="3"/>
      <c r="W29" s="3"/>
      <c r="X29" s="3"/>
      <c r="Y29" s="3"/>
      <c r="Z29" s="3"/>
    </row>
    <row r="30" spans="1:26" ht="15" customHeight="1">
      <c r="A30" s="3"/>
      <c r="B30" s="12" t="s">
        <v>90</v>
      </c>
      <c r="C30" s="12" t="s">
        <v>91</v>
      </c>
      <c r="D30" s="3"/>
      <c r="E30" s="12" t="s">
        <v>92</v>
      </c>
      <c r="F30" s="12">
        <v>33</v>
      </c>
      <c r="G30" s="12" t="s">
        <v>88</v>
      </c>
      <c r="H30" s="12"/>
      <c r="I30" s="3"/>
      <c r="J30" s="3"/>
      <c r="K30" s="3"/>
      <c r="L30" s="3"/>
      <c r="M30" s="3"/>
      <c r="N30" s="3"/>
      <c r="O30" s="3"/>
      <c r="P30" s="3"/>
      <c r="Q30" s="3"/>
      <c r="R30" s="3"/>
      <c r="S30" s="3"/>
      <c r="T30" s="3"/>
      <c r="U30" s="3"/>
      <c r="V30" s="3"/>
      <c r="W30" s="3"/>
      <c r="X30" s="3"/>
      <c r="Y30" s="3"/>
      <c r="Z30" s="3"/>
    </row>
    <row r="31" spans="1:26" ht="15" customHeight="1">
      <c r="A31" s="3"/>
      <c r="B31" s="12" t="s">
        <v>93</v>
      </c>
      <c r="C31" s="12" t="s">
        <v>94</v>
      </c>
      <c r="D31" s="3"/>
      <c r="E31" s="12" t="s">
        <v>95</v>
      </c>
      <c r="F31" s="12">
        <v>1000</v>
      </c>
      <c r="G31" s="12" t="s">
        <v>88</v>
      </c>
      <c r="H31" s="12" t="s">
        <v>96</v>
      </c>
      <c r="I31" s="3"/>
      <c r="J31" s="3"/>
      <c r="K31" s="3"/>
      <c r="L31" s="3"/>
      <c r="M31" s="3"/>
      <c r="N31" s="3"/>
      <c r="O31" s="3"/>
      <c r="P31" s="3"/>
      <c r="Q31" s="3"/>
      <c r="R31" s="3"/>
      <c r="S31" s="3"/>
      <c r="T31" s="3"/>
      <c r="U31" s="3"/>
      <c r="V31" s="3"/>
      <c r="W31" s="3"/>
      <c r="X31" s="3"/>
      <c r="Y31" s="3"/>
      <c r="Z31" s="3"/>
    </row>
    <row r="32" spans="1:26" ht="15" customHeight="1">
      <c r="A32" s="3"/>
      <c r="B32" s="12" t="s">
        <v>97</v>
      </c>
      <c r="C32" s="12" t="s">
        <v>98</v>
      </c>
      <c r="D32" s="3"/>
      <c r="E32" s="12" t="s">
        <v>99</v>
      </c>
      <c r="F32" s="12">
        <v>800</v>
      </c>
      <c r="G32" s="12" t="s">
        <v>88</v>
      </c>
      <c r="H32" s="12" t="s">
        <v>96</v>
      </c>
      <c r="I32" s="3"/>
      <c r="J32" s="3"/>
      <c r="K32" s="3"/>
      <c r="L32" s="3"/>
      <c r="M32" s="3"/>
      <c r="N32" s="3"/>
      <c r="O32" s="3"/>
      <c r="P32" s="3"/>
      <c r="Q32" s="3"/>
      <c r="R32" s="3"/>
      <c r="S32" s="3"/>
      <c r="T32" s="3"/>
      <c r="U32" s="3"/>
      <c r="V32" s="3"/>
      <c r="W32" s="3"/>
      <c r="X32" s="3"/>
      <c r="Y32" s="3"/>
      <c r="Z32" s="3"/>
    </row>
    <row r="33" spans="1:26" ht="15" customHeight="1">
      <c r="A33" s="3"/>
      <c r="B33" s="12" t="s">
        <v>100</v>
      </c>
      <c r="C33" s="13" t="s">
        <v>834</v>
      </c>
      <c r="D33" s="3"/>
      <c r="E33" s="3" t="s">
        <v>101</v>
      </c>
      <c r="F33" s="3"/>
      <c r="G33" s="3"/>
      <c r="H33" s="3"/>
      <c r="I33" s="3"/>
      <c r="J33" s="3"/>
      <c r="K33" s="3"/>
      <c r="L33" s="3"/>
      <c r="M33" s="3"/>
      <c r="N33" s="3"/>
      <c r="O33" s="3"/>
      <c r="P33" s="3"/>
      <c r="Q33" s="3"/>
      <c r="R33" s="3"/>
      <c r="S33" s="3"/>
      <c r="T33" s="3"/>
      <c r="U33" s="3"/>
      <c r="V33" s="3"/>
      <c r="W33" s="3"/>
      <c r="X33" s="3"/>
      <c r="Y33" s="3"/>
      <c r="Z33" s="3"/>
    </row>
    <row r="34" spans="1:26" ht="15" customHeight="1">
      <c r="A34" s="3"/>
      <c r="B34" s="12" t="s">
        <v>102</v>
      </c>
      <c r="C34" s="12" t="s">
        <v>103</v>
      </c>
      <c r="D34" s="3"/>
      <c r="E34" s="3"/>
      <c r="F34" s="3"/>
      <c r="G34" s="3"/>
      <c r="H34" s="3"/>
      <c r="I34" s="3"/>
      <c r="J34" s="3"/>
      <c r="K34" s="3"/>
      <c r="L34" s="3"/>
      <c r="M34" s="3"/>
      <c r="N34" s="3"/>
      <c r="O34" s="3"/>
      <c r="P34" s="3"/>
      <c r="Q34" s="3"/>
      <c r="R34" s="3"/>
      <c r="S34" s="3"/>
      <c r="T34" s="3"/>
      <c r="U34" s="3"/>
      <c r="V34" s="3"/>
      <c r="W34" s="3"/>
      <c r="X34" s="3"/>
      <c r="Y34" s="3"/>
      <c r="Z34" s="3"/>
    </row>
    <row r="35" spans="1:26" ht="15" customHeight="1" thickBot="1">
      <c r="A35" s="3"/>
      <c r="B35" s="12" t="s">
        <v>104</v>
      </c>
      <c r="C35" s="12" t="s">
        <v>105</v>
      </c>
      <c r="D35" s="3"/>
      <c r="E35" s="3"/>
      <c r="F35" s="3"/>
      <c r="G35" s="3"/>
      <c r="H35" s="3"/>
      <c r="I35" s="3"/>
      <c r="J35" s="3"/>
      <c r="K35" s="3"/>
      <c r="L35" s="3"/>
      <c r="M35" s="3"/>
      <c r="N35" s="3"/>
      <c r="O35" s="3"/>
      <c r="P35" s="3"/>
      <c r="Q35" s="3"/>
      <c r="R35" s="3"/>
      <c r="S35" s="3"/>
      <c r="T35" s="3"/>
      <c r="U35" s="3"/>
      <c r="V35" s="3"/>
      <c r="W35" s="3"/>
      <c r="X35" s="3"/>
      <c r="Y35" s="3"/>
      <c r="Z35" s="3"/>
    </row>
    <row r="36" spans="1:26" ht="15" customHeight="1">
      <c r="A36" s="3"/>
      <c r="B36" s="139" t="s">
        <v>418</v>
      </c>
      <c r="C36" s="140"/>
      <c r="D36" s="3"/>
      <c r="E36" s="3"/>
      <c r="F36" s="3"/>
      <c r="G36" s="3" t="s">
        <v>106</v>
      </c>
      <c r="H36" s="3"/>
      <c r="I36" s="3"/>
      <c r="J36" s="3"/>
      <c r="K36" s="3"/>
      <c r="L36" s="3"/>
      <c r="M36" s="3"/>
      <c r="N36" s="3"/>
      <c r="O36" s="3"/>
      <c r="P36" s="3"/>
      <c r="Q36" s="3"/>
      <c r="R36" s="3"/>
      <c r="S36" s="3"/>
      <c r="T36" s="3"/>
      <c r="U36" s="3"/>
      <c r="V36" s="3"/>
      <c r="W36" s="3"/>
      <c r="X36" s="3"/>
      <c r="Y36" s="3"/>
      <c r="Z36" s="3"/>
    </row>
    <row r="37" spans="1:26" ht="15" customHeight="1">
      <c r="A37" s="3"/>
      <c r="B37" s="1" t="s">
        <v>419</v>
      </c>
      <c r="C37" s="1" t="s">
        <v>420</v>
      </c>
      <c r="D37" s="3"/>
      <c r="E37" s="3"/>
      <c r="F37" s="3"/>
      <c r="G37" s="3" t="s">
        <v>107</v>
      </c>
      <c r="H37" s="3"/>
      <c r="I37" s="3"/>
      <c r="J37" s="3"/>
      <c r="K37" s="3"/>
      <c r="L37" s="3"/>
      <c r="M37" s="3"/>
      <c r="N37" s="3"/>
      <c r="O37" s="3"/>
      <c r="P37" s="3"/>
      <c r="Q37" s="3"/>
      <c r="R37" s="3"/>
      <c r="S37" s="3"/>
      <c r="T37" s="3"/>
      <c r="U37" s="3"/>
      <c r="V37" s="3"/>
      <c r="W37" s="3"/>
      <c r="X37" s="3"/>
      <c r="Y37" s="3"/>
      <c r="Z37" s="3"/>
    </row>
    <row r="38" spans="1:26" ht="15.75" customHeight="1">
      <c r="A38" s="3"/>
      <c r="B38" s="1" t="s">
        <v>421</v>
      </c>
      <c r="C38" s="1" t="s">
        <v>422</v>
      </c>
      <c r="D38" s="3"/>
      <c r="E38" s="3"/>
      <c r="F38" s="3"/>
      <c r="G38" s="3"/>
      <c r="H38" s="3"/>
      <c r="I38" s="3"/>
      <c r="J38" s="3"/>
      <c r="K38" s="3"/>
      <c r="L38" s="3"/>
      <c r="M38" s="3"/>
      <c r="N38" s="3"/>
      <c r="O38" s="3"/>
      <c r="P38" s="3"/>
      <c r="Q38" s="3"/>
      <c r="R38" s="3"/>
      <c r="S38" s="3"/>
      <c r="T38" s="3"/>
      <c r="U38" s="3"/>
      <c r="V38" s="3"/>
      <c r="W38" s="3"/>
      <c r="X38" s="3"/>
      <c r="Y38" s="3"/>
      <c r="Z38" s="3"/>
    </row>
    <row r="39" spans="1:26" ht="15" customHeight="1">
      <c r="A39" s="3"/>
      <c r="B39" s="1" t="s">
        <v>423</v>
      </c>
      <c r="C39" s="1" t="s">
        <v>424</v>
      </c>
      <c r="D39" s="3"/>
      <c r="E39" s="3"/>
      <c r="F39" s="3"/>
      <c r="G39" s="3"/>
      <c r="H39" s="3" t="s">
        <v>108</v>
      </c>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 customHeight="1">
      <c r="A41" s="3"/>
      <c r="B41" s="14" t="s">
        <v>109</v>
      </c>
      <c r="C41" s="15"/>
      <c r="D41" s="3"/>
      <c r="E41" s="3"/>
      <c r="F41" s="3"/>
      <c r="G41" s="3"/>
      <c r="H41" s="3"/>
      <c r="I41" s="3"/>
      <c r="J41" s="3"/>
      <c r="K41" s="3"/>
      <c r="L41" s="3"/>
      <c r="M41" s="3"/>
      <c r="N41" s="3"/>
      <c r="O41" s="3"/>
      <c r="P41" s="3"/>
      <c r="Q41" s="3"/>
      <c r="R41" s="3"/>
      <c r="S41" s="3"/>
      <c r="T41" s="3"/>
      <c r="U41" s="3"/>
      <c r="V41" s="3"/>
      <c r="W41" s="3"/>
      <c r="X41" s="3"/>
      <c r="Y41" s="3"/>
      <c r="Z41" s="3"/>
    </row>
    <row r="42" spans="1:26" ht="15" customHeight="1">
      <c r="A42" s="3"/>
      <c r="B42" s="12" t="s">
        <v>85</v>
      </c>
      <c r="C42" s="12" t="s">
        <v>110</v>
      </c>
      <c r="D42" s="3"/>
      <c r="E42" s="3"/>
      <c r="F42" s="3"/>
      <c r="G42" s="3"/>
      <c r="H42" s="3"/>
      <c r="I42" s="3"/>
      <c r="J42" s="3"/>
      <c r="K42" s="3"/>
      <c r="L42" s="3"/>
      <c r="M42" s="3"/>
      <c r="N42" s="3"/>
      <c r="O42" s="3"/>
      <c r="P42" s="3"/>
      <c r="Q42" s="3"/>
      <c r="R42" s="3"/>
      <c r="S42" s="3"/>
      <c r="T42" s="3"/>
      <c r="U42" s="3"/>
      <c r="V42" s="3"/>
      <c r="W42" s="3"/>
      <c r="X42" s="3"/>
      <c r="Y42" s="3"/>
      <c r="Z42" s="3"/>
    </row>
    <row r="43" spans="1:26" ht="15" customHeight="1">
      <c r="A43" s="3"/>
      <c r="B43" s="12" t="s">
        <v>90</v>
      </c>
      <c r="C43" s="12" t="s">
        <v>111</v>
      </c>
      <c r="D43" s="3"/>
      <c r="E43" s="3"/>
      <c r="F43" s="3"/>
      <c r="G43" s="3"/>
      <c r="H43" s="3"/>
      <c r="I43" s="3"/>
      <c r="J43" s="3"/>
      <c r="K43" s="3"/>
      <c r="L43" s="3"/>
      <c r="M43" s="3"/>
      <c r="N43" s="3"/>
      <c r="O43" s="3"/>
      <c r="P43" s="3"/>
      <c r="Q43" s="3"/>
      <c r="R43" s="3"/>
      <c r="S43" s="3"/>
      <c r="T43" s="3"/>
      <c r="U43" s="3"/>
      <c r="V43" s="3"/>
      <c r="W43" s="3"/>
      <c r="X43" s="3"/>
      <c r="Y43" s="3"/>
      <c r="Z43" s="3"/>
    </row>
    <row r="44" spans="1:26" ht="15" customHeight="1">
      <c r="A44" s="3"/>
      <c r="B44" s="12" t="s">
        <v>93</v>
      </c>
      <c r="C44" s="12" t="s">
        <v>112</v>
      </c>
      <c r="D44" s="3"/>
      <c r="E44" s="3"/>
      <c r="F44" s="3"/>
      <c r="G44" s="3"/>
      <c r="H44" s="3"/>
      <c r="I44" s="3"/>
      <c r="J44" s="3"/>
      <c r="K44" s="3"/>
      <c r="L44" s="3"/>
      <c r="M44" s="3"/>
      <c r="N44" s="3"/>
      <c r="O44" s="3"/>
      <c r="P44" s="3"/>
      <c r="Q44" s="3"/>
      <c r="R44" s="3"/>
      <c r="S44" s="3"/>
      <c r="T44" s="3"/>
      <c r="U44" s="3"/>
      <c r="V44" s="3"/>
      <c r="W44" s="3"/>
      <c r="X44" s="3"/>
      <c r="Y44" s="3"/>
      <c r="Z44" s="3"/>
    </row>
    <row r="45" spans="1:26" ht="15" customHeight="1">
      <c r="A45" s="3"/>
      <c r="B45" s="12" t="s">
        <v>113</v>
      </c>
      <c r="C45" s="12" t="s">
        <v>114</v>
      </c>
      <c r="D45" s="3"/>
      <c r="E45" s="3"/>
      <c r="F45" s="3"/>
      <c r="G45" s="3"/>
      <c r="H45" s="3"/>
      <c r="I45" s="3"/>
      <c r="J45" s="3" t="s">
        <v>115</v>
      </c>
      <c r="K45" s="3"/>
      <c r="L45" s="3"/>
      <c r="M45" s="3"/>
      <c r="N45" s="3"/>
      <c r="O45" s="3"/>
      <c r="P45" s="3"/>
      <c r="Q45" s="3"/>
      <c r="R45" s="3"/>
      <c r="S45" s="3"/>
      <c r="T45" s="3"/>
      <c r="U45" s="3"/>
      <c r="V45" s="3"/>
      <c r="W45" s="3"/>
      <c r="X45" s="3"/>
      <c r="Y45" s="3"/>
      <c r="Z45" s="3"/>
    </row>
    <row r="46" spans="1:26" ht="15" customHeight="1">
      <c r="A46" s="3"/>
      <c r="B46" s="12"/>
      <c r="C46" s="12" t="s">
        <v>116</v>
      </c>
      <c r="D46" s="3"/>
      <c r="E46" s="16" t="s">
        <v>81</v>
      </c>
      <c r="F46" s="16" t="s">
        <v>82</v>
      </c>
      <c r="G46" s="16" t="s">
        <v>83</v>
      </c>
      <c r="H46" s="16" t="s">
        <v>84</v>
      </c>
      <c r="I46" s="3"/>
      <c r="J46" s="3"/>
      <c r="K46" s="3"/>
      <c r="L46" s="3"/>
      <c r="M46" s="3"/>
      <c r="N46" s="3"/>
      <c r="O46" s="3"/>
      <c r="P46" s="3"/>
      <c r="Q46" s="3"/>
      <c r="R46" s="3"/>
      <c r="S46" s="3"/>
      <c r="T46" s="3"/>
      <c r="U46" s="3"/>
      <c r="V46" s="3"/>
      <c r="W46" s="3"/>
      <c r="X46" s="3"/>
      <c r="Y46" s="3"/>
      <c r="Z46" s="3"/>
    </row>
    <row r="47" spans="1:26" ht="15" customHeight="1">
      <c r="A47" s="3"/>
      <c r="B47" s="12" t="s">
        <v>100</v>
      </c>
      <c r="C47" s="13" t="s">
        <v>834</v>
      </c>
      <c r="D47" s="3"/>
      <c r="E47" s="12" t="s">
        <v>117</v>
      </c>
      <c r="F47" s="12">
        <v>0</v>
      </c>
      <c r="G47" s="12" t="s">
        <v>88</v>
      </c>
      <c r="H47" s="12" t="s">
        <v>118</v>
      </c>
      <c r="I47" s="3"/>
      <c r="J47" s="3"/>
      <c r="K47" s="3"/>
      <c r="L47" s="3"/>
      <c r="M47" s="3"/>
      <c r="N47" s="3"/>
      <c r="O47" s="3"/>
      <c r="P47" s="3"/>
      <c r="Q47" s="3"/>
      <c r="R47" s="3"/>
      <c r="S47" s="3"/>
      <c r="T47" s="3"/>
      <c r="U47" s="3"/>
      <c r="V47" s="3"/>
      <c r="W47" s="3"/>
      <c r="X47" s="3"/>
      <c r="Y47" s="3"/>
      <c r="Z47" s="3"/>
    </row>
    <row r="48" spans="1:26" ht="15" customHeight="1">
      <c r="A48" s="3"/>
      <c r="B48" s="12" t="s">
        <v>102</v>
      </c>
      <c r="C48" s="12" t="s">
        <v>119</v>
      </c>
      <c r="D48" s="3"/>
      <c r="E48" s="12" t="s">
        <v>120</v>
      </c>
      <c r="F48" s="12">
        <v>3890</v>
      </c>
      <c r="G48" s="12" t="s">
        <v>88</v>
      </c>
      <c r="H48" s="12"/>
      <c r="I48" s="3"/>
      <c r="J48" s="3"/>
      <c r="K48" s="3"/>
      <c r="L48" s="3"/>
      <c r="M48" s="3"/>
      <c r="N48" s="3"/>
      <c r="O48" s="3"/>
      <c r="P48" s="3"/>
      <c r="Q48" s="3"/>
      <c r="R48" s="3"/>
      <c r="S48" s="3"/>
      <c r="T48" s="3"/>
      <c r="U48" s="3"/>
      <c r="V48" s="3"/>
      <c r="W48" s="3"/>
      <c r="X48" s="3"/>
      <c r="Y48" s="3"/>
      <c r="Z48" s="3"/>
    </row>
    <row r="49" spans="1:26" ht="15" customHeight="1">
      <c r="A49" s="3"/>
      <c r="B49" s="12" t="s">
        <v>104</v>
      </c>
      <c r="C49" s="12" t="s">
        <v>105</v>
      </c>
      <c r="D49" s="3"/>
      <c r="E49" s="12" t="s">
        <v>121</v>
      </c>
      <c r="F49" s="12">
        <v>2000</v>
      </c>
      <c r="G49" s="12" t="s">
        <v>122</v>
      </c>
      <c r="H49" s="12" t="s">
        <v>123</v>
      </c>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 customHeight="1">
      <c r="A51" s="5" t="s">
        <v>236</v>
      </c>
      <c r="B51" s="3"/>
      <c r="C51" s="3"/>
      <c r="D51" s="3"/>
      <c r="E51" s="3"/>
      <c r="F51" s="3"/>
      <c r="G51" s="3"/>
      <c r="H51" s="3"/>
      <c r="I51" s="3"/>
      <c r="J51" s="3"/>
      <c r="K51" s="3"/>
      <c r="L51" s="3"/>
      <c r="M51" s="3"/>
      <c r="N51" s="3"/>
      <c r="O51" s="3"/>
      <c r="P51" s="3"/>
      <c r="Q51" s="3"/>
      <c r="R51" s="3"/>
      <c r="S51" s="3"/>
      <c r="T51" s="3"/>
      <c r="U51" s="3"/>
      <c r="V51" s="3"/>
      <c r="W51" s="3"/>
      <c r="X51" s="3"/>
      <c r="Y51" s="3"/>
      <c r="Z51" s="3"/>
    </row>
    <row r="52" spans="1:26" ht="15" customHeight="1">
      <c r="A52" s="3"/>
      <c r="B52" s="3" t="s">
        <v>124</v>
      </c>
      <c r="C52" s="3"/>
      <c r="D52" s="3"/>
      <c r="E52" s="3"/>
      <c r="F52" s="3"/>
      <c r="G52" s="3"/>
      <c r="H52" s="3"/>
      <c r="I52" s="3"/>
      <c r="J52" s="3"/>
      <c r="K52" s="3"/>
      <c r="L52" s="3"/>
      <c r="M52" s="3"/>
      <c r="N52" s="3"/>
      <c r="O52" s="3"/>
      <c r="P52" s="3"/>
      <c r="Q52" s="3"/>
      <c r="R52" s="3"/>
      <c r="S52" s="3"/>
      <c r="T52" s="3"/>
      <c r="U52" s="3"/>
      <c r="V52" s="3"/>
      <c r="W52" s="3"/>
      <c r="X52" s="3"/>
      <c r="Y52" s="3"/>
      <c r="Z52" s="3"/>
    </row>
    <row r="53" spans="1:26" ht="15" customHeight="1">
      <c r="A53" s="3"/>
      <c r="B53" s="8" t="s">
        <v>78</v>
      </c>
      <c r="C53" s="3"/>
      <c r="D53" s="3"/>
      <c r="E53" s="3"/>
      <c r="F53" s="3"/>
      <c r="G53" s="3"/>
      <c r="H53" s="3"/>
      <c r="I53" s="3"/>
      <c r="J53" s="3"/>
      <c r="K53" s="3"/>
      <c r="L53" s="3"/>
      <c r="M53" s="3"/>
      <c r="N53" s="3"/>
      <c r="O53" s="3"/>
      <c r="P53" s="3"/>
      <c r="Q53" s="3"/>
      <c r="R53" s="3"/>
      <c r="S53" s="3"/>
      <c r="T53" s="3"/>
      <c r="U53" s="3"/>
      <c r="V53" s="3"/>
      <c r="W53" s="3"/>
      <c r="X53" s="3"/>
      <c r="Y53" s="3"/>
      <c r="Z53" s="3"/>
    </row>
    <row r="54" spans="1:26" ht="15" customHeight="1">
      <c r="A54" s="3"/>
      <c r="B54" s="3" t="s">
        <v>79</v>
      </c>
      <c r="C54" s="3"/>
      <c r="D54" s="3"/>
      <c r="E54" s="3"/>
      <c r="F54" s="3"/>
      <c r="G54" s="3"/>
      <c r="H54" s="3"/>
      <c r="I54" s="3"/>
      <c r="J54" s="3"/>
      <c r="K54" s="3"/>
      <c r="L54" s="3"/>
      <c r="M54" s="3"/>
      <c r="N54" s="3"/>
      <c r="O54" s="3"/>
      <c r="P54" s="3"/>
      <c r="Q54" s="3"/>
      <c r="R54" s="3"/>
      <c r="S54" s="3"/>
      <c r="T54" s="3"/>
      <c r="U54" s="3"/>
      <c r="V54" s="3"/>
      <c r="W54" s="3"/>
      <c r="X54" s="3"/>
      <c r="Y54" s="3"/>
      <c r="Z54" s="3"/>
    </row>
    <row r="55" spans="1:26" ht="15" customHeight="1">
      <c r="A55" s="3"/>
      <c r="B55" s="3" t="s">
        <v>125</v>
      </c>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 customHeight="1">
      <c r="A57" s="3"/>
      <c r="B57" s="17" t="s">
        <v>126</v>
      </c>
      <c r="C57" s="18"/>
      <c r="D57" s="3"/>
      <c r="E57" s="133" t="s">
        <v>426</v>
      </c>
      <c r="F57" s="19"/>
      <c r="G57" s="19"/>
      <c r="H57" s="19"/>
      <c r="I57" s="3"/>
      <c r="J57" s="3"/>
      <c r="K57" s="3"/>
      <c r="L57" s="3"/>
      <c r="M57" s="3"/>
      <c r="N57" s="3"/>
      <c r="O57" s="3"/>
      <c r="P57" s="3"/>
      <c r="Q57" s="3"/>
      <c r="R57" s="3"/>
      <c r="S57" s="3"/>
      <c r="T57" s="3"/>
      <c r="U57" s="3"/>
      <c r="V57" s="3"/>
      <c r="W57" s="3"/>
      <c r="X57" s="3"/>
      <c r="Y57" s="3"/>
      <c r="Z57" s="3"/>
    </row>
    <row r="58" spans="1:26" ht="15" customHeight="1">
      <c r="A58" s="3"/>
      <c r="B58" s="12" t="s">
        <v>85</v>
      </c>
      <c r="C58" s="12" t="s">
        <v>127</v>
      </c>
      <c r="D58" s="3"/>
      <c r="E58" s="37" t="s">
        <v>81</v>
      </c>
      <c r="F58" s="134" t="s">
        <v>82</v>
      </c>
      <c r="G58" s="135"/>
      <c r="H58" s="37" t="s">
        <v>84</v>
      </c>
      <c r="I58" s="3"/>
      <c r="J58" s="3"/>
      <c r="K58" s="3"/>
      <c r="L58" s="3"/>
      <c r="M58" s="3"/>
      <c r="N58" s="3"/>
      <c r="O58" s="3"/>
      <c r="P58" s="3"/>
      <c r="Q58" s="3"/>
      <c r="R58" s="3"/>
      <c r="S58" s="3"/>
      <c r="T58" s="3"/>
      <c r="U58" s="3"/>
      <c r="V58" s="3"/>
      <c r="W58" s="3"/>
      <c r="X58" s="3"/>
      <c r="Y58" s="3"/>
      <c r="Z58" s="3"/>
    </row>
    <row r="59" spans="1:26" ht="15" customHeight="1">
      <c r="A59" s="3"/>
      <c r="B59" s="12" t="s">
        <v>90</v>
      </c>
      <c r="C59" s="12" t="s">
        <v>128</v>
      </c>
      <c r="D59" s="3"/>
      <c r="E59" s="38" t="s">
        <v>129</v>
      </c>
      <c r="F59" s="136" t="s">
        <v>427</v>
      </c>
      <c r="G59" s="136"/>
      <c r="H59" s="38" t="s">
        <v>428</v>
      </c>
      <c r="I59" s="3"/>
      <c r="J59" s="3"/>
      <c r="K59" s="3"/>
      <c r="L59" s="3"/>
      <c r="M59" s="3"/>
      <c r="N59" s="3"/>
      <c r="O59" s="3"/>
      <c r="P59" s="3"/>
      <c r="Q59" s="3"/>
      <c r="R59" s="3"/>
      <c r="S59" s="3"/>
      <c r="T59" s="3"/>
      <c r="U59" s="3"/>
      <c r="V59" s="3"/>
      <c r="W59" s="3"/>
      <c r="X59" s="3"/>
      <c r="Y59" s="3"/>
      <c r="Z59" s="3"/>
    </row>
    <row r="60" spans="1:26" ht="15" customHeight="1">
      <c r="A60" s="3"/>
      <c r="B60" s="12" t="s">
        <v>93</v>
      </c>
      <c r="C60" s="12" t="s">
        <v>835</v>
      </c>
      <c r="D60" s="3"/>
      <c r="E60" s="133" t="s">
        <v>836</v>
      </c>
      <c r="F60" s="19"/>
      <c r="G60" s="19"/>
      <c r="H60" s="19"/>
      <c r="I60" s="3"/>
      <c r="J60" s="3"/>
      <c r="K60" s="3"/>
      <c r="L60" s="3"/>
      <c r="M60" s="3"/>
      <c r="N60" s="3"/>
      <c r="O60" s="3"/>
      <c r="P60" s="3"/>
      <c r="Q60" s="3"/>
      <c r="R60" s="3"/>
      <c r="S60" s="3"/>
      <c r="T60" s="3"/>
      <c r="U60" s="3"/>
      <c r="V60" s="3"/>
      <c r="W60" s="3"/>
      <c r="X60" s="3"/>
      <c r="Y60" s="3"/>
      <c r="Z60" s="3"/>
    </row>
    <row r="61" spans="1:26" ht="15" customHeight="1">
      <c r="A61" s="3"/>
      <c r="B61" s="12" t="s">
        <v>97</v>
      </c>
      <c r="C61" s="12" t="s">
        <v>131</v>
      </c>
      <c r="D61" s="3"/>
      <c r="E61" s="37" t="s">
        <v>81</v>
      </c>
      <c r="F61" s="37" t="s">
        <v>82</v>
      </c>
      <c r="G61" s="37" t="s">
        <v>83</v>
      </c>
      <c r="H61" s="37" t="s">
        <v>84</v>
      </c>
      <c r="I61" s="3"/>
      <c r="J61" s="3"/>
      <c r="K61" s="3"/>
      <c r="L61" s="3"/>
      <c r="M61" s="3"/>
      <c r="N61" s="3"/>
      <c r="O61" s="3"/>
      <c r="P61" s="3"/>
      <c r="Q61" s="3"/>
      <c r="R61" s="3"/>
      <c r="S61" s="3"/>
      <c r="T61" s="3"/>
      <c r="U61" s="3"/>
      <c r="V61" s="3"/>
      <c r="W61" s="3"/>
      <c r="X61" s="3"/>
      <c r="Y61" s="3"/>
      <c r="Z61" s="3"/>
    </row>
    <row r="62" spans="1:26" ht="15" customHeight="1">
      <c r="A62" s="3"/>
      <c r="B62" s="12" t="s">
        <v>100</v>
      </c>
      <c r="C62" s="13" t="s">
        <v>834</v>
      </c>
      <c r="D62" s="3"/>
      <c r="E62" s="38" t="s">
        <v>129</v>
      </c>
      <c r="F62" s="38">
        <v>500</v>
      </c>
      <c r="G62" s="38" t="s">
        <v>425</v>
      </c>
      <c r="H62" s="38" t="s">
        <v>130</v>
      </c>
      <c r="I62" s="3"/>
      <c r="J62" s="3"/>
      <c r="K62" s="3"/>
      <c r="L62" s="3"/>
      <c r="M62" s="3"/>
      <c r="N62" s="3"/>
      <c r="O62" s="3"/>
      <c r="P62" s="3"/>
      <c r="Q62" s="3"/>
      <c r="R62" s="3"/>
      <c r="S62" s="3"/>
      <c r="T62" s="3"/>
      <c r="U62" s="3"/>
      <c r="V62" s="3"/>
      <c r="W62" s="3"/>
      <c r="X62" s="3"/>
      <c r="Y62" s="3"/>
      <c r="Z62" s="3"/>
    </row>
    <row r="63" spans="1:26" ht="15" customHeight="1">
      <c r="A63" s="3"/>
      <c r="B63" s="12" t="s">
        <v>104</v>
      </c>
      <c r="C63" s="12" t="s">
        <v>105</v>
      </c>
      <c r="D63" s="3"/>
      <c r="E63"/>
      <c r="F63"/>
      <c r="G63"/>
      <c r="H63"/>
      <c r="I63" s="3"/>
      <c r="J63" s="3"/>
      <c r="K63" s="3"/>
      <c r="L63" s="3"/>
      <c r="M63" s="3"/>
      <c r="N63" s="3"/>
      <c r="O63" s="3"/>
      <c r="P63" s="3"/>
      <c r="Q63" s="3"/>
      <c r="R63" s="3"/>
      <c r="S63" s="3"/>
      <c r="T63" s="3"/>
      <c r="U63" s="3"/>
      <c r="V63" s="3"/>
      <c r="W63" s="3"/>
      <c r="X63" s="3"/>
      <c r="Y63" s="3"/>
      <c r="Z63" s="3"/>
    </row>
    <row r="64" spans="1:26" ht="15" customHeight="1">
      <c r="A64" s="3"/>
      <c r="B64" s="3"/>
      <c r="C64" s="3"/>
      <c r="D64" s="3"/>
      <c r="E64"/>
      <c r="F64"/>
      <c r="G64"/>
      <c r="H64"/>
      <c r="I64" s="3"/>
      <c r="J64" s="3"/>
      <c r="K64" s="3"/>
      <c r="L64" s="3"/>
      <c r="M64" s="3"/>
      <c r="N64" s="3"/>
      <c r="O64" s="3"/>
      <c r="P64" s="3"/>
      <c r="Q64" s="3"/>
      <c r="R64" s="3"/>
      <c r="S64" s="3"/>
      <c r="T64" s="3"/>
      <c r="U64" s="3"/>
      <c r="V64" s="3"/>
      <c r="W64" s="3"/>
      <c r="X64" s="3"/>
      <c r="Y64" s="3"/>
      <c r="Z64" s="3"/>
    </row>
    <row r="65" spans="1:26" ht="15" customHeight="1">
      <c r="A65" s="3"/>
      <c r="B65" s="3"/>
      <c r="C65" s="3"/>
      <c r="D65" s="3"/>
      <c r="E65"/>
      <c r="F65"/>
      <c r="G65"/>
      <c r="H65"/>
      <c r="I65" s="3"/>
      <c r="J65" s="3"/>
      <c r="K65" s="3"/>
      <c r="L65" s="3"/>
      <c r="M65" s="3"/>
      <c r="N65" s="3"/>
      <c r="O65" s="3"/>
      <c r="P65" s="3"/>
      <c r="Q65" s="3"/>
      <c r="R65" s="3"/>
      <c r="S65" s="3"/>
      <c r="T65" s="3"/>
      <c r="U65" s="3"/>
      <c r="V65" s="3"/>
      <c r="W65" s="3"/>
      <c r="X65" s="3"/>
      <c r="Y65" s="3"/>
      <c r="Z65" s="3"/>
    </row>
    <row r="66" spans="1:26" ht="15" customHeight="1">
      <c r="A66" s="3"/>
      <c r="B66" s="3"/>
      <c r="C66" s="3"/>
      <c r="D66" s="3"/>
      <c r="E66"/>
      <c r="F66"/>
      <c r="G66"/>
      <c r="H66"/>
      <c r="I66" s="3"/>
      <c r="J66" s="3"/>
      <c r="K66" s="3"/>
      <c r="L66" s="3"/>
      <c r="M66" s="3"/>
      <c r="N66" s="3"/>
      <c r="O66" s="3"/>
      <c r="P66" s="3"/>
      <c r="Q66" s="3"/>
      <c r="R66" s="3"/>
      <c r="S66" s="3"/>
      <c r="T66" s="3"/>
      <c r="U66" s="3"/>
      <c r="V66" s="3"/>
      <c r="W66" s="3"/>
      <c r="X66" s="3"/>
      <c r="Y66" s="3"/>
      <c r="Z66" s="3"/>
    </row>
    <row r="67" spans="1:26" ht="15" customHeight="1">
      <c r="A67" s="3" t="s">
        <v>237</v>
      </c>
      <c r="B67" s="3"/>
      <c r="C67" s="3"/>
      <c r="D67" s="3"/>
      <c r="E67" s="36"/>
      <c r="F67" s="3"/>
      <c r="G67" s="3"/>
      <c r="H67" s="3"/>
      <c r="I67" s="3"/>
      <c r="J67" s="3"/>
      <c r="K67" s="3"/>
      <c r="L67" s="3"/>
      <c r="M67" s="3"/>
      <c r="N67" s="3"/>
      <c r="O67" s="3"/>
      <c r="P67" s="3"/>
      <c r="Q67" s="3"/>
      <c r="R67" s="3"/>
      <c r="S67" s="3"/>
      <c r="T67" s="3"/>
      <c r="U67" s="3"/>
      <c r="V67" s="3"/>
      <c r="W67" s="3"/>
      <c r="X67" s="3"/>
      <c r="Y67" s="3"/>
      <c r="Z67" s="3"/>
    </row>
    <row r="68" spans="1:26" ht="15" customHeight="1">
      <c r="A68" s="3"/>
      <c r="B68" s="3"/>
      <c r="C68" s="3"/>
      <c r="D68" s="3"/>
      <c r="E68" s="36"/>
      <c r="F68" s="3"/>
      <c r="G68" s="3"/>
      <c r="H68" s="3" t="s">
        <v>235</v>
      </c>
      <c r="I68" s="3"/>
      <c r="J68" s="3"/>
      <c r="K68" s="3"/>
      <c r="L68" s="3"/>
      <c r="M68" s="3"/>
      <c r="N68" s="3"/>
      <c r="O68" s="3"/>
      <c r="P68" s="3"/>
      <c r="Q68" s="3"/>
      <c r="R68" s="3"/>
      <c r="S68" s="3"/>
      <c r="T68" s="3"/>
      <c r="U68" s="3"/>
      <c r="V68" s="3"/>
      <c r="W68" s="3"/>
      <c r="X68" s="3"/>
      <c r="Y68" s="3"/>
      <c r="Z68" s="3"/>
    </row>
    <row r="69" spans="1:26" ht="15" customHeight="1">
      <c r="A69" s="3"/>
      <c r="B69" s="3"/>
      <c r="C69" s="3"/>
      <c r="D69" s="3"/>
      <c r="E69" s="36"/>
      <c r="F69" s="3"/>
      <c r="G69" s="3"/>
      <c r="H69" s="3"/>
      <c r="I69" s="3"/>
      <c r="J69" s="3"/>
      <c r="K69" s="3"/>
      <c r="L69" s="3"/>
      <c r="M69" s="3"/>
      <c r="N69" s="3"/>
      <c r="O69" s="3"/>
      <c r="P69" s="3"/>
      <c r="Q69" s="3"/>
      <c r="R69" s="3"/>
      <c r="S69" s="3"/>
      <c r="T69" s="3"/>
      <c r="U69" s="3"/>
      <c r="V69" s="3"/>
      <c r="W69" s="3"/>
      <c r="X69" s="3"/>
      <c r="Y69" s="3"/>
      <c r="Z69" s="3"/>
    </row>
    <row r="70" spans="1:26" ht="15" customHeight="1">
      <c r="A70" s="3"/>
      <c r="B70" s="3"/>
      <c r="C70" s="3"/>
      <c r="D70" s="3"/>
      <c r="E70" s="36"/>
      <c r="F70" s="3"/>
      <c r="G70" s="3"/>
      <c r="H70" s="3"/>
      <c r="I70" s="3"/>
      <c r="J70" s="3"/>
      <c r="K70" s="3"/>
      <c r="L70" s="3"/>
      <c r="M70" s="3"/>
      <c r="N70" s="3"/>
      <c r="O70" s="3"/>
      <c r="P70" s="3"/>
      <c r="Q70" s="3"/>
      <c r="R70" s="3"/>
      <c r="S70" s="3"/>
      <c r="T70" s="3"/>
      <c r="U70" s="3"/>
      <c r="V70" s="3"/>
      <c r="W70" s="3"/>
      <c r="X70" s="3"/>
      <c r="Y70" s="3"/>
      <c r="Z70" s="3"/>
    </row>
    <row r="71" spans="1:26" ht="15" customHeight="1">
      <c r="A71" s="3"/>
      <c r="B71" s="3"/>
      <c r="C71" s="3"/>
      <c r="D71" s="3"/>
      <c r="E71" s="36"/>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 customHeight="1">
      <c r="A73" s="5" t="s">
        <v>132</v>
      </c>
      <c r="B73" s="3"/>
      <c r="C73" s="3"/>
      <c r="D73" s="3"/>
      <c r="E73" s="3"/>
      <c r="F73" s="3"/>
      <c r="G73" s="3"/>
      <c r="H73" s="3"/>
      <c r="I73" s="3"/>
      <c r="J73" s="3"/>
      <c r="K73" s="3"/>
      <c r="L73" s="3"/>
      <c r="M73" s="3"/>
      <c r="N73" s="3"/>
      <c r="O73" s="3"/>
      <c r="P73" s="3"/>
      <c r="Q73" s="3"/>
      <c r="R73" s="3"/>
      <c r="S73" s="3"/>
      <c r="T73" s="3"/>
      <c r="U73" s="3"/>
      <c r="V73" s="3"/>
      <c r="W73" s="3"/>
      <c r="X73" s="3"/>
      <c r="Y73" s="3"/>
      <c r="Z73" s="3"/>
    </row>
    <row r="74" spans="1:26" ht="15" customHeight="1">
      <c r="A74" s="3"/>
      <c r="B74" s="20" t="s">
        <v>133</v>
      </c>
      <c r="C74" s="3"/>
      <c r="D74" s="3"/>
      <c r="E74" s="3"/>
      <c r="F74" s="3"/>
      <c r="G74" s="3"/>
      <c r="H74" s="3"/>
      <c r="I74" s="3"/>
      <c r="J74" s="3"/>
      <c r="K74" s="3"/>
      <c r="L74" s="3"/>
      <c r="M74" s="3"/>
      <c r="N74" s="3"/>
      <c r="O74" s="3"/>
      <c r="P74" s="3"/>
      <c r="Q74" s="3"/>
      <c r="R74" s="3"/>
      <c r="S74" s="3"/>
      <c r="T74" s="3"/>
      <c r="U74" s="3"/>
      <c r="V74" s="3"/>
      <c r="W74" s="3"/>
      <c r="X74" s="3"/>
      <c r="Y74" s="3"/>
      <c r="Z74" s="3"/>
    </row>
    <row r="75" spans="1:26" ht="15" customHeight="1">
      <c r="A75" s="3"/>
      <c r="B75" s="20" t="s">
        <v>134</v>
      </c>
      <c r="C75" s="3"/>
      <c r="D75" s="3"/>
      <c r="E75" s="3"/>
      <c r="F75" s="3"/>
      <c r="G75" s="3"/>
      <c r="H75" s="3"/>
      <c r="I75" s="3"/>
      <c r="J75" s="3"/>
      <c r="K75" s="3"/>
      <c r="L75" s="3"/>
      <c r="M75" s="3"/>
      <c r="N75" s="3"/>
      <c r="O75" s="3"/>
      <c r="P75" s="3"/>
      <c r="Q75" s="3"/>
      <c r="R75" s="3"/>
      <c r="S75" s="3"/>
      <c r="T75" s="3"/>
      <c r="U75" s="3"/>
      <c r="V75" s="3"/>
      <c r="W75" s="3"/>
      <c r="X75" s="3"/>
      <c r="Y75" s="3"/>
      <c r="Z75" s="3"/>
    </row>
    <row r="76" spans="1:26" ht="15" customHeight="1">
      <c r="A76" s="3"/>
      <c r="B76" s="20" t="s">
        <v>135</v>
      </c>
      <c r="C76" s="3"/>
      <c r="D76" s="3"/>
      <c r="E76" s="3"/>
      <c r="F76" s="3"/>
      <c r="G76" s="3"/>
      <c r="H76" s="3"/>
      <c r="I76" s="3"/>
      <c r="J76" s="3"/>
      <c r="K76" s="3"/>
      <c r="L76" s="3"/>
      <c r="M76" s="3"/>
      <c r="N76" s="3"/>
      <c r="O76" s="3"/>
      <c r="P76" s="3"/>
      <c r="Q76" s="3"/>
      <c r="R76" s="3"/>
      <c r="S76" s="3"/>
      <c r="T76" s="3"/>
      <c r="U76" s="3"/>
      <c r="V76" s="3"/>
      <c r="W76" s="3"/>
      <c r="X76" s="3"/>
      <c r="Y76" s="3"/>
      <c r="Z76" s="3"/>
    </row>
    <row r="77" spans="1:26" ht="15" customHeight="1">
      <c r="A77" s="3"/>
      <c r="B77" s="21" t="s">
        <v>136</v>
      </c>
      <c r="C77" s="3"/>
      <c r="D77" s="3"/>
      <c r="E77" s="3"/>
      <c r="F77" s="3"/>
      <c r="G77" s="3"/>
      <c r="H77" s="3"/>
      <c r="I77" s="3"/>
      <c r="J77" s="3"/>
      <c r="K77" s="3"/>
      <c r="L77" s="3"/>
      <c r="M77" s="3"/>
      <c r="N77" s="3"/>
      <c r="O77" s="3"/>
      <c r="P77" s="3"/>
      <c r="Q77" s="3"/>
      <c r="R77" s="3"/>
      <c r="S77" s="3"/>
      <c r="T77" s="3"/>
      <c r="U77" s="3"/>
      <c r="V77" s="3"/>
      <c r="W77" s="3"/>
      <c r="X77" s="3"/>
      <c r="Y77" s="3"/>
      <c r="Z77" s="3"/>
    </row>
    <row r="78" spans="1:26" ht="15" customHeight="1">
      <c r="A78" s="3"/>
      <c r="B78" s="20" t="s">
        <v>137</v>
      </c>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 customHeight="1">
      <c r="A80" s="5" t="s">
        <v>138</v>
      </c>
      <c r="B80" s="3"/>
      <c r="C80" s="3"/>
      <c r="D80" s="3"/>
      <c r="E80" s="3"/>
      <c r="F80" s="3"/>
      <c r="G80" s="3"/>
      <c r="H80" s="3"/>
      <c r="I80" s="3"/>
      <c r="J80" s="3"/>
      <c r="K80" s="3"/>
      <c r="L80" s="3"/>
      <c r="M80" s="3"/>
      <c r="N80" s="3"/>
      <c r="O80" s="3"/>
      <c r="P80" s="3"/>
      <c r="Q80" s="3"/>
      <c r="R80" s="3"/>
      <c r="S80" s="3"/>
      <c r="T80" s="3"/>
      <c r="U80" s="3"/>
      <c r="V80" s="3"/>
      <c r="W80" s="3"/>
      <c r="X80" s="3"/>
      <c r="Y80" s="3"/>
      <c r="Z80" s="3"/>
    </row>
    <row r="81" spans="1:26" ht="15" customHeight="1">
      <c r="A81" s="3"/>
      <c r="B81" s="137" t="s">
        <v>139</v>
      </c>
      <c r="C81" s="138"/>
      <c r="D81" s="138"/>
      <c r="E81" s="138"/>
      <c r="F81" s="3"/>
      <c r="G81" s="3"/>
      <c r="H81" s="3"/>
      <c r="I81" s="3"/>
      <c r="J81" s="3"/>
      <c r="K81" s="3"/>
      <c r="L81" s="3"/>
      <c r="M81" s="3"/>
      <c r="N81" s="3"/>
      <c r="O81" s="3"/>
      <c r="P81" s="3"/>
      <c r="Q81" s="3"/>
      <c r="R81" s="3"/>
      <c r="S81" s="3"/>
      <c r="T81" s="3"/>
      <c r="U81" s="3"/>
      <c r="V81" s="3"/>
      <c r="W81" s="3"/>
      <c r="X81" s="3"/>
      <c r="Y81" s="3"/>
      <c r="Z81" s="3"/>
    </row>
    <row r="82" spans="1:26" ht="15" customHeight="1">
      <c r="A82" s="3"/>
      <c r="B82" s="137" t="s">
        <v>140</v>
      </c>
      <c r="C82" s="138"/>
      <c r="D82" s="138"/>
      <c r="E82" s="138"/>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F58:G58"/>
    <mergeCell ref="F59:G59"/>
    <mergeCell ref="B81:E81"/>
    <mergeCell ref="B82:E82"/>
    <mergeCell ref="B36:C36"/>
  </mergeCells>
  <phoneticPr fontId="3"/>
  <hyperlinks>
    <hyperlink ref="B77" r:id="rId1" location="gid=1331430973" xr:uid="{ED1BFB5A-F7DE-4790-9FC0-325D52A1E26B}"/>
  </hyperlinks>
  <pageMargins left="0.7" right="0.7" top="0.75" bottom="0.75" header="0" footer="0"/>
  <pageSetup orientation="landscape"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F0B6-DC17-4DD5-A852-005D87DCD2B8}">
  <sheetPr codeName="Sheet2">
    <pageSetUpPr fitToPage="1"/>
  </sheetPr>
  <dimension ref="A1:I993"/>
  <sheetViews>
    <sheetView tabSelected="1" workbookViewId="0">
      <pane xSplit="4" ySplit="1" topLeftCell="E2" activePane="bottomRight" state="frozen"/>
      <selection pane="topRight" activeCell="D1" sqref="D1"/>
      <selection pane="bottomLeft" activeCell="A2" sqref="A2"/>
      <selection pane="bottomRight" activeCell="E26" sqref="E26"/>
    </sheetView>
  </sheetViews>
  <sheetFormatPr defaultColWidth="13.25" defaultRowHeight="15" customHeight="1"/>
  <cols>
    <col min="1" max="1" width="30.1640625" style="22" customWidth="1"/>
    <col min="2" max="2" width="16" style="22" bestFit="1" customWidth="1"/>
    <col min="3" max="3" width="14.33203125" style="22" bestFit="1" customWidth="1"/>
    <col min="4" max="4" width="8" style="22" customWidth="1"/>
    <col min="5" max="6" width="11.58203125" style="22" customWidth="1"/>
    <col min="7" max="7" width="11.75" style="22" bestFit="1" customWidth="1"/>
    <col min="8" max="8" width="12" style="22" bestFit="1" customWidth="1"/>
    <col min="9" max="9" width="47.1640625" style="22" customWidth="1"/>
    <col min="10" max="26" width="8" style="22" customWidth="1"/>
    <col min="27" max="16384" width="13.25" style="22"/>
  </cols>
  <sheetData>
    <row r="1" spans="1:9" ht="18" customHeight="1">
      <c r="A1" s="27" t="s">
        <v>154</v>
      </c>
      <c r="B1" s="27" t="s">
        <v>183</v>
      </c>
      <c r="C1" s="27" t="s">
        <v>141</v>
      </c>
      <c r="D1" s="27" t="s">
        <v>142</v>
      </c>
      <c r="E1" s="27" t="s">
        <v>151</v>
      </c>
      <c r="F1" s="27" t="s">
        <v>150</v>
      </c>
      <c r="G1" s="27" t="s">
        <v>152</v>
      </c>
      <c r="H1" s="27" t="s">
        <v>143</v>
      </c>
      <c r="I1" s="27" t="s">
        <v>84</v>
      </c>
    </row>
    <row r="2" spans="1:9" ht="18" customHeight="1">
      <c r="A2" s="23" t="s">
        <v>144</v>
      </c>
      <c r="B2" s="34" t="s">
        <v>184</v>
      </c>
      <c r="C2" s="24" t="s">
        <v>9</v>
      </c>
      <c r="D2" s="23">
        <v>1.25</v>
      </c>
      <c r="E2" s="25">
        <v>25</v>
      </c>
      <c r="F2" s="23">
        <f>SUMIFS(テーブル1[在庫(本)],テーブル1[品名],"SPACECOOLフィルム",テーブル1[色],"ホワイトマット",テーブル1[長さ(m)],"25",テーブル1[備考2],"&lt;&gt;保管用",テーブル1[備考3],"&lt;&gt;規格外")</f>
        <v>219</v>
      </c>
      <c r="G2" s="23">
        <f>SUMIFS(テーブル1[長さ合計(m)],テーブル1[品名],"SPACECOOLフィルム",テーブル1[色],"ホワイトマット",テーブル1[幅(m)],"1.25",テーブル1[備考2],"&lt;&gt;保管用",テーブル1[備考3],"&lt;&gt;規格外")</f>
        <v>4981.8</v>
      </c>
      <c r="H2" s="23">
        <f>D2*G2</f>
        <v>6227.25</v>
      </c>
      <c r="I2" s="23" t="s">
        <v>145</v>
      </c>
    </row>
    <row r="3" spans="1:9" ht="18" customHeight="1">
      <c r="A3" s="28" t="s">
        <v>144</v>
      </c>
      <c r="B3" s="35" t="s">
        <v>185</v>
      </c>
      <c r="C3" s="29" t="s">
        <v>13</v>
      </c>
      <c r="D3" s="28">
        <v>1.25</v>
      </c>
      <c r="E3" s="30">
        <v>25</v>
      </c>
      <c r="F3" s="28">
        <f>SUMIFS(テーブル1[在庫(本)],テーブル1[品名],"SPACECOOLフィルム",テーブル1[色],"シルバーマット",テーブル1[長さ(m)],"25",テーブル1[備考2],"&lt;&gt;保管用",テーブル1[備考3],"&lt;&gt;規格外")</f>
        <v>224</v>
      </c>
      <c r="G3" s="28">
        <f>SUMIFS(テーブル1[長さ合計(m)],テーブル1[品名],"SPACECOOLフィルム",テーブル1[色],"シルバーマット",テーブル1[幅(m)],"1.25",テーブル1[備考2],"&lt;&gt;保管用",テーブル1[備考3],"&lt;&gt;規格外")</f>
        <v>5626.7</v>
      </c>
      <c r="H3" s="28">
        <f t="shared" ref="H3:H9" si="0">D3*G3</f>
        <v>7033.375</v>
      </c>
      <c r="I3" s="23" t="s">
        <v>145</v>
      </c>
    </row>
    <row r="4" spans="1:9" ht="18" customHeight="1">
      <c r="A4" s="23" t="s">
        <v>230</v>
      </c>
      <c r="B4" s="34" t="s">
        <v>186</v>
      </c>
      <c r="C4" s="24" t="s">
        <v>9</v>
      </c>
      <c r="D4" s="26">
        <v>1.0349999999999999</v>
      </c>
      <c r="E4" s="23">
        <v>50</v>
      </c>
      <c r="F4" s="23">
        <f>SUMIFS(テーブル1[在庫(本)],テーブル1[品名],"SPACECOOL膜材料",テーブル1[色],"ホワイトマット",テーブル1[長さ(m)],"50")</f>
        <v>4</v>
      </c>
      <c r="G4" s="23">
        <f>SUMIFS(テーブル1[長さ合計(m)],テーブル1[品名],A4,テーブル1[色],C4)</f>
        <v>217.2</v>
      </c>
      <c r="H4" s="23">
        <f t="shared" si="0"/>
        <v>224.80199999999996</v>
      </c>
      <c r="I4" s="23" t="s">
        <v>435</v>
      </c>
    </row>
    <row r="5" spans="1:9" ht="18" customHeight="1">
      <c r="A5" s="28" t="s">
        <v>230</v>
      </c>
      <c r="B5" s="35" t="s">
        <v>187</v>
      </c>
      <c r="C5" s="29" t="s">
        <v>13</v>
      </c>
      <c r="D5" s="31">
        <v>1.0329999999999999</v>
      </c>
      <c r="E5" s="28">
        <v>50</v>
      </c>
      <c r="F5" s="28">
        <f>SUMIFS(テーブル1[在庫(本)],テーブル1[品名],"SPACECOOL膜材料",テーブル1[色],"シルバーマット",テーブル1[長さ(m)],"50")</f>
        <v>2</v>
      </c>
      <c r="G5" s="28">
        <f>SUMIFS(テーブル1[長さ合計(m)],テーブル1[品名],A5,テーブル1[色],C5)</f>
        <v>167.5</v>
      </c>
      <c r="H5" s="28">
        <f t="shared" si="0"/>
        <v>173.02749999999997</v>
      </c>
      <c r="I5" s="23" t="s">
        <v>435</v>
      </c>
    </row>
    <row r="6" spans="1:9" ht="18" customHeight="1">
      <c r="A6" s="23" t="s">
        <v>231</v>
      </c>
      <c r="B6" s="34" t="s">
        <v>188</v>
      </c>
      <c r="C6" s="24" t="s">
        <v>9</v>
      </c>
      <c r="D6" s="26">
        <v>1.0429999999999999</v>
      </c>
      <c r="E6" s="23">
        <v>50</v>
      </c>
      <c r="F6" s="23">
        <f>SUMIFS(テーブル1[在庫(本)],テーブル1[品名],"SPACECOOL膜材料(防炎)",テーブル1[色],"ホワイトマット",テーブル1[長さ(m)],"50")</f>
        <v>5</v>
      </c>
      <c r="G6" s="23">
        <f>SUMIFS(テーブル1[長さ合計(m)],テーブル1[品名],A6,テーブル1[色],C6)</f>
        <v>442.4</v>
      </c>
      <c r="H6" s="23">
        <f t="shared" si="0"/>
        <v>461.42319999999995</v>
      </c>
      <c r="I6" s="23" t="s">
        <v>437</v>
      </c>
    </row>
    <row r="7" spans="1:9" ht="18" customHeight="1">
      <c r="A7" s="28" t="s">
        <v>231</v>
      </c>
      <c r="B7" s="35" t="s">
        <v>189</v>
      </c>
      <c r="C7" s="29" t="s">
        <v>13</v>
      </c>
      <c r="D7" s="31">
        <v>1.0429999999999999</v>
      </c>
      <c r="E7" s="28">
        <v>50</v>
      </c>
      <c r="F7" s="28">
        <f>SUMIFS(テーブル1[在庫(本)],テーブル1[品名],"SPACECOOL膜材料(防炎)",テーブル1[色],"シルバーマット",テーブル1[長さ(m)],"50")</f>
        <v>1</v>
      </c>
      <c r="G7" s="28">
        <f>SUMIFS(テーブル1[長さ合計(m)],テーブル1[品名],A7,テーブル1[色],C7)</f>
        <v>147</v>
      </c>
      <c r="H7" s="28">
        <f t="shared" si="0"/>
        <v>153.321</v>
      </c>
      <c r="I7" s="23" t="s">
        <v>437</v>
      </c>
    </row>
    <row r="8" spans="1:9" ht="18" customHeight="1">
      <c r="A8" s="23" t="s">
        <v>147</v>
      </c>
      <c r="B8" s="34" t="s">
        <v>190</v>
      </c>
      <c r="C8" s="24" t="s">
        <v>9</v>
      </c>
      <c r="D8" s="26">
        <v>1.042</v>
      </c>
      <c r="E8" s="23">
        <v>50</v>
      </c>
      <c r="F8" s="23">
        <f>SUMIFS(テーブル1[在庫(本)],テーブル1[品名],"SPACECOOL不燃膜材料",テーブル1[色],"ホワイトマット",テーブル1[長さ(m)],"50")</f>
        <v>8</v>
      </c>
      <c r="G8" s="23">
        <f>SUMIFS(テーブル1[長さ合計(m)],テーブル1[品名],A8,テーブル1[色],C8)</f>
        <v>404.7</v>
      </c>
      <c r="H8" s="23">
        <f t="shared" si="0"/>
        <v>421.69740000000002</v>
      </c>
      <c r="I8" s="23" t="s">
        <v>438</v>
      </c>
    </row>
    <row r="9" spans="1:9" ht="18" customHeight="1">
      <c r="A9" s="28" t="s">
        <v>147</v>
      </c>
      <c r="B9" s="35" t="s">
        <v>191</v>
      </c>
      <c r="C9" s="29" t="s">
        <v>13</v>
      </c>
      <c r="D9" s="31">
        <v>1.042</v>
      </c>
      <c r="E9" s="28">
        <v>50</v>
      </c>
      <c r="F9" s="28">
        <f>SUMIFS(テーブル1[在庫(本)],テーブル1[品名],"SPACECOOL不燃膜材料",テーブル1[色],"シルバーマット",テーブル1[長さ(m)],"50")</f>
        <v>0</v>
      </c>
      <c r="G9" s="28">
        <f>SUMIFS(テーブル1[長さ合計(m)],テーブル1[品名],A9,テーブル1[色],C9)</f>
        <v>364.09999999999997</v>
      </c>
      <c r="H9" s="28">
        <f t="shared" si="0"/>
        <v>379.3922</v>
      </c>
      <c r="I9" s="23" t="s">
        <v>438</v>
      </c>
    </row>
    <row r="10" spans="1:9" ht="18" customHeight="1">
      <c r="A10" s="104" t="s">
        <v>512</v>
      </c>
      <c r="B10" s="105" t="s">
        <v>830</v>
      </c>
      <c r="C10" s="106" t="s">
        <v>35</v>
      </c>
      <c r="D10" s="107">
        <v>1.2</v>
      </c>
      <c r="E10" s="104">
        <v>50</v>
      </c>
      <c r="F10" s="104">
        <f>SUMIFS(テーブル1[在庫(本)],テーブル1[品名],"SPACECOOL防炎ターポリン",テーブル1[色],"ホワイトマット",テーブル1[長さ(m)],"50")</f>
        <v>5</v>
      </c>
      <c r="G10" s="104">
        <f>SUMIFS(テーブル1[長さ合計(m)],テーブル1[品名],A10,テーブル1[色],C10)</f>
        <v>260.10000000000002</v>
      </c>
      <c r="H10" s="104">
        <f>D10*G10</f>
        <v>312.12</v>
      </c>
      <c r="I10" s="127"/>
    </row>
    <row r="11" spans="1:9" ht="18" customHeight="1">
      <c r="A11" s="43" t="s">
        <v>682</v>
      </c>
      <c r="B11" s="105" t="s">
        <v>280</v>
      </c>
      <c r="C11" s="106" t="s">
        <v>35</v>
      </c>
      <c r="D11" s="107">
        <v>1.02</v>
      </c>
      <c r="E11" s="104">
        <v>10</v>
      </c>
      <c r="F11" s="104">
        <f>SUMIFS(テーブル1[在庫(本)],テーブル1[品名],"SPACECOOLマグネットシート",テーブル1[色],"ホワイトマット",テーブル1[長さ(m)],"10")</f>
        <v>37</v>
      </c>
      <c r="G11" s="104">
        <f>SUMIFS(テーブル1[長さ合計(m)],テーブル1[品名],A11,テーブル1[色],C11)</f>
        <v>379.40000000000003</v>
      </c>
      <c r="H11" s="104">
        <f>D11*G11</f>
        <v>386.98800000000006</v>
      </c>
      <c r="I11" s="23"/>
    </row>
    <row r="12" spans="1:9" ht="18" customHeight="1"/>
    <row r="13" spans="1:9" ht="18" customHeight="1" thickBot="1"/>
    <row r="14" spans="1:9" ht="18" customHeight="1" thickBot="1">
      <c r="G14" s="33" t="s">
        <v>165</v>
      </c>
      <c r="H14" s="32">
        <v>45210</v>
      </c>
    </row>
    <row r="15" spans="1:9" ht="18" customHeight="1"/>
    <row r="16" spans="1:9"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sheetData>
  <phoneticPr fontId="3"/>
  <pageMargins left="0.7" right="0.7" top="0.75" bottom="0.75" header="0" footer="0"/>
  <pageSetup paperSize="9" scale="73"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1213C-0CD3-4C28-8C10-12A4C5B88182}">
  <sheetPr codeName="Sheet3">
    <pageSetUpPr fitToPage="1"/>
  </sheetPr>
  <dimension ref="A1:Q444"/>
  <sheetViews>
    <sheetView zoomScale="98" zoomScaleNormal="98" workbookViewId="0">
      <pane xSplit="6" ySplit="1" topLeftCell="G2" activePane="bottomRight" state="frozen"/>
      <selection pane="topRight" activeCell="G1" sqref="G1"/>
      <selection pane="bottomLeft" activeCell="A2" sqref="A2"/>
      <selection pane="bottomRight" activeCell="F445" sqref="F445"/>
    </sheetView>
  </sheetViews>
  <sheetFormatPr defaultRowHeight="16.5"/>
  <cols>
    <col min="1" max="1" width="26" style="42" bestFit="1" customWidth="1"/>
    <col min="2" max="2" width="20.4140625" style="42" customWidth="1"/>
    <col min="3" max="3" width="47.58203125" style="42" customWidth="1"/>
    <col min="4" max="4" width="9.25" style="42" customWidth="1"/>
    <col min="5" max="7" width="13.25" style="42" customWidth="1"/>
    <col min="8" max="8" width="11.4140625" style="42" customWidth="1"/>
    <col min="9" max="9" width="10" style="85" customWidth="1"/>
    <col min="10" max="10" width="11.08203125" style="42" customWidth="1"/>
    <col min="11" max="11" width="14.33203125" style="42" customWidth="1"/>
    <col min="12" max="13" width="12.1640625" style="42" customWidth="1"/>
    <col min="14" max="14" width="26" style="42" customWidth="1"/>
    <col min="15" max="15" width="19.33203125" style="42" customWidth="1"/>
    <col min="16" max="16" width="39.08203125" style="42" customWidth="1"/>
    <col min="17" max="17" width="14.1640625" style="86" bestFit="1" customWidth="1"/>
    <col min="18" max="16384" width="8.6640625" style="42"/>
  </cols>
  <sheetData>
    <row r="1" spans="1:17">
      <c r="A1" s="39" t="s">
        <v>0</v>
      </c>
      <c r="B1" s="40" t="s">
        <v>155</v>
      </c>
      <c r="C1" s="40" t="s">
        <v>1</v>
      </c>
      <c r="D1" s="40" t="s">
        <v>2</v>
      </c>
      <c r="E1" s="40" t="s">
        <v>222</v>
      </c>
      <c r="F1" s="40" t="s">
        <v>150</v>
      </c>
      <c r="G1" s="40" t="s">
        <v>153</v>
      </c>
      <c r="H1" s="40" t="s">
        <v>3</v>
      </c>
      <c r="I1" s="40" t="s">
        <v>4</v>
      </c>
      <c r="J1" s="40" t="s">
        <v>5</v>
      </c>
      <c r="K1" s="40" t="s">
        <v>6</v>
      </c>
      <c r="L1" s="40" t="s">
        <v>7</v>
      </c>
      <c r="M1" s="40" t="s">
        <v>156</v>
      </c>
      <c r="N1" s="97" t="s">
        <v>609</v>
      </c>
      <c r="O1" s="40" t="s">
        <v>610</v>
      </c>
      <c r="P1" s="40" t="s">
        <v>611</v>
      </c>
      <c r="Q1" s="41" t="s">
        <v>161</v>
      </c>
    </row>
    <row r="2" spans="1:17">
      <c r="A2" s="43" t="s">
        <v>8</v>
      </c>
      <c r="B2" s="44" t="s">
        <v>9</v>
      </c>
      <c r="C2" s="44" t="s">
        <v>219</v>
      </c>
      <c r="D2" s="43">
        <v>1.25</v>
      </c>
      <c r="E2" s="45">
        <f>53.8-6-17.2-15.1-8.1-0.2</f>
        <v>7.1999999999999984</v>
      </c>
      <c r="F2" s="46" t="s">
        <v>11</v>
      </c>
      <c r="G2" s="43">
        <f>テーブル1[[#This Row],[長さ(m)]]</f>
        <v>7.1999999999999984</v>
      </c>
      <c r="H2" s="43">
        <f t="shared" ref="H2:H62" si="0">D2*G2</f>
        <v>8.9999999999999982</v>
      </c>
      <c r="I2" s="47">
        <v>986.79157138412597</v>
      </c>
      <c r="J2" s="47">
        <f t="shared" ref="J2:J22" si="1">H2*I2</f>
        <v>8881.1241424571326</v>
      </c>
      <c r="K2" s="43" t="s">
        <v>10</v>
      </c>
      <c r="L2" s="48">
        <v>44440</v>
      </c>
      <c r="M2" s="48"/>
      <c r="N2" s="43" t="s">
        <v>157</v>
      </c>
      <c r="O2" s="46"/>
      <c r="P2" s="43"/>
      <c r="Q2" s="43"/>
    </row>
    <row r="3" spans="1:17">
      <c r="A3" s="49" t="s">
        <v>8</v>
      </c>
      <c r="B3" s="50" t="s">
        <v>13</v>
      </c>
      <c r="C3" s="50" t="s">
        <v>14</v>
      </c>
      <c r="D3" s="49">
        <v>1.2</v>
      </c>
      <c r="E3" s="51">
        <v>17.3</v>
      </c>
      <c r="F3" s="52" t="s">
        <v>11</v>
      </c>
      <c r="G3" s="49">
        <f>テーブル1[[#This Row],[長さ(m)]]</f>
        <v>17.3</v>
      </c>
      <c r="H3" s="49">
        <f t="shared" si="0"/>
        <v>20.76</v>
      </c>
      <c r="I3" s="53">
        <v>500</v>
      </c>
      <c r="J3" s="53">
        <f t="shared" si="1"/>
        <v>10380</v>
      </c>
      <c r="K3" s="49" t="s">
        <v>528</v>
      </c>
      <c r="L3" s="52" t="s">
        <v>11</v>
      </c>
      <c r="M3" s="52"/>
      <c r="N3" s="43" t="s">
        <v>157</v>
      </c>
      <c r="O3" s="46" t="s">
        <v>529</v>
      </c>
      <c r="P3" s="46" t="s">
        <v>12</v>
      </c>
      <c r="Q3" s="43"/>
    </row>
    <row r="4" spans="1:17">
      <c r="A4" s="49" t="s">
        <v>8</v>
      </c>
      <c r="B4" s="50" t="s">
        <v>13</v>
      </c>
      <c r="C4" s="50" t="s">
        <v>15</v>
      </c>
      <c r="D4" s="49">
        <v>1.25</v>
      </c>
      <c r="E4" s="54">
        <v>25</v>
      </c>
      <c r="F4" s="52" t="s">
        <v>11</v>
      </c>
      <c r="G4" s="49">
        <f>テーブル1[[#This Row],[長さ(m)]]</f>
        <v>25</v>
      </c>
      <c r="H4" s="49">
        <f t="shared" si="0"/>
        <v>31.25</v>
      </c>
      <c r="I4" s="53">
        <v>868.0267479595384</v>
      </c>
      <c r="J4" s="53">
        <f t="shared" si="1"/>
        <v>27125.835873735574</v>
      </c>
      <c r="K4" s="49" t="s">
        <v>10</v>
      </c>
      <c r="L4" s="55">
        <v>44805</v>
      </c>
      <c r="M4" s="55"/>
      <c r="N4" s="43" t="s">
        <v>157</v>
      </c>
      <c r="O4" s="46"/>
      <c r="P4" s="43"/>
      <c r="Q4" s="43"/>
    </row>
    <row r="5" spans="1:17">
      <c r="A5" s="49" t="s">
        <v>232</v>
      </c>
      <c r="B5" s="50" t="s">
        <v>13</v>
      </c>
      <c r="C5" s="49" t="s">
        <v>213</v>
      </c>
      <c r="D5" s="49">
        <v>1.202</v>
      </c>
      <c r="E5" s="49">
        <v>46</v>
      </c>
      <c r="F5" s="49">
        <v>1</v>
      </c>
      <c r="G5" s="49">
        <f>テーブル1[[#This Row],[長さ(m)]]*テーブル1[[#This Row],[在庫(本)]]</f>
        <v>46</v>
      </c>
      <c r="H5" s="49">
        <f t="shared" si="0"/>
        <v>55.292000000000002</v>
      </c>
      <c r="I5" s="53">
        <v>1844.5235479571647</v>
      </c>
      <c r="J5" s="53">
        <f t="shared" si="1"/>
        <v>101987.39601364755</v>
      </c>
      <c r="K5" s="49" t="s">
        <v>18</v>
      </c>
      <c r="L5" s="55">
        <v>44593</v>
      </c>
      <c r="M5" s="55"/>
      <c r="N5" s="43" t="s">
        <v>216</v>
      </c>
      <c r="O5" s="46" t="s">
        <v>431</v>
      </c>
      <c r="P5" s="43"/>
      <c r="Q5" s="43"/>
    </row>
    <row r="6" spans="1:17">
      <c r="A6" s="49" t="s">
        <v>232</v>
      </c>
      <c r="B6" s="50" t="s">
        <v>13</v>
      </c>
      <c r="C6" s="49" t="s">
        <v>496</v>
      </c>
      <c r="D6" s="49">
        <v>1.202</v>
      </c>
      <c r="E6" s="49">
        <v>18</v>
      </c>
      <c r="F6" s="49">
        <v>1</v>
      </c>
      <c r="G6" s="49">
        <f>テーブル1[[#This Row],[長さ(m)]]*テーブル1[[#This Row],[在庫(本)]]</f>
        <v>18</v>
      </c>
      <c r="H6" s="49">
        <f t="shared" si="0"/>
        <v>21.635999999999999</v>
      </c>
      <c r="I6" s="53">
        <v>1845.52354795716</v>
      </c>
      <c r="J6" s="53">
        <f t="shared" ref="J6" si="2">H6*I6</f>
        <v>39929.74748360111</v>
      </c>
      <c r="K6" s="49" t="s">
        <v>18</v>
      </c>
      <c r="L6" s="55">
        <v>44621</v>
      </c>
      <c r="M6" s="55"/>
      <c r="N6" s="43" t="s">
        <v>495</v>
      </c>
      <c r="O6" s="46" t="s">
        <v>431</v>
      </c>
      <c r="P6" s="43"/>
      <c r="Q6" s="43"/>
    </row>
    <row r="7" spans="1:17">
      <c r="A7" s="49" t="s">
        <v>232</v>
      </c>
      <c r="B7" s="50" t="s">
        <v>13</v>
      </c>
      <c r="C7" s="49" t="s">
        <v>177</v>
      </c>
      <c r="D7" s="49">
        <v>1.202</v>
      </c>
      <c r="E7" s="49">
        <f>5-0.3-0.3</f>
        <v>4.4000000000000004</v>
      </c>
      <c r="F7" s="49">
        <v>1</v>
      </c>
      <c r="G7" s="49">
        <f>テーブル1[[#This Row],[長さ(m)]]*テーブル1[[#This Row],[在庫(本)]]</f>
        <v>4.4000000000000004</v>
      </c>
      <c r="H7" s="49">
        <f t="shared" si="0"/>
        <v>5.2888000000000002</v>
      </c>
      <c r="I7" s="53">
        <v>1844.5235479571647</v>
      </c>
      <c r="J7" s="53">
        <f t="shared" si="1"/>
        <v>9755.3161404358525</v>
      </c>
      <c r="K7" s="49" t="s">
        <v>42</v>
      </c>
      <c r="L7" s="55">
        <v>44593</v>
      </c>
      <c r="M7" s="55"/>
      <c r="N7" s="43" t="s">
        <v>158</v>
      </c>
      <c r="O7" s="46" t="s">
        <v>431</v>
      </c>
      <c r="P7" s="43" t="s">
        <v>157</v>
      </c>
      <c r="Q7" s="43"/>
    </row>
    <row r="8" spans="1:17">
      <c r="A8" s="43" t="s">
        <v>232</v>
      </c>
      <c r="B8" s="44" t="s">
        <v>9</v>
      </c>
      <c r="C8" s="43" t="s">
        <v>220</v>
      </c>
      <c r="D8" s="43">
        <v>1.202</v>
      </c>
      <c r="E8" s="43">
        <v>3</v>
      </c>
      <c r="F8" s="43">
        <v>1</v>
      </c>
      <c r="G8" s="43">
        <f>テーブル1[[#This Row],[長さ(m)]]*テーブル1[[#This Row],[在庫(本)]]</f>
        <v>3</v>
      </c>
      <c r="H8" s="43">
        <f t="shared" si="0"/>
        <v>3.6059999999999999</v>
      </c>
      <c r="I8" s="47">
        <v>1844.5235479571647</v>
      </c>
      <c r="J8" s="47">
        <f t="shared" ref="J8" si="3">H8*I8</f>
        <v>6651.3519139335358</v>
      </c>
      <c r="K8" s="43" t="s">
        <v>18</v>
      </c>
      <c r="L8" s="48">
        <v>44593</v>
      </c>
      <c r="M8" s="48"/>
      <c r="N8" s="43" t="s">
        <v>217</v>
      </c>
      <c r="O8" s="46" t="s">
        <v>431</v>
      </c>
      <c r="P8" s="43"/>
      <c r="Q8" s="43"/>
    </row>
    <row r="9" spans="1:17">
      <c r="A9" s="43" t="s">
        <v>232</v>
      </c>
      <c r="B9" s="44" t="s">
        <v>9</v>
      </c>
      <c r="C9" s="43" t="s">
        <v>214</v>
      </c>
      <c r="D9" s="43">
        <v>1.202</v>
      </c>
      <c r="E9" s="43">
        <f>49-10</f>
        <v>39</v>
      </c>
      <c r="F9" s="43">
        <v>1</v>
      </c>
      <c r="G9" s="43">
        <f>テーブル1[[#This Row],[長さ(m)]]*テーブル1[[#This Row],[在庫(本)]]</f>
        <v>39</v>
      </c>
      <c r="H9" s="43">
        <f t="shared" si="0"/>
        <v>46.878</v>
      </c>
      <c r="I9" s="47">
        <v>1844.5235479571647</v>
      </c>
      <c r="J9" s="47">
        <f t="shared" si="1"/>
        <v>86467.574881135966</v>
      </c>
      <c r="K9" s="43" t="s">
        <v>18</v>
      </c>
      <c r="L9" s="48">
        <v>44593</v>
      </c>
      <c r="M9" s="48"/>
      <c r="N9" s="43" t="s">
        <v>217</v>
      </c>
      <c r="O9" s="46" t="s">
        <v>431</v>
      </c>
      <c r="P9" s="43"/>
      <c r="Q9" s="43"/>
    </row>
    <row r="10" spans="1:17">
      <c r="A10" s="43" t="s">
        <v>232</v>
      </c>
      <c r="B10" s="44" t="s">
        <v>9</v>
      </c>
      <c r="C10" s="43" t="s">
        <v>215</v>
      </c>
      <c r="D10" s="43">
        <v>1.202</v>
      </c>
      <c r="E10" s="43">
        <v>49</v>
      </c>
      <c r="F10" s="43">
        <v>1</v>
      </c>
      <c r="G10" s="43">
        <f>テーブル1[[#This Row],[長さ(m)]]*テーブル1[[#This Row],[在庫(本)]]</f>
        <v>49</v>
      </c>
      <c r="H10" s="43">
        <f t="shared" si="0"/>
        <v>58.897999999999996</v>
      </c>
      <c r="I10" s="47">
        <v>1844.5235479571647</v>
      </c>
      <c r="J10" s="47">
        <f t="shared" si="1"/>
        <v>108638.74792758108</v>
      </c>
      <c r="K10" s="43" t="s">
        <v>240</v>
      </c>
      <c r="L10" s="48">
        <v>44593</v>
      </c>
      <c r="M10" s="48"/>
      <c r="N10" s="43" t="s">
        <v>216</v>
      </c>
      <c r="O10" s="46" t="s">
        <v>431</v>
      </c>
      <c r="P10" s="43"/>
      <c r="Q10" s="43"/>
    </row>
    <row r="11" spans="1:17">
      <c r="A11" s="43" t="s">
        <v>232</v>
      </c>
      <c r="B11" s="44" t="s">
        <v>9</v>
      </c>
      <c r="C11" s="43" t="s">
        <v>178</v>
      </c>
      <c r="D11" s="43">
        <v>1.202</v>
      </c>
      <c r="E11" s="43">
        <v>5</v>
      </c>
      <c r="F11" s="43">
        <v>1</v>
      </c>
      <c r="G11" s="56">
        <f>テーブル1[[#This Row],[長さ(m)]]*テーブル1[[#This Row],[在庫(本)]]</f>
        <v>5</v>
      </c>
      <c r="H11" s="43">
        <f t="shared" si="0"/>
        <v>6.01</v>
      </c>
      <c r="I11" s="47">
        <v>1829.0304691118606</v>
      </c>
      <c r="J11" s="47">
        <f t="shared" si="1"/>
        <v>10992.473119362281</v>
      </c>
      <c r="K11" s="43" t="s">
        <v>42</v>
      </c>
      <c r="L11" s="48">
        <v>44593</v>
      </c>
      <c r="M11" s="48"/>
      <c r="N11" s="43" t="s">
        <v>158</v>
      </c>
      <c r="O11" s="46" t="s">
        <v>431</v>
      </c>
      <c r="P11" s="43" t="s">
        <v>157</v>
      </c>
      <c r="Q11" s="43"/>
    </row>
    <row r="12" spans="1:17">
      <c r="A12" s="49" t="s">
        <v>230</v>
      </c>
      <c r="B12" s="50" t="s">
        <v>13</v>
      </c>
      <c r="C12" s="50" t="s">
        <v>198</v>
      </c>
      <c r="D12" s="54">
        <v>1.0329999999999999</v>
      </c>
      <c r="E12" s="54">
        <f>10-1-1-1</f>
        <v>7</v>
      </c>
      <c r="F12" s="54">
        <v>1</v>
      </c>
      <c r="G12" s="49">
        <f>テーブル1[[#This Row],[長さ(m)]]*テーブル1[[#This Row],[在庫(本)]]</f>
        <v>7</v>
      </c>
      <c r="H12" s="49">
        <f t="shared" si="0"/>
        <v>7.2309999999999999</v>
      </c>
      <c r="I12" s="53">
        <v>1955.4267856800591</v>
      </c>
      <c r="J12" s="53">
        <f t="shared" si="1"/>
        <v>14139.691087252508</v>
      </c>
      <c r="K12" s="49" t="s">
        <v>18</v>
      </c>
      <c r="L12" s="55">
        <v>44440</v>
      </c>
      <c r="M12" s="55"/>
      <c r="N12" s="43" t="s">
        <v>174</v>
      </c>
      <c r="O12" s="57" t="s">
        <v>429</v>
      </c>
      <c r="P12" s="43"/>
      <c r="Q12" s="43"/>
    </row>
    <row r="13" spans="1:17">
      <c r="A13" s="49" t="s">
        <v>230</v>
      </c>
      <c r="B13" s="50" t="s">
        <v>13</v>
      </c>
      <c r="C13" s="50" t="s">
        <v>201</v>
      </c>
      <c r="D13" s="54">
        <v>1.0329999999999999</v>
      </c>
      <c r="E13" s="54">
        <f>50-50</f>
        <v>0</v>
      </c>
      <c r="F13" s="54">
        <f>1-1</f>
        <v>0</v>
      </c>
      <c r="G13" s="49">
        <f>テーブル1[[#This Row],[長さ(m)]]*テーブル1[[#This Row],[在庫(本)]]</f>
        <v>0</v>
      </c>
      <c r="H13" s="49">
        <f t="shared" si="0"/>
        <v>0</v>
      </c>
      <c r="I13" s="53">
        <v>1955.4267856800591</v>
      </c>
      <c r="J13" s="53">
        <f t="shared" si="1"/>
        <v>0</v>
      </c>
      <c r="K13" s="49" t="s">
        <v>18</v>
      </c>
      <c r="L13" s="55">
        <v>44440</v>
      </c>
      <c r="M13" s="55"/>
      <c r="N13" s="43" t="s">
        <v>174</v>
      </c>
      <c r="O13" s="57" t="s">
        <v>429</v>
      </c>
      <c r="P13" s="43"/>
      <c r="Q13" s="43"/>
    </row>
    <row r="14" spans="1:17">
      <c r="A14" s="49" t="s">
        <v>19</v>
      </c>
      <c r="B14" s="50" t="s">
        <v>13</v>
      </c>
      <c r="C14" s="50" t="s">
        <v>197</v>
      </c>
      <c r="D14" s="54">
        <v>1.2050000000000001</v>
      </c>
      <c r="E14" s="54">
        <v>50</v>
      </c>
      <c r="F14" s="54">
        <v>1</v>
      </c>
      <c r="G14" s="49">
        <f>テーブル1[[#This Row],[長さ(m)]]*テーブル1[[#This Row],[在庫(本)]]</f>
        <v>50</v>
      </c>
      <c r="H14" s="49">
        <f t="shared" si="0"/>
        <v>60.25</v>
      </c>
      <c r="I14" s="53">
        <v>1694.4471129068031</v>
      </c>
      <c r="J14" s="53">
        <f t="shared" si="1"/>
        <v>102090.43855263489</v>
      </c>
      <c r="K14" s="49" t="s">
        <v>18</v>
      </c>
      <c r="L14" s="55">
        <v>44501</v>
      </c>
      <c r="M14" s="55"/>
      <c r="N14" s="43" t="s">
        <v>195</v>
      </c>
      <c r="O14" s="46" t="s">
        <v>430</v>
      </c>
      <c r="P14" s="43"/>
      <c r="Q14" s="43"/>
    </row>
    <row r="15" spans="1:17">
      <c r="A15" s="49" t="s">
        <v>19</v>
      </c>
      <c r="B15" s="50" t="s">
        <v>13</v>
      </c>
      <c r="C15" s="50" t="s">
        <v>20</v>
      </c>
      <c r="D15" s="54">
        <v>1.2050000000000001</v>
      </c>
      <c r="E15" s="54">
        <v>50</v>
      </c>
      <c r="F15" s="54">
        <v>1</v>
      </c>
      <c r="G15" s="49">
        <f>テーブル1[[#This Row],[長さ(m)]]*テーブル1[[#This Row],[在庫(本)]]</f>
        <v>50</v>
      </c>
      <c r="H15" s="49">
        <f t="shared" si="0"/>
        <v>60.25</v>
      </c>
      <c r="I15" s="53">
        <v>1694.4471129068031</v>
      </c>
      <c r="J15" s="53">
        <f t="shared" si="1"/>
        <v>102090.43855263489</v>
      </c>
      <c r="K15" s="49" t="s">
        <v>18</v>
      </c>
      <c r="L15" s="55">
        <v>44501</v>
      </c>
      <c r="M15" s="55"/>
      <c r="N15" s="43" t="s">
        <v>195</v>
      </c>
      <c r="O15" s="46" t="s">
        <v>430</v>
      </c>
      <c r="P15" s="43"/>
      <c r="Q15" s="43"/>
    </row>
    <row r="16" spans="1:17">
      <c r="A16" s="43" t="s">
        <v>19</v>
      </c>
      <c r="B16" s="44" t="s">
        <v>9</v>
      </c>
      <c r="C16" s="44" t="s">
        <v>196</v>
      </c>
      <c r="D16" s="58">
        <v>1.2050000000000001</v>
      </c>
      <c r="E16" s="58">
        <v>9.5</v>
      </c>
      <c r="F16" s="58">
        <v>1</v>
      </c>
      <c r="G16" s="43">
        <f>テーブル1[[#This Row],[長さ(m)]]*テーブル1[[#This Row],[在庫(本)]]</f>
        <v>9.5</v>
      </c>
      <c r="H16" s="43">
        <f t="shared" si="0"/>
        <v>11.447500000000002</v>
      </c>
      <c r="I16" s="47">
        <v>1627.173279379994</v>
      </c>
      <c r="J16" s="47">
        <f t="shared" si="1"/>
        <v>18627.066115702484</v>
      </c>
      <c r="K16" s="43" t="s">
        <v>18</v>
      </c>
      <c r="L16" s="48">
        <v>44501</v>
      </c>
      <c r="M16" s="48"/>
      <c r="N16" s="43" t="s">
        <v>179</v>
      </c>
      <c r="O16" s="46" t="s">
        <v>430</v>
      </c>
      <c r="P16" s="43"/>
      <c r="Q16" s="43"/>
    </row>
    <row r="17" spans="1:17">
      <c r="A17" s="49" t="s">
        <v>21</v>
      </c>
      <c r="B17" s="50" t="s">
        <v>13</v>
      </c>
      <c r="C17" s="50" t="s">
        <v>22</v>
      </c>
      <c r="D17" s="54">
        <v>1.042</v>
      </c>
      <c r="E17" s="54">
        <f>42.7-2-10-1-5</f>
        <v>24.700000000000003</v>
      </c>
      <c r="F17" s="54">
        <v>1</v>
      </c>
      <c r="G17" s="49">
        <f>テーブル1[[#This Row],[長さ(m)]]*テーブル1[[#This Row],[在庫(本)]]</f>
        <v>24.700000000000003</v>
      </c>
      <c r="H17" s="49">
        <f t="shared" si="0"/>
        <v>25.737400000000004</v>
      </c>
      <c r="I17" s="53">
        <v>3845.033368655626</v>
      </c>
      <c r="J17" s="53">
        <f t="shared" si="1"/>
        <v>98961.161822437323</v>
      </c>
      <c r="K17" s="49" t="s">
        <v>18</v>
      </c>
      <c r="L17" s="55">
        <v>44562</v>
      </c>
      <c r="M17" s="55"/>
      <c r="N17" s="43" t="s">
        <v>180</v>
      </c>
      <c r="O17" s="46" t="s">
        <v>431</v>
      </c>
      <c r="P17" s="43"/>
      <c r="Q17" s="43"/>
    </row>
    <row r="18" spans="1:17">
      <c r="A18" s="43" t="s">
        <v>21</v>
      </c>
      <c r="B18" s="44" t="s">
        <v>9</v>
      </c>
      <c r="C18" s="44" t="s">
        <v>23</v>
      </c>
      <c r="D18" s="58">
        <v>1.042</v>
      </c>
      <c r="E18" s="58">
        <f>6.7-2</f>
        <v>4.7</v>
      </c>
      <c r="F18" s="58">
        <v>1</v>
      </c>
      <c r="G18" s="43">
        <f>テーブル1[[#This Row],[長さ(m)]]*テーブル1[[#This Row],[在庫(本)]]</f>
        <v>4.7</v>
      </c>
      <c r="H18" s="43">
        <f t="shared" si="0"/>
        <v>4.8974000000000002</v>
      </c>
      <c r="I18" s="47">
        <v>3595.9646338139178</v>
      </c>
      <c r="J18" s="47">
        <f t="shared" si="1"/>
        <v>17610.877197640282</v>
      </c>
      <c r="K18" s="43" t="s">
        <v>18</v>
      </c>
      <c r="L18" s="48">
        <v>44562</v>
      </c>
      <c r="M18" s="48"/>
      <c r="N18" s="43" t="s">
        <v>180</v>
      </c>
      <c r="O18" s="46" t="s">
        <v>431</v>
      </c>
      <c r="P18" s="43"/>
      <c r="Q18" s="43"/>
    </row>
    <row r="19" spans="1:17">
      <c r="A19" s="43" t="s">
        <v>21</v>
      </c>
      <c r="B19" s="44" t="s">
        <v>9</v>
      </c>
      <c r="C19" s="44" t="s">
        <v>24</v>
      </c>
      <c r="D19" s="58">
        <v>1.042</v>
      </c>
      <c r="E19" s="58">
        <f>50-50</f>
        <v>0</v>
      </c>
      <c r="F19" s="58">
        <f>1-1</f>
        <v>0</v>
      </c>
      <c r="G19" s="43">
        <v>0</v>
      </c>
      <c r="H19" s="43">
        <f t="shared" si="0"/>
        <v>0</v>
      </c>
      <c r="I19" s="47">
        <v>3595.9646338139178</v>
      </c>
      <c r="J19" s="47">
        <f t="shared" si="1"/>
        <v>0</v>
      </c>
      <c r="K19" s="43" t="s">
        <v>18</v>
      </c>
      <c r="L19" s="48">
        <v>44562</v>
      </c>
      <c r="M19" s="48"/>
      <c r="N19" s="43" t="s">
        <v>180</v>
      </c>
      <c r="O19" s="46" t="s">
        <v>431</v>
      </c>
      <c r="P19" s="43"/>
      <c r="Q19" s="43"/>
    </row>
    <row r="20" spans="1:17">
      <c r="A20" s="43" t="s">
        <v>233</v>
      </c>
      <c r="B20" s="44" t="s">
        <v>9</v>
      </c>
      <c r="C20" s="44" t="s">
        <v>176</v>
      </c>
      <c r="D20" s="58">
        <v>1.0429999999999999</v>
      </c>
      <c r="E20" s="58">
        <f>38-14.5-1-5-2-2-5-3-1-3</f>
        <v>1.5</v>
      </c>
      <c r="F20" s="58">
        <v>1</v>
      </c>
      <c r="G20" s="43">
        <f>テーブル1[[#This Row],[長さ(m)]]*テーブル1[[#This Row],[在庫(本)]]</f>
        <v>1.5</v>
      </c>
      <c r="H20" s="43">
        <f t="shared" si="0"/>
        <v>1.5644999999999998</v>
      </c>
      <c r="I20" s="47">
        <v>500</v>
      </c>
      <c r="J20" s="47">
        <f t="shared" si="1"/>
        <v>782.24999999999989</v>
      </c>
      <c r="K20" s="43" t="s">
        <v>18</v>
      </c>
      <c r="L20" s="48">
        <v>44348</v>
      </c>
      <c r="M20" s="48"/>
      <c r="N20" s="43" t="s">
        <v>181</v>
      </c>
      <c r="O20" s="46" t="s">
        <v>431</v>
      </c>
      <c r="P20" s="46"/>
      <c r="Q20" s="43"/>
    </row>
    <row r="21" spans="1:17">
      <c r="A21" s="49" t="s">
        <v>233</v>
      </c>
      <c r="B21" s="50" t="s">
        <v>13</v>
      </c>
      <c r="C21" s="50" t="s">
        <v>200</v>
      </c>
      <c r="D21" s="54">
        <v>1.0329999999999999</v>
      </c>
      <c r="E21" s="54">
        <f>45-2-1-1</f>
        <v>41</v>
      </c>
      <c r="F21" s="54">
        <v>1</v>
      </c>
      <c r="G21" s="49">
        <f>テーブル1[[#This Row],[長さ(m)]]*テーブル1[[#This Row],[在庫(本)]]</f>
        <v>41</v>
      </c>
      <c r="H21" s="49">
        <f t="shared" si="0"/>
        <v>42.352999999999994</v>
      </c>
      <c r="I21" s="53">
        <v>500</v>
      </c>
      <c r="J21" s="53">
        <f t="shared" si="1"/>
        <v>21176.499999999996</v>
      </c>
      <c r="K21" s="49" t="s">
        <v>18</v>
      </c>
      <c r="L21" s="55">
        <v>44348</v>
      </c>
      <c r="M21" s="55"/>
      <c r="N21" s="43" t="s">
        <v>181</v>
      </c>
      <c r="O21" s="46" t="s">
        <v>431</v>
      </c>
      <c r="P21" s="46"/>
      <c r="Q21" s="43"/>
    </row>
    <row r="22" spans="1:17">
      <c r="A22" s="59" t="s">
        <v>8</v>
      </c>
      <c r="B22" s="60" t="s">
        <v>26</v>
      </c>
      <c r="C22" s="61" t="s">
        <v>27</v>
      </c>
      <c r="D22" s="59">
        <v>1.25</v>
      </c>
      <c r="E22" s="62">
        <v>25</v>
      </c>
      <c r="F22" s="62">
        <v>5</v>
      </c>
      <c r="G22" s="59">
        <f>テーブル1[[#This Row],[長さ(m)]]*テーブル1[[#This Row],[在庫(本)]]</f>
        <v>125</v>
      </c>
      <c r="H22" s="59">
        <f t="shared" si="0"/>
        <v>156.25</v>
      </c>
      <c r="I22" s="63">
        <v>1349.3787234042554</v>
      </c>
      <c r="J22" s="63">
        <f t="shared" si="1"/>
        <v>210840.42553191492</v>
      </c>
      <c r="K22" s="59" t="s">
        <v>25</v>
      </c>
      <c r="L22" s="64">
        <v>44440</v>
      </c>
      <c r="M22" s="64"/>
      <c r="N22" s="43"/>
      <c r="O22" s="46"/>
      <c r="P22" s="43"/>
      <c r="Q22" s="43"/>
    </row>
    <row r="23" spans="1:17">
      <c r="A23" s="65" t="s">
        <v>8</v>
      </c>
      <c r="B23" s="66" t="s">
        <v>28</v>
      </c>
      <c r="C23" s="67" t="s">
        <v>29</v>
      </c>
      <c r="D23" s="65">
        <v>1.25</v>
      </c>
      <c r="E23" s="68">
        <v>25</v>
      </c>
      <c r="F23" s="68">
        <v>7</v>
      </c>
      <c r="G23" s="65">
        <f>テーブル1[[#This Row],[長さ(m)]]*テーブル1[[#This Row],[在庫(本)]]</f>
        <v>175</v>
      </c>
      <c r="H23" s="65">
        <f t="shared" si="0"/>
        <v>218.75</v>
      </c>
      <c r="I23" s="69">
        <v>1903.3305760488972</v>
      </c>
      <c r="J23" s="69">
        <f t="shared" ref="J23:J35" si="4">H23*I23</f>
        <v>416353.56351069629</v>
      </c>
      <c r="K23" s="65" t="s">
        <v>25</v>
      </c>
      <c r="L23" s="70">
        <v>44440</v>
      </c>
      <c r="M23" s="70"/>
      <c r="N23" s="43"/>
      <c r="O23" s="46"/>
      <c r="P23" s="43"/>
      <c r="Q23" s="43"/>
    </row>
    <row r="24" spans="1:17">
      <c r="A24" s="65" t="s">
        <v>8</v>
      </c>
      <c r="B24" s="66" t="s">
        <v>28</v>
      </c>
      <c r="C24" s="67" t="s">
        <v>30</v>
      </c>
      <c r="D24" s="65">
        <v>1.25</v>
      </c>
      <c r="E24" s="68">
        <v>18</v>
      </c>
      <c r="F24" s="67">
        <v>1</v>
      </c>
      <c r="G24" s="65">
        <f>テーブル1[[#This Row],[長さ(m)]]*テーブル1[[#This Row],[在庫(本)]]</f>
        <v>18</v>
      </c>
      <c r="H24" s="65">
        <f t="shared" si="0"/>
        <v>22.5</v>
      </c>
      <c r="I24" s="69">
        <v>1903.3305760488972</v>
      </c>
      <c r="J24" s="69">
        <f t="shared" si="4"/>
        <v>42824.937961100186</v>
      </c>
      <c r="K24" s="65" t="s">
        <v>25</v>
      </c>
      <c r="L24" s="70">
        <v>44440</v>
      </c>
      <c r="M24" s="70"/>
      <c r="N24" s="43"/>
      <c r="O24" s="46"/>
      <c r="P24" s="43"/>
      <c r="Q24" s="43"/>
    </row>
    <row r="25" spans="1:17">
      <c r="A25" s="43" t="s">
        <v>8</v>
      </c>
      <c r="B25" s="44" t="s">
        <v>9</v>
      </c>
      <c r="C25" s="44" t="s">
        <v>224</v>
      </c>
      <c r="D25" s="43">
        <v>1.25</v>
      </c>
      <c r="E25" s="58">
        <f>125-85.3</f>
        <v>39.700000000000003</v>
      </c>
      <c r="F25" s="58">
        <v>2</v>
      </c>
      <c r="G25" s="58">
        <f>125-85.3</f>
        <v>39.700000000000003</v>
      </c>
      <c r="H25" s="43">
        <f t="shared" si="0"/>
        <v>49.625</v>
      </c>
      <c r="I25" s="47">
        <v>991.44394343082831</v>
      </c>
      <c r="J25" s="47">
        <f t="shared" ref="J25" si="5">H25*I25</f>
        <v>49200.405692754852</v>
      </c>
      <c r="K25" s="43" t="s">
        <v>225</v>
      </c>
      <c r="L25" s="48">
        <v>44593</v>
      </c>
      <c r="M25" s="48"/>
      <c r="N25" s="43"/>
      <c r="O25" s="46"/>
      <c r="P25" s="43"/>
      <c r="Q25" s="43"/>
    </row>
    <row r="26" spans="1:17">
      <c r="A26" s="43" t="s">
        <v>8</v>
      </c>
      <c r="B26" s="44" t="s">
        <v>9</v>
      </c>
      <c r="C26" s="44" t="s">
        <v>392</v>
      </c>
      <c r="D26" s="43">
        <v>1.25</v>
      </c>
      <c r="E26" s="58">
        <v>25</v>
      </c>
      <c r="F26" s="58">
        <f>26-1-1-5-1-1-8-6-1-1-1</f>
        <v>0</v>
      </c>
      <c r="G26" s="58">
        <f>テーブル1[[#This Row],[長さ(m)]]*テーブル1[[#This Row],[在庫(本)]]</f>
        <v>0</v>
      </c>
      <c r="H26" s="43">
        <f t="shared" si="0"/>
        <v>0</v>
      </c>
      <c r="I26" s="47">
        <v>991.44394343082831</v>
      </c>
      <c r="J26" s="47">
        <f t="shared" si="4"/>
        <v>0</v>
      </c>
      <c r="K26" s="43" t="s">
        <v>25</v>
      </c>
      <c r="L26" s="48">
        <v>44593</v>
      </c>
      <c r="M26" s="48"/>
      <c r="N26" s="43"/>
      <c r="O26" s="46"/>
      <c r="P26" s="43"/>
      <c r="Q26" s="43"/>
    </row>
    <row r="27" spans="1:17">
      <c r="A27" s="43" t="s">
        <v>8</v>
      </c>
      <c r="B27" s="44" t="s">
        <v>9</v>
      </c>
      <c r="C27" s="44" t="s">
        <v>393</v>
      </c>
      <c r="D27" s="43">
        <v>1.25</v>
      </c>
      <c r="E27" s="58">
        <f>25-25</f>
        <v>0</v>
      </c>
      <c r="F27" s="58">
        <f>18-1-1-1-1-1-1-3-1-1-2-3-2</f>
        <v>0</v>
      </c>
      <c r="G27" s="58">
        <f>テーブル1[[#This Row],[長さ(m)]]*テーブル1[[#This Row],[在庫(本)]]</f>
        <v>0</v>
      </c>
      <c r="H27" s="43">
        <f t="shared" si="0"/>
        <v>0</v>
      </c>
      <c r="I27" s="47">
        <v>991.44394343082831</v>
      </c>
      <c r="J27" s="47">
        <f t="shared" si="4"/>
        <v>0</v>
      </c>
      <c r="K27" s="43" t="s">
        <v>25</v>
      </c>
      <c r="L27" s="48">
        <v>44593</v>
      </c>
      <c r="M27" s="48"/>
      <c r="N27" s="43"/>
      <c r="O27" s="46"/>
      <c r="P27" s="43"/>
      <c r="Q27" s="43"/>
    </row>
    <row r="28" spans="1:17">
      <c r="A28" s="49" t="s">
        <v>160</v>
      </c>
      <c r="B28" s="50" t="s">
        <v>13</v>
      </c>
      <c r="C28" s="50" t="s">
        <v>31</v>
      </c>
      <c r="D28" s="49">
        <v>1.25</v>
      </c>
      <c r="E28" s="54">
        <v>25</v>
      </c>
      <c r="F28" s="54">
        <v>4</v>
      </c>
      <c r="G28" s="54">
        <f>テーブル1[[#This Row],[長さ(m)]]*テーブル1[[#This Row],[在庫(本)]]</f>
        <v>100</v>
      </c>
      <c r="H28" s="49">
        <f t="shared" si="0"/>
        <v>125</v>
      </c>
      <c r="I28" s="53">
        <v>2761.6622125146446</v>
      </c>
      <c r="J28" s="53">
        <f t="shared" si="4"/>
        <v>345207.77656433056</v>
      </c>
      <c r="K28" s="49" t="s">
        <v>25</v>
      </c>
      <c r="L28" s="55">
        <v>44621</v>
      </c>
      <c r="M28" s="55"/>
      <c r="N28" s="43"/>
      <c r="O28" s="46"/>
      <c r="P28" s="43"/>
      <c r="Q28" s="43"/>
    </row>
    <row r="29" spans="1:17">
      <c r="A29" s="43" t="s">
        <v>160</v>
      </c>
      <c r="B29" s="44" t="s">
        <v>9</v>
      </c>
      <c r="C29" s="44" t="s">
        <v>32</v>
      </c>
      <c r="D29" s="43">
        <v>1.25</v>
      </c>
      <c r="E29" s="58">
        <v>25</v>
      </c>
      <c r="F29" s="58">
        <v>7</v>
      </c>
      <c r="G29" s="58">
        <f>テーブル1[[#This Row],[長さ(m)]]*テーブル1[[#This Row],[在庫(本)]]</f>
        <v>175</v>
      </c>
      <c r="H29" s="43">
        <f t="shared" si="0"/>
        <v>218.75</v>
      </c>
      <c r="I29" s="47">
        <v>2117.4934851041867</v>
      </c>
      <c r="J29" s="47">
        <f t="shared" si="4"/>
        <v>463201.69986654085</v>
      </c>
      <c r="K29" s="43" t="s">
        <v>25</v>
      </c>
      <c r="L29" s="48">
        <v>44621</v>
      </c>
      <c r="M29" s="48"/>
      <c r="N29" s="43"/>
      <c r="O29" s="46"/>
      <c r="P29" s="43"/>
      <c r="Q29" s="43"/>
    </row>
    <row r="30" spans="1:17">
      <c r="A30" s="43" t="s">
        <v>160</v>
      </c>
      <c r="B30" s="44" t="s">
        <v>9</v>
      </c>
      <c r="C30" s="44" t="s">
        <v>33</v>
      </c>
      <c r="D30" s="43">
        <v>1.25</v>
      </c>
      <c r="E30" s="44">
        <f>20-10-0.3-1</f>
        <v>8.6999999999999993</v>
      </c>
      <c r="F30" s="44">
        <v>1</v>
      </c>
      <c r="G30" s="56">
        <f>テーブル1[[#This Row],[長さ(m)]]*テーブル1[[#This Row],[在庫(本)]]</f>
        <v>8.6999999999999993</v>
      </c>
      <c r="H30" s="43">
        <f t="shared" si="0"/>
        <v>10.875</v>
      </c>
      <c r="I30" s="47">
        <v>2117.4934851041867</v>
      </c>
      <c r="J30" s="47">
        <f t="shared" si="4"/>
        <v>23027.741650508029</v>
      </c>
      <c r="K30" s="43" t="s">
        <v>42</v>
      </c>
      <c r="L30" s="48">
        <v>44621</v>
      </c>
      <c r="M30" s="48"/>
      <c r="N30" s="43"/>
      <c r="O30" s="46"/>
      <c r="P30" s="43"/>
      <c r="Q30" s="43"/>
    </row>
    <row r="31" spans="1:17">
      <c r="A31" s="43" t="s">
        <v>34</v>
      </c>
      <c r="B31" s="43" t="s">
        <v>35</v>
      </c>
      <c r="C31" s="43" t="s">
        <v>36</v>
      </c>
      <c r="D31" s="43">
        <v>1.29</v>
      </c>
      <c r="E31" s="43">
        <f>476-50-300-5</f>
        <v>121</v>
      </c>
      <c r="F31" s="43">
        <v>1</v>
      </c>
      <c r="G31" s="58">
        <f>テーブル1[[#This Row],[長さ(m)]]*テーブル1[[#This Row],[在庫(本)]]</f>
        <v>121</v>
      </c>
      <c r="H31" s="43">
        <f t="shared" si="0"/>
        <v>156.09</v>
      </c>
      <c r="I31" s="47">
        <v>598.71687278667991</v>
      </c>
      <c r="J31" s="47">
        <f t="shared" si="4"/>
        <v>93453.716673272866</v>
      </c>
      <c r="K31" s="43" t="s">
        <v>39</v>
      </c>
      <c r="L31" s="46" t="s">
        <v>11</v>
      </c>
      <c r="M31" s="46"/>
      <c r="N31" s="43"/>
      <c r="O31" s="46"/>
      <c r="P31" s="43"/>
      <c r="Q31" s="43"/>
    </row>
    <row r="32" spans="1:17">
      <c r="A32" s="49" t="s">
        <v>37</v>
      </c>
      <c r="B32" s="49" t="s">
        <v>38</v>
      </c>
      <c r="C32" s="49" t="s">
        <v>372</v>
      </c>
      <c r="D32" s="49">
        <v>1.29</v>
      </c>
      <c r="E32" s="49">
        <f>539-100-200-239</f>
        <v>0</v>
      </c>
      <c r="F32" s="49">
        <f>1-1</f>
        <v>0</v>
      </c>
      <c r="G32" s="54">
        <f>テーブル1[[#This Row],[長さ(m)]]*テーブル1[[#This Row],[在庫(本)]]</f>
        <v>0</v>
      </c>
      <c r="H32" s="49">
        <f t="shared" si="0"/>
        <v>0</v>
      </c>
      <c r="I32" s="53">
        <v>590.78755204513288</v>
      </c>
      <c r="J32" s="53">
        <f t="shared" si="4"/>
        <v>0</v>
      </c>
      <c r="K32" s="49" t="s">
        <v>39</v>
      </c>
      <c r="L32" s="52" t="s">
        <v>11</v>
      </c>
      <c r="M32" s="52"/>
      <c r="N32" s="43"/>
      <c r="O32" s="46"/>
      <c r="P32" s="43"/>
      <c r="Q32" s="43"/>
    </row>
    <row r="33" spans="1:17">
      <c r="A33" s="49" t="s">
        <v>37</v>
      </c>
      <c r="B33" s="49" t="s">
        <v>38</v>
      </c>
      <c r="C33" s="50" t="s">
        <v>238</v>
      </c>
      <c r="D33" s="50">
        <v>1.29</v>
      </c>
      <c r="E33" s="50">
        <f>100-1-1.1</f>
        <v>97.9</v>
      </c>
      <c r="F33" s="50">
        <v>1</v>
      </c>
      <c r="G33" s="54">
        <f>テーブル1[[#This Row],[長さ(m)]]*テーブル1[[#This Row],[在庫(本)]]</f>
        <v>97.9</v>
      </c>
      <c r="H33" s="49">
        <f t="shared" si="0"/>
        <v>126.29100000000001</v>
      </c>
      <c r="I33" s="53">
        <v>590.78755204513288</v>
      </c>
      <c r="J33" s="53">
        <f t="shared" si="4"/>
        <v>74611.150735331888</v>
      </c>
      <c r="K33" s="49" t="s">
        <v>18</v>
      </c>
      <c r="L33" s="52" t="s">
        <v>11</v>
      </c>
      <c r="M33" s="52"/>
      <c r="N33" s="43"/>
      <c r="O33" s="46"/>
      <c r="P33" s="43"/>
      <c r="Q33" s="43"/>
    </row>
    <row r="34" spans="1:17">
      <c r="A34" s="49" t="s">
        <v>37</v>
      </c>
      <c r="B34" s="49" t="s">
        <v>38</v>
      </c>
      <c r="C34" s="49" t="s">
        <v>288</v>
      </c>
      <c r="D34" s="50">
        <v>1.29</v>
      </c>
      <c r="E34" s="49">
        <f>480-280-200</f>
        <v>0</v>
      </c>
      <c r="F34" s="49">
        <f>1-1</f>
        <v>0</v>
      </c>
      <c r="G34" s="54">
        <f>テーブル1[[#This Row],[長さ(m)]]*テーブル1[[#This Row],[在庫(本)]]</f>
        <v>0</v>
      </c>
      <c r="H34" s="49">
        <f t="shared" si="0"/>
        <v>0</v>
      </c>
      <c r="I34" s="53">
        <v>598.58593247214253</v>
      </c>
      <c r="J34" s="53">
        <f t="shared" si="4"/>
        <v>0</v>
      </c>
      <c r="K34" s="49" t="s">
        <v>39</v>
      </c>
      <c r="L34" s="52" t="s">
        <v>11</v>
      </c>
      <c r="M34" s="52"/>
      <c r="N34" s="43" t="s">
        <v>228</v>
      </c>
      <c r="O34" s="46"/>
      <c r="P34" s="43"/>
      <c r="Q34" s="71" t="s">
        <v>287</v>
      </c>
    </row>
    <row r="35" spans="1:17">
      <c r="A35" s="49" t="s">
        <v>8</v>
      </c>
      <c r="B35" s="50" t="s">
        <v>13</v>
      </c>
      <c r="C35" s="49" t="s">
        <v>41</v>
      </c>
      <c r="D35" s="49">
        <v>0.6</v>
      </c>
      <c r="E35" s="49">
        <v>10</v>
      </c>
      <c r="F35" s="49">
        <v>1</v>
      </c>
      <c r="G35" s="49">
        <f>テーブル1[[#This Row],[長さ(m)]]*テーブル1[[#This Row],[在庫(本)]]</f>
        <v>10</v>
      </c>
      <c r="H35" s="49">
        <f t="shared" ref="H35" si="6">D35*G35</f>
        <v>6</v>
      </c>
      <c r="I35" s="53">
        <v>500</v>
      </c>
      <c r="J35" s="53">
        <f t="shared" si="4"/>
        <v>3000</v>
      </c>
      <c r="K35" s="49" t="s">
        <v>39</v>
      </c>
      <c r="L35" s="52" t="s">
        <v>11</v>
      </c>
      <c r="M35" s="52"/>
      <c r="N35" s="43" t="s">
        <v>158</v>
      </c>
      <c r="O35" s="46"/>
      <c r="P35" s="46" t="s">
        <v>12</v>
      </c>
      <c r="Q35" s="43" t="s">
        <v>807</v>
      </c>
    </row>
    <row r="36" spans="1:17">
      <c r="A36" s="49" t="s">
        <v>8</v>
      </c>
      <c r="B36" s="50" t="s">
        <v>13</v>
      </c>
      <c r="C36" s="49" t="s">
        <v>41</v>
      </c>
      <c r="D36" s="49">
        <v>0.6</v>
      </c>
      <c r="E36" s="49">
        <v>10</v>
      </c>
      <c r="F36" s="49">
        <f>7-1</f>
        <v>6</v>
      </c>
      <c r="G36" s="49">
        <f>テーブル1[[#This Row],[長さ(m)]]*テーブル1[[#This Row],[在庫(本)]]</f>
        <v>60</v>
      </c>
      <c r="H36" s="49">
        <f t="shared" si="0"/>
        <v>36</v>
      </c>
      <c r="I36" s="53">
        <v>500</v>
      </c>
      <c r="J36" s="53">
        <f t="shared" ref="J36:J71" si="7">H36*I36</f>
        <v>18000</v>
      </c>
      <c r="K36" s="49" t="s">
        <v>528</v>
      </c>
      <c r="L36" s="52" t="s">
        <v>11</v>
      </c>
      <c r="M36" s="52"/>
      <c r="N36" s="43" t="s">
        <v>158</v>
      </c>
      <c r="O36" s="46"/>
      <c r="P36" s="46" t="s">
        <v>12</v>
      </c>
      <c r="Q36" s="43"/>
    </row>
    <row r="37" spans="1:17">
      <c r="A37" s="59" t="s">
        <v>8</v>
      </c>
      <c r="B37" s="61" t="s">
        <v>26</v>
      </c>
      <c r="C37" s="59" t="s">
        <v>43</v>
      </c>
      <c r="D37" s="59">
        <v>0.6</v>
      </c>
      <c r="E37" s="59">
        <v>10</v>
      </c>
      <c r="F37" s="59">
        <v>1</v>
      </c>
      <c r="G37" s="73">
        <f>テーブル1[[#This Row],[長さ(m)]]*テーブル1[[#This Row],[在庫(本)]]</f>
        <v>10</v>
      </c>
      <c r="H37" s="59">
        <f t="shared" ref="H37" si="8">D37*G37</f>
        <v>6</v>
      </c>
      <c r="I37" s="63">
        <v>500</v>
      </c>
      <c r="J37" s="63">
        <f t="shared" ref="J37" si="9">H37*I37</f>
        <v>3000</v>
      </c>
      <c r="K37" s="59" t="s">
        <v>39</v>
      </c>
      <c r="L37" s="72" t="s">
        <v>11</v>
      </c>
      <c r="M37" s="72"/>
      <c r="N37" s="43"/>
      <c r="O37" s="46" t="s">
        <v>159</v>
      </c>
      <c r="P37" s="46" t="s">
        <v>44</v>
      </c>
      <c r="Q37" s="43" t="s">
        <v>807</v>
      </c>
    </row>
    <row r="38" spans="1:17">
      <c r="A38" s="59" t="s">
        <v>8</v>
      </c>
      <c r="B38" s="61" t="s">
        <v>26</v>
      </c>
      <c r="C38" s="59" t="s">
        <v>43</v>
      </c>
      <c r="D38" s="59">
        <v>0.6</v>
      </c>
      <c r="E38" s="59">
        <v>10</v>
      </c>
      <c r="F38" s="59">
        <f>12-1</f>
        <v>11</v>
      </c>
      <c r="G38" s="73">
        <f>テーブル1[[#This Row],[長さ(m)]]*テーブル1[[#This Row],[在庫(本)]]</f>
        <v>110</v>
      </c>
      <c r="H38" s="59">
        <f t="shared" si="0"/>
        <v>66</v>
      </c>
      <c r="I38" s="63">
        <v>500</v>
      </c>
      <c r="J38" s="63">
        <f t="shared" si="7"/>
        <v>33000</v>
      </c>
      <c r="K38" s="59" t="s">
        <v>528</v>
      </c>
      <c r="L38" s="72" t="s">
        <v>11</v>
      </c>
      <c r="M38" s="72"/>
      <c r="N38" s="43"/>
      <c r="O38" s="46" t="s">
        <v>159</v>
      </c>
      <c r="P38" s="46" t="s">
        <v>44</v>
      </c>
      <c r="Q38" s="43"/>
    </row>
    <row r="39" spans="1:17">
      <c r="A39" s="59" t="s">
        <v>8</v>
      </c>
      <c r="B39" s="61" t="s">
        <v>26</v>
      </c>
      <c r="C39" s="59" t="s">
        <v>45</v>
      </c>
      <c r="D39" s="59">
        <v>0.6</v>
      </c>
      <c r="E39" s="59">
        <v>2</v>
      </c>
      <c r="F39" s="59">
        <v>1</v>
      </c>
      <c r="G39" s="73">
        <f>テーブル1[[#This Row],[長さ(m)]]*テーブル1[[#This Row],[在庫(本)]]</f>
        <v>2</v>
      </c>
      <c r="H39" s="59">
        <f t="shared" si="0"/>
        <v>1.2</v>
      </c>
      <c r="I39" s="63">
        <v>500</v>
      </c>
      <c r="J39" s="63">
        <f t="shared" si="7"/>
        <v>600</v>
      </c>
      <c r="K39" s="59" t="s">
        <v>42</v>
      </c>
      <c r="L39" s="72" t="s">
        <v>11</v>
      </c>
      <c r="M39" s="72"/>
      <c r="N39" s="43"/>
      <c r="O39" s="46" t="s">
        <v>159</v>
      </c>
      <c r="P39" s="46" t="s">
        <v>46</v>
      </c>
      <c r="Q39" s="43"/>
    </row>
    <row r="40" spans="1:17">
      <c r="A40" s="49" t="s">
        <v>230</v>
      </c>
      <c r="B40" s="50" t="s">
        <v>13</v>
      </c>
      <c r="C40" s="49" t="s">
        <v>465</v>
      </c>
      <c r="D40" s="49">
        <v>1.0329999999999999</v>
      </c>
      <c r="E40" s="49">
        <f>27-2.1-3-2.1-0.2-0.6-0.9-1-1.3-0.3</f>
        <v>15.499999999999996</v>
      </c>
      <c r="F40" s="49">
        <v>1</v>
      </c>
      <c r="G40" s="49">
        <f>テーブル1[[#This Row],[長さ(m)]]*テーブル1[[#This Row],[在庫(本)]]</f>
        <v>15.499999999999996</v>
      </c>
      <c r="H40" s="49">
        <f t="shared" si="0"/>
        <v>16.011499999999995</v>
      </c>
      <c r="I40" s="53">
        <v>1955.4267856800591</v>
      </c>
      <c r="J40" s="53">
        <f t="shared" si="7"/>
        <v>31309.315978916256</v>
      </c>
      <c r="K40" s="49" t="s">
        <v>42</v>
      </c>
      <c r="L40" s="55">
        <v>44440</v>
      </c>
      <c r="M40" s="55"/>
      <c r="N40" s="43" t="s">
        <v>174</v>
      </c>
      <c r="O40" s="57" t="s">
        <v>429</v>
      </c>
      <c r="P40" s="43"/>
      <c r="Q40" s="43"/>
    </row>
    <row r="41" spans="1:17">
      <c r="A41" s="43" t="s">
        <v>230</v>
      </c>
      <c r="B41" s="44" t="s">
        <v>9</v>
      </c>
      <c r="C41" s="43" t="s">
        <v>464</v>
      </c>
      <c r="D41" s="43">
        <v>1.0349999999999999</v>
      </c>
      <c r="E41" s="119">
        <f>11.5-2.1-3-2.1-1-0.3-0.9-0.9-0.9-0.3</f>
        <v>1.0547118733938987E-15</v>
      </c>
      <c r="F41" s="43">
        <f>1-1</f>
        <v>0</v>
      </c>
      <c r="G41" s="56">
        <f>テーブル1[[#This Row],[長さ(m)]]*テーブル1[[#This Row],[在庫(本)]]</f>
        <v>0</v>
      </c>
      <c r="H41" s="43">
        <f t="shared" si="0"/>
        <v>0</v>
      </c>
      <c r="I41" s="47">
        <v>1385.9317065151874</v>
      </c>
      <c r="J41" s="47">
        <f t="shared" si="7"/>
        <v>0</v>
      </c>
      <c r="K41" s="43" t="s">
        <v>42</v>
      </c>
      <c r="L41" s="48">
        <v>44409</v>
      </c>
      <c r="M41" s="48"/>
      <c r="N41" s="43" t="s">
        <v>221</v>
      </c>
      <c r="O41" s="57" t="s">
        <v>429</v>
      </c>
      <c r="P41" s="43"/>
      <c r="Q41" s="43"/>
    </row>
    <row r="42" spans="1:17" s="120" customFormat="1" ht="18">
      <c r="A42" s="49" t="s">
        <v>8</v>
      </c>
      <c r="B42" s="50" t="s">
        <v>13</v>
      </c>
      <c r="C42" s="49" t="s">
        <v>387</v>
      </c>
      <c r="D42" s="49">
        <v>1.2</v>
      </c>
      <c r="E42" s="49">
        <v>25</v>
      </c>
      <c r="F42" s="49">
        <v>3</v>
      </c>
      <c r="G42" s="49">
        <f>テーブル1[[#This Row],[長さ(m)]]*テーブル1[[#This Row],[在庫(本)]]</f>
        <v>75</v>
      </c>
      <c r="H42" s="49">
        <f t="shared" si="0"/>
        <v>90</v>
      </c>
      <c r="I42" s="53">
        <v>500</v>
      </c>
      <c r="J42" s="53">
        <f t="shared" si="7"/>
        <v>45000</v>
      </c>
      <c r="K42" s="49" t="s">
        <v>42</v>
      </c>
      <c r="L42" s="52" t="s">
        <v>11</v>
      </c>
      <c r="M42" s="52"/>
      <c r="N42" s="43"/>
      <c r="O42" s="46" t="s">
        <v>159</v>
      </c>
      <c r="P42" s="46" t="s">
        <v>12</v>
      </c>
      <c r="Q42" s="43"/>
    </row>
    <row r="43" spans="1:17" s="120" customFormat="1" ht="18">
      <c r="A43" s="49" t="s">
        <v>8</v>
      </c>
      <c r="B43" s="50" t="s">
        <v>13</v>
      </c>
      <c r="C43" s="49" t="s">
        <v>387</v>
      </c>
      <c r="D43" s="49">
        <v>1.2</v>
      </c>
      <c r="E43" s="49">
        <v>25</v>
      </c>
      <c r="F43" s="49">
        <v>1</v>
      </c>
      <c r="G43" s="49">
        <f>テーブル1[[#This Row],[長さ(m)]]*テーブル1[[#This Row],[在庫(本)]]</f>
        <v>25</v>
      </c>
      <c r="H43" s="49">
        <f t="shared" ref="H43" si="10">D43*G43</f>
        <v>30</v>
      </c>
      <c r="I43" s="53">
        <v>500</v>
      </c>
      <c r="J43" s="53">
        <f t="shared" ref="J43" si="11">H43*I43</f>
        <v>15000</v>
      </c>
      <c r="K43" s="49" t="s">
        <v>39</v>
      </c>
      <c r="L43" s="52" t="s">
        <v>11</v>
      </c>
      <c r="M43" s="52"/>
      <c r="N43" s="43"/>
      <c r="O43" s="46" t="s">
        <v>159</v>
      </c>
      <c r="P43" s="46" t="s">
        <v>12</v>
      </c>
      <c r="Q43" s="43" t="s">
        <v>807</v>
      </c>
    </row>
    <row r="44" spans="1:17">
      <c r="A44" s="49" t="s">
        <v>8</v>
      </c>
      <c r="B44" s="50" t="s">
        <v>13</v>
      </c>
      <c r="C44" s="49" t="s">
        <v>166</v>
      </c>
      <c r="D44" s="49">
        <v>1.2</v>
      </c>
      <c r="E44" s="49">
        <f>7.5-2-0.3</f>
        <v>5.2</v>
      </c>
      <c r="F44" s="49">
        <v>1</v>
      </c>
      <c r="G44" s="49">
        <f>テーブル1[[#This Row],[長さ(m)]]*テーブル1[[#This Row],[在庫(本)]]</f>
        <v>5.2</v>
      </c>
      <c r="H44" s="49">
        <f t="shared" si="0"/>
        <v>6.24</v>
      </c>
      <c r="I44" s="53">
        <v>500</v>
      </c>
      <c r="J44" s="53">
        <f t="shared" si="7"/>
        <v>3120</v>
      </c>
      <c r="K44" s="49" t="s">
        <v>42</v>
      </c>
      <c r="L44" s="52" t="s">
        <v>11</v>
      </c>
      <c r="M44" s="52"/>
      <c r="N44" s="43"/>
      <c r="O44" s="46" t="s">
        <v>159</v>
      </c>
      <c r="P44" s="46" t="s">
        <v>12</v>
      </c>
      <c r="Q44" s="43"/>
    </row>
    <row r="45" spans="1:17">
      <c r="A45" s="49" t="s">
        <v>8</v>
      </c>
      <c r="B45" s="50" t="s">
        <v>13</v>
      </c>
      <c r="C45" s="49" t="s">
        <v>388</v>
      </c>
      <c r="D45" s="49">
        <v>1.2</v>
      </c>
      <c r="E45" s="49">
        <v>25</v>
      </c>
      <c r="F45" s="49">
        <v>1</v>
      </c>
      <c r="G45" s="49">
        <f>テーブル1[[#This Row],[長さ(m)]]*テーブル1[[#This Row],[在庫(本)]]</f>
        <v>25</v>
      </c>
      <c r="H45" s="49">
        <f t="shared" si="0"/>
        <v>30</v>
      </c>
      <c r="I45" s="53">
        <v>500</v>
      </c>
      <c r="J45" s="53">
        <f t="shared" si="7"/>
        <v>15000</v>
      </c>
      <c r="K45" s="49" t="s">
        <v>39</v>
      </c>
      <c r="L45" s="52" t="s">
        <v>11</v>
      </c>
      <c r="M45" s="52"/>
      <c r="N45" s="43" t="s">
        <v>158</v>
      </c>
      <c r="O45" s="46"/>
      <c r="P45" s="46" t="s">
        <v>12</v>
      </c>
      <c r="Q45" s="43" t="s">
        <v>807</v>
      </c>
    </row>
    <row r="46" spans="1:17">
      <c r="A46" s="49" t="s">
        <v>8</v>
      </c>
      <c r="B46" s="50" t="s">
        <v>13</v>
      </c>
      <c r="C46" s="49" t="s">
        <v>389</v>
      </c>
      <c r="D46" s="49">
        <v>1.2</v>
      </c>
      <c r="E46" s="49">
        <v>25</v>
      </c>
      <c r="F46" s="49">
        <v>1</v>
      </c>
      <c r="G46" s="49">
        <f>テーブル1[[#This Row],[長さ(m)]]*テーブル1[[#This Row],[在庫(本)]]</f>
        <v>25</v>
      </c>
      <c r="H46" s="49">
        <f t="shared" si="0"/>
        <v>30</v>
      </c>
      <c r="I46" s="53">
        <v>500</v>
      </c>
      <c r="J46" s="53">
        <f t="shared" si="7"/>
        <v>15000</v>
      </c>
      <c r="K46" s="49" t="s">
        <v>39</v>
      </c>
      <c r="L46" s="52" t="s">
        <v>11</v>
      </c>
      <c r="M46" s="52"/>
      <c r="N46" s="43" t="s">
        <v>158</v>
      </c>
      <c r="O46" s="46"/>
      <c r="P46" s="46" t="s">
        <v>12</v>
      </c>
      <c r="Q46" s="43" t="s">
        <v>807</v>
      </c>
    </row>
    <row r="47" spans="1:17">
      <c r="A47" s="49" t="s">
        <v>8</v>
      </c>
      <c r="B47" s="50" t="s">
        <v>13</v>
      </c>
      <c r="C47" s="49" t="s">
        <v>47</v>
      </c>
      <c r="D47" s="49">
        <v>1.2</v>
      </c>
      <c r="E47" s="49">
        <f>2.4-0.3-2.1</f>
        <v>0</v>
      </c>
      <c r="F47" s="49">
        <v>0</v>
      </c>
      <c r="G47" s="49">
        <f>テーブル1[[#This Row],[長さ(m)]]*テーブル1[[#This Row],[在庫(本)]]</f>
        <v>0</v>
      </c>
      <c r="H47" s="49">
        <f t="shared" si="0"/>
        <v>0</v>
      </c>
      <c r="I47" s="53">
        <v>500</v>
      </c>
      <c r="J47" s="53">
        <f t="shared" si="7"/>
        <v>0</v>
      </c>
      <c r="K47" s="49" t="s">
        <v>42</v>
      </c>
      <c r="L47" s="52" t="s">
        <v>11</v>
      </c>
      <c r="M47" s="52"/>
      <c r="N47" s="43"/>
      <c r="O47" s="46" t="s">
        <v>159</v>
      </c>
      <c r="P47" s="46" t="s">
        <v>12</v>
      </c>
      <c r="Q47" s="43"/>
    </row>
    <row r="48" spans="1:17">
      <c r="A48" s="49" t="s">
        <v>8</v>
      </c>
      <c r="B48" s="50" t="s">
        <v>13</v>
      </c>
      <c r="C48" s="49" t="s">
        <v>390</v>
      </c>
      <c r="D48" s="49">
        <v>1.2</v>
      </c>
      <c r="E48" s="49">
        <v>25</v>
      </c>
      <c r="F48" s="49">
        <v>1</v>
      </c>
      <c r="G48" s="49">
        <f>テーブル1[[#This Row],[長さ(m)]]*テーブル1[[#This Row],[在庫(本)]]</f>
        <v>25</v>
      </c>
      <c r="H48" s="49">
        <f t="shared" si="0"/>
        <v>30</v>
      </c>
      <c r="I48" s="53">
        <v>500</v>
      </c>
      <c r="J48" s="53">
        <f t="shared" si="7"/>
        <v>15000</v>
      </c>
      <c r="K48" s="49" t="s">
        <v>39</v>
      </c>
      <c r="L48" s="52" t="s">
        <v>11</v>
      </c>
      <c r="M48" s="52"/>
      <c r="N48" s="43" t="s">
        <v>158</v>
      </c>
      <c r="O48" s="46"/>
      <c r="P48" s="46" t="s">
        <v>12</v>
      </c>
      <c r="Q48" s="43" t="s">
        <v>807</v>
      </c>
    </row>
    <row r="49" spans="1:17">
      <c r="A49" s="43" t="s">
        <v>8</v>
      </c>
      <c r="B49" s="44" t="s">
        <v>9</v>
      </c>
      <c r="C49" s="43" t="s">
        <v>48</v>
      </c>
      <c r="D49" s="43">
        <v>1.2</v>
      </c>
      <c r="E49" s="43">
        <v>25</v>
      </c>
      <c r="F49" s="43">
        <v>1</v>
      </c>
      <c r="G49" s="43">
        <f>テーブル1[[#This Row],[長さ(m)]]*テーブル1[[#This Row],[在庫(本)]]</f>
        <v>25</v>
      </c>
      <c r="H49" s="43">
        <f t="shared" si="0"/>
        <v>30</v>
      </c>
      <c r="I49" s="47">
        <v>500</v>
      </c>
      <c r="J49" s="47">
        <f t="shared" si="7"/>
        <v>15000</v>
      </c>
      <c r="K49" s="43" t="s">
        <v>39</v>
      </c>
      <c r="L49" s="46" t="s">
        <v>11</v>
      </c>
      <c r="M49" s="46"/>
      <c r="N49" s="43" t="s">
        <v>158</v>
      </c>
      <c r="O49" s="46"/>
      <c r="P49" s="46" t="s">
        <v>49</v>
      </c>
      <c r="Q49" s="43" t="s">
        <v>807</v>
      </c>
    </row>
    <row r="50" spans="1:17">
      <c r="A50" s="49" t="s">
        <v>8</v>
      </c>
      <c r="B50" s="50" t="s">
        <v>13</v>
      </c>
      <c r="C50" s="49" t="s">
        <v>391</v>
      </c>
      <c r="D50" s="49">
        <v>1.2</v>
      </c>
      <c r="E50" s="49">
        <v>25</v>
      </c>
      <c r="F50" s="49">
        <v>1</v>
      </c>
      <c r="G50" s="49">
        <f>テーブル1[[#This Row],[長さ(m)]]*テーブル1[[#This Row],[在庫(本)]]</f>
        <v>25</v>
      </c>
      <c r="H50" s="49">
        <f t="shared" si="0"/>
        <v>30</v>
      </c>
      <c r="I50" s="53">
        <v>645.27089783281701</v>
      </c>
      <c r="J50" s="53">
        <f t="shared" si="7"/>
        <v>19358.12693498451</v>
      </c>
      <c r="K50" s="49" t="s">
        <v>39</v>
      </c>
      <c r="L50" s="55">
        <v>44378</v>
      </c>
      <c r="M50" s="55"/>
      <c r="N50" s="43" t="s">
        <v>158</v>
      </c>
      <c r="O50" s="46"/>
      <c r="P50" s="46"/>
      <c r="Q50" s="43" t="s">
        <v>807</v>
      </c>
    </row>
    <row r="51" spans="1:17">
      <c r="A51" s="49" t="s">
        <v>8</v>
      </c>
      <c r="B51" s="50" t="s">
        <v>13</v>
      </c>
      <c r="C51" s="49" t="s">
        <v>50</v>
      </c>
      <c r="D51" s="49">
        <v>1.2</v>
      </c>
      <c r="E51" s="49">
        <v>19.399999999999999</v>
      </c>
      <c r="F51" s="49">
        <v>1</v>
      </c>
      <c r="G51" s="49">
        <f>テーブル1[[#This Row],[長さ(m)]]*テーブル1[[#This Row],[在庫(本)]]</f>
        <v>19.399999999999999</v>
      </c>
      <c r="H51" s="49">
        <f t="shared" si="0"/>
        <v>23.279999999999998</v>
      </c>
      <c r="I51" s="53">
        <v>500</v>
      </c>
      <c r="J51" s="53">
        <f t="shared" si="7"/>
        <v>11639.999999999998</v>
      </c>
      <c r="K51" s="49" t="s">
        <v>42</v>
      </c>
      <c r="L51" s="52" t="s">
        <v>11</v>
      </c>
      <c r="M51" s="52"/>
      <c r="N51" s="43"/>
      <c r="O51" s="46" t="s">
        <v>159</v>
      </c>
      <c r="P51" s="46" t="s">
        <v>12</v>
      </c>
      <c r="Q51" s="43"/>
    </row>
    <row r="52" spans="1:17">
      <c r="A52" s="49" t="s">
        <v>19</v>
      </c>
      <c r="B52" s="50" t="s">
        <v>13</v>
      </c>
      <c r="C52" s="49" t="s">
        <v>51</v>
      </c>
      <c r="D52" s="49">
        <v>1.2050000000000001</v>
      </c>
      <c r="E52" s="49">
        <v>32.5</v>
      </c>
      <c r="F52" s="49">
        <v>1</v>
      </c>
      <c r="G52" s="49">
        <f>テーブル1[[#This Row],[長さ(m)]]*テーブル1[[#This Row],[在庫(本)]]</f>
        <v>32.5</v>
      </c>
      <c r="H52" s="49">
        <f t="shared" si="0"/>
        <v>39.162500000000001</v>
      </c>
      <c r="I52" s="53">
        <v>1694.4471129068031</v>
      </c>
      <c r="J52" s="53">
        <f t="shared" si="7"/>
        <v>66358.785059212678</v>
      </c>
      <c r="K52" s="49" t="s">
        <v>42</v>
      </c>
      <c r="L52" s="55">
        <v>44501</v>
      </c>
      <c r="M52" s="55"/>
      <c r="N52" s="43" t="s">
        <v>195</v>
      </c>
      <c r="O52" s="46" t="s">
        <v>430</v>
      </c>
      <c r="P52" s="43"/>
      <c r="Q52" s="43"/>
    </row>
    <row r="53" spans="1:17">
      <c r="A53" s="49" t="s">
        <v>19</v>
      </c>
      <c r="B53" s="50" t="s">
        <v>13</v>
      </c>
      <c r="C53" s="49" t="s">
        <v>52</v>
      </c>
      <c r="D53" s="49">
        <v>1.2050000000000001</v>
      </c>
      <c r="E53" s="49">
        <f>8-0.5</f>
        <v>7.5</v>
      </c>
      <c r="F53" s="49">
        <v>1</v>
      </c>
      <c r="G53" s="49">
        <f>テーブル1[[#This Row],[長さ(m)]]*テーブル1[[#This Row],[在庫(本)]]</f>
        <v>7.5</v>
      </c>
      <c r="H53" s="49">
        <f t="shared" si="0"/>
        <v>9.0375000000000014</v>
      </c>
      <c r="I53" s="53">
        <v>1694.4471129068031</v>
      </c>
      <c r="J53" s="53">
        <f t="shared" si="7"/>
        <v>15313.565782895235</v>
      </c>
      <c r="K53" s="49" t="s">
        <v>42</v>
      </c>
      <c r="L53" s="55">
        <v>44501</v>
      </c>
      <c r="M53" s="55"/>
      <c r="N53" s="43" t="s">
        <v>195</v>
      </c>
      <c r="O53" s="46" t="s">
        <v>430</v>
      </c>
      <c r="P53" s="43"/>
      <c r="Q53" s="43"/>
    </row>
    <row r="54" spans="1:17">
      <c r="A54" s="43" t="s">
        <v>8</v>
      </c>
      <c r="B54" s="44" t="s">
        <v>9</v>
      </c>
      <c r="C54" s="43" t="s">
        <v>53</v>
      </c>
      <c r="D54" s="43">
        <v>1.25</v>
      </c>
      <c r="E54" s="43">
        <v>2</v>
      </c>
      <c r="F54" s="43">
        <v>1</v>
      </c>
      <c r="G54" s="56">
        <f>テーブル1[[#This Row],[長さ(m)]]*テーブル1[[#This Row],[在庫(本)]]</f>
        <v>2</v>
      </c>
      <c r="H54" s="43">
        <f t="shared" si="0"/>
        <v>2.5</v>
      </c>
      <c r="I54" s="47">
        <v>500</v>
      </c>
      <c r="J54" s="47">
        <f t="shared" si="7"/>
        <v>1250</v>
      </c>
      <c r="K54" s="43" t="s">
        <v>42</v>
      </c>
      <c r="L54" s="46" t="s">
        <v>11</v>
      </c>
      <c r="M54" s="46"/>
      <c r="N54" s="43"/>
      <c r="O54" s="46" t="s">
        <v>159</v>
      </c>
      <c r="P54" s="46" t="s">
        <v>54</v>
      </c>
      <c r="Q54" s="43"/>
    </row>
    <row r="55" spans="1:17">
      <c r="A55" s="43" t="s">
        <v>8</v>
      </c>
      <c r="B55" s="44" t="s">
        <v>9</v>
      </c>
      <c r="C55" s="43" t="s">
        <v>55</v>
      </c>
      <c r="D55" s="43">
        <v>1.25</v>
      </c>
      <c r="E55" s="43">
        <v>25</v>
      </c>
      <c r="F55" s="43">
        <v>1</v>
      </c>
      <c r="G55" s="43">
        <f>テーブル1[[#This Row],[長さ(m)]]*テーブル1[[#This Row],[在庫(本)]]</f>
        <v>25</v>
      </c>
      <c r="H55" s="43">
        <f t="shared" si="0"/>
        <v>31.25</v>
      </c>
      <c r="I55" s="47">
        <v>500</v>
      </c>
      <c r="J55" s="47">
        <f t="shared" si="7"/>
        <v>15625</v>
      </c>
      <c r="K55" s="43" t="s">
        <v>39</v>
      </c>
      <c r="L55" s="46" t="s">
        <v>11</v>
      </c>
      <c r="M55" s="46"/>
      <c r="N55" s="43" t="s">
        <v>158</v>
      </c>
      <c r="O55" s="46"/>
      <c r="P55" s="46" t="s">
        <v>12</v>
      </c>
      <c r="Q55" s="43" t="s">
        <v>807</v>
      </c>
    </row>
    <row r="56" spans="1:17">
      <c r="A56" s="43" t="s">
        <v>8</v>
      </c>
      <c r="B56" s="44" t="s">
        <v>9</v>
      </c>
      <c r="C56" s="43" t="s">
        <v>56</v>
      </c>
      <c r="D56" s="43">
        <v>1.25</v>
      </c>
      <c r="E56" s="43">
        <v>25</v>
      </c>
      <c r="F56" s="43">
        <v>1</v>
      </c>
      <c r="G56" s="43">
        <f>テーブル1[[#This Row],[長さ(m)]]*テーブル1[[#This Row],[在庫(本)]]</f>
        <v>25</v>
      </c>
      <c r="H56" s="43">
        <f t="shared" si="0"/>
        <v>31.25</v>
      </c>
      <c r="I56" s="47">
        <v>500</v>
      </c>
      <c r="J56" s="47">
        <f t="shared" si="7"/>
        <v>15625</v>
      </c>
      <c r="K56" s="43" t="s">
        <v>39</v>
      </c>
      <c r="L56" s="46" t="s">
        <v>11</v>
      </c>
      <c r="M56" s="46"/>
      <c r="N56" s="43" t="s">
        <v>158</v>
      </c>
      <c r="O56" s="46"/>
      <c r="P56" s="46" t="s">
        <v>54</v>
      </c>
      <c r="Q56" s="43" t="s">
        <v>807</v>
      </c>
    </row>
    <row r="57" spans="1:17">
      <c r="A57" s="59" t="s">
        <v>8</v>
      </c>
      <c r="B57" s="61" t="s">
        <v>26</v>
      </c>
      <c r="C57" s="59" t="s">
        <v>57</v>
      </c>
      <c r="D57" s="59">
        <v>1.25</v>
      </c>
      <c r="E57" s="59">
        <f>9.1-0.6</f>
        <v>8.5</v>
      </c>
      <c r="F57" s="59">
        <v>1</v>
      </c>
      <c r="G57" s="73">
        <f>テーブル1[[#This Row],[長さ(m)]]*テーブル1[[#This Row],[在庫(本)]]</f>
        <v>8.5</v>
      </c>
      <c r="H57" s="59">
        <f t="shared" si="0"/>
        <v>10.625</v>
      </c>
      <c r="I57" s="63">
        <v>1349.3787234042554</v>
      </c>
      <c r="J57" s="63">
        <f t="shared" si="7"/>
        <v>14337.148936170213</v>
      </c>
      <c r="K57" s="59" t="s">
        <v>42</v>
      </c>
      <c r="L57" s="64">
        <v>44440</v>
      </c>
      <c r="M57" s="64"/>
      <c r="N57" s="43"/>
      <c r="O57" s="46"/>
      <c r="P57" s="43"/>
      <c r="Q57" s="43"/>
    </row>
    <row r="58" spans="1:17">
      <c r="A58" s="43" t="s">
        <v>8</v>
      </c>
      <c r="B58" s="44" t="s">
        <v>9</v>
      </c>
      <c r="C58" s="43" t="s">
        <v>335</v>
      </c>
      <c r="D58" s="43">
        <v>1.25</v>
      </c>
      <c r="E58" s="43">
        <f>23.3-5</f>
        <v>18.3</v>
      </c>
      <c r="F58" s="43">
        <v>1</v>
      </c>
      <c r="G58" s="56">
        <f>テーブル1[[#This Row],[長さ(m)]]*テーブル1[[#This Row],[在庫(本)]]</f>
        <v>18.3</v>
      </c>
      <c r="H58" s="43">
        <f t="shared" si="0"/>
        <v>22.875</v>
      </c>
      <c r="I58" s="47">
        <v>500</v>
      </c>
      <c r="J58" s="47">
        <f t="shared" si="7"/>
        <v>11437.5</v>
      </c>
      <c r="K58" s="43" t="s">
        <v>42</v>
      </c>
      <c r="L58" s="46" t="s">
        <v>11</v>
      </c>
      <c r="M58" s="46"/>
      <c r="N58" s="43"/>
      <c r="O58" s="46" t="s">
        <v>159</v>
      </c>
      <c r="P58" s="46" t="s">
        <v>12</v>
      </c>
      <c r="Q58" s="43"/>
    </row>
    <row r="59" spans="1:17">
      <c r="A59" s="43" t="s">
        <v>8</v>
      </c>
      <c r="B59" s="44" t="s">
        <v>9</v>
      </c>
      <c r="C59" s="43" t="s">
        <v>394</v>
      </c>
      <c r="D59" s="43">
        <v>1.25</v>
      </c>
      <c r="E59" s="108">
        <f>15-0.8-0.6-3-1.2-2.3-1.5-2-0.9-1.8-0.7-0.2</f>
        <v>6.106226635438361E-16</v>
      </c>
      <c r="F59" s="43">
        <f>1-1</f>
        <v>0</v>
      </c>
      <c r="G59" s="56">
        <f>テーブル1[[#This Row],[長さ(m)]]*テーブル1[[#This Row],[在庫(本)]]</f>
        <v>0</v>
      </c>
      <c r="H59" s="43">
        <f t="shared" si="0"/>
        <v>0</v>
      </c>
      <c r="I59" s="47">
        <v>986.79157138412597</v>
      </c>
      <c r="J59" s="47">
        <f t="shared" si="7"/>
        <v>0</v>
      </c>
      <c r="K59" s="43" t="s">
        <v>42</v>
      </c>
      <c r="L59" s="48">
        <v>44440</v>
      </c>
      <c r="M59" s="48"/>
      <c r="N59" s="43"/>
      <c r="O59" s="46"/>
      <c r="P59" s="43"/>
      <c r="Q59" s="43"/>
    </row>
    <row r="60" spans="1:17">
      <c r="A60" s="49" t="s">
        <v>37</v>
      </c>
      <c r="B60" s="49" t="s">
        <v>38</v>
      </c>
      <c r="C60" s="49" t="s">
        <v>162</v>
      </c>
      <c r="D60" s="50">
        <v>1.29</v>
      </c>
      <c r="E60" s="49">
        <v>1007</v>
      </c>
      <c r="F60" s="49">
        <v>1</v>
      </c>
      <c r="G60" s="49">
        <f>テーブル1[[#This Row],[長さ(m)]]*テーブル1[[#This Row],[在庫(本)]]</f>
        <v>1007</v>
      </c>
      <c r="H60" s="49">
        <f t="shared" si="0"/>
        <v>1299.03</v>
      </c>
      <c r="I60" s="53">
        <v>621.00017485574404</v>
      </c>
      <c r="J60" s="53">
        <f t="shared" si="7"/>
        <v>806697.85714285716</v>
      </c>
      <c r="K60" s="49" t="s">
        <v>39</v>
      </c>
      <c r="L60" s="55">
        <v>44652</v>
      </c>
      <c r="M60" s="55"/>
      <c r="N60" s="43" t="s">
        <v>199</v>
      </c>
      <c r="O60" s="46" t="s">
        <v>159</v>
      </c>
      <c r="P60" s="43"/>
      <c r="Q60" s="71" t="s">
        <v>164</v>
      </c>
    </row>
    <row r="61" spans="1:17">
      <c r="A61" s="49" t="s">
        <v>37</v>
      </c>
      <c r="B61" s="49" t="s">
        <v>38</v>
      </c>
      <c r="C61" s="49" t="s">
        <v>163</v>
      </c>
      <c r="D61" s="50">
        <v>1.29</v>
      </c>
      <c r="E61" s="49">
        <v>987</v>
      </c>
      <c r="F61" s="49">
        <v>1</v>
      </c>
      <c r="G61" s="49">
        <f>テーブル1[[#This Row],[長さ(m)]]*テーブル1[[#This Row],[在庫(本)]]</f>
        <v>987</v>
      </c>
      <c r="H61" s="49">
        <f t="shared" si="0"/>
        <v>1273.23</v>
      </c>
      <c r="I61" s="53">
        <v>621.00017485574404</v>
      </c>
      <c r="J61" s="53">
        <f t="shared" si="7"/>
        <v>790676.05263157899</v>
      </c>
      <c r="K61" s="49" t="s">
        <v>39</v>
      </c>
      <c r="L61" s="55">
        <v>44652</v>
      </c>
      <c r="M61" s="55"/>
      <c r="N61" s="43" t="s">
        <v>199</v>
      </c>
      <c r="O61" s="46" t="s">
        <v>159</v>
      </c>
      <c r="P61" s="43"/>
      <c r="Q61" s="71" t="s">
        <v>164</v>
      </c>
    </row>
    <row r="62" spans="1:17">
      <c r="A62" s="49" t="s">
        <v>37</v>
      </c>
      <c r="B62" s="49" t="s">
        <v>38</v>
      </c>
      <c r="C62" s="49" t="s">
        <v>172</v>
      </c>
      <c r="D62" s="50">
        <v>1.29</v>
      </c>
      <c r="E62" s="49">
        <v>320</v>
      </c>
      <c r="F62" s="49">
        <v>1</v>
      </c>
      <c r="G62" s="49">
        <f>テーブル1[[#This Row],[長さ(m)]]*テーブル1[[#This Row],[在庫(本)]]</f>
        <v>320</v>
      </c>
      <c r="H62" s="49">
        <f t="shared" si="0"/>
        <v>412.8</v>
      </c>
      <c r="I62" s="53">
        <v>621.00017485574404</v>
      </c>
      <c r="J62" s="53">
        <f t="shared" si="7"/>
        <v>256348.87218045114</v>
      </c>
      <c r="K62" s="49" t="s">
        <v>39</v>
      </c>
      <c r="L62" s="55">
        <v>44652</v>
      </c>
      <c r="M62" s="55"/>
      <c r="N62" s="43" t="s">
        <v>199</v>
      </c>
      <c r="O62" s="46" t="s">
        <v>159</v>
      </c>
      <c r="P62" s="43"/>
      <c r="Q62" s="71" t="s">
        <v>173</v>
      </c>
    </row>
    <row r="63" spans="1:17">
      <c r="A63" s="49" t="s">
        <v>37</v>
      </c>
      <c r="B63" s="49" t="s">
        <v>38</v>
      </c>
      <c r="C63" s="49" t="s">
        <v>239</v>
      </c>
      <c r="D63" s="50">
        <v>1.29</v>
      </c>
      <c r="E63" s="49">
        <f>423-423+120</f>
        <v>120</v>
      </c>
      <c r="F63" s="49">
        <f>1</f>
        <v>1</v>
      </c>
      <c r="G63" s="49">
        <f>テーブル1[[#This Row],[長さ(m)]]*テーブル1[[#This Row],[在庫(本)]]</f>
        <v>120</v>
      </c>
      <c r="H63" s="49">
        <f t="shared" ref="H63:H121" si="12">D63*G63</f>
        <v>154.80000000000001</v>
      </c>
      <c r="I63" s="53">
        <v>621.00017485574404</v>
      </c>
      <c r="J63" s="53">
        <f t="shared" si="7"/>
        <v>96130.82706766919</v>
      </c>
      <c r="K63" s="49" t="s">
        <v>39</v>
      </c>
      <c r="L63" s="55">
        <v>44652</v>
      </c>
      <c r="M63" s="55"/>
      <c r="N63" s="43" t="s">
        <v>199</v>
      </c>
      <c r="O63" s="46" t="s">
        <v>159</v>
      </c>
      <c r="P63" s="43"/>
      <c r="Q63" s="71" t="s">
        <v>287</v>
      </c>
    </row>
    <row r="64" spans="1:17">
      <c r="A64" s="43" t="s">
        <v>232</v>
      </c>
      <c r="B64" s="44" t="s">
        <v>9</v>
      </c>
      <c r="C64" s="43" t="s">
        <v>182</v>
      </c>
      <c r="D64" s="43">
        <v>1.2030000000000001</v>
      </c>
      <c r="E64" s="74">
        <f>5-0.9-0.7-0.9-2</f>
        <v>0.49999999999999956</v>
      </c>
      <c r="F64" s="43">
        <v>1</v>
      </c>
      <c r="G64" s="56">
        <f>テーブル1[[#This Row],[長さ(m)]]*テーブル1[[#This Row],[在庫(本)]]</f>
        <v>0.49999999999999956</v>
      </c>
      <c r="H64" s="43">
        <f t="shared" si="12"/>
        <v>0.60149999999999948</v>
      </c>
      <c r="I64" s="47">
        <v>1720.5653100778291</v>
      </c>
      <c r="J64" s="47">
        <f t="shared" si="7"/>
        <v>1034.9200340118132</v>
      </c>
      <c r="K64" s="75" t="s">
        <v>42</v>
      </c>
      <c r="L64" s="48">
        <v>44652</v>
      </c>
      <c r="M64" s="48"/>
      <c r="N64" s="43" t="s">
        <v>158</v>
      </c>
      <c r="O64" s="46" t="s">
        <v>431</v>
      </c>
      <c r="P64" s="43" t="s">
        <v>157</v>
      </c>
      <c r="Q64" s="43"/>
    </row>
    <row r="65" spans="1:17">
      <c r="A65" s="43" t="s">
        <v>8</v>
      </c>
      <c r="B65" s="44" t="s">
        <v>9</v>
      </c>
      <c r="C65" s="43" t="s">
        <v>212</v>
      </c>
      <c r="D65" s="43">
        <v>1.25</v>
      </c>
      <c r="E65" s="43">
        <f>25-25</f>
        <v>0</v>
      </c>
      <c r="F65" s="43">
        <f>20-1-3-1-1-1-1-1-1-1-1-1-1-4-1-1</f>
        <v>0</v>
      </c>
      <c r="G65" s="43">
        <f>テーブル1[[#This Row],[長さ(m)]]*テーブル1[[#This Row],[在庫(本)]]</f>
        <v>0</v>
      </c>
      <c r="H65" s="43">
        <f t="shared" si="12"/>
        <v>0</v>
      </c>
      <c r="I65" s="47">
        <v>1086.1813388965465</v>
      </c>
      <c r="J65" s="47">
        <f t="shared" si="7"/>
        <v>0</v>
      </c>
      <c r="K65" s="43" t="s">
        <v>25</v>
      </c>
      <c r="L65" s="48">
        <v>44652</v>
      </c>
      <c r="M65" s="48"/>
      <c r="N65" s="43"/>
      <c r="O65" s="46"/>
      <c r="P65" s="43"/>
      <c r="Q65" s="43"/>
    </row>
    <row r="66" spans="1:17">
      <c r="A66" s="43" t="s">
        <v>8</v>
      </c>
      <c r="B66" s="44" t="s">
        <v>9</v>
      </c>
      <c r="C66" s="43" t="s">
        <v>167</v>
      </c>
      <c r="D66" s="43">
        <v>1.25</v>
      </c>
      <c r="E66" s="43">
        <f>25-25</f>
        <v>0</v>
      </c>
      <c r="F66" s="43">
        <f>30-1-1-2-1-2-3-2-1-2-5-1-5-1-1-1-1</f>
        <v>0</v>
      </c>
      <c r="G66" s="43">
        <f>テーブル1[[#This Row],[長さ(m)]]*テーブル1[[#This Row],[在庫(本)]]</f>
        <v>0</v>
      </c>
      <c r="H66" s="43">
        <f t="shared" si="12"/>
        <v>0</v>
      </c>
      <c r="I66" s="47">
        <v>1086.1813388965465</v>
      </c>
      <c r="J66" s="47">
        <f t="shared" si="7"/>
        <v>0</v>
      </c>
      <c r="K66" s="43" t="s">
        <v>25</v>
      </c>
      <c r="L66" s="48">
        <v>44652</v>
      </c>
      <c r="M66" s="48"/>
      <c r="N66" s="43"/>
      <c r="O66" s="46"/>
      <c r="P66" s="43"/>
      <c r="Q66" s="43"/>
    </row>
    <row r="67" spans="1:17">
      <c r="A67" s="43" t="s">
        <v>8</v>
      </c>
      <c r="B67" s="44" t="s">
        <v>9</v>
      </c>
      <c r="C67" s="43" t="s">
        <v>168</v>
      </c>
      <c r="D67" s="43">
        <v>1.25</v>
      </c>
      <c r="E67" s="43">
        <f>25-25</f>
        <v>0</v>
      </c>
      <c r="F67" s="43">
        <f>38-1-1-3-3-1-1-1-1-3-5-1-1-15-1</f>
        <v>0</v>
      </c>
      <c r="G67" s="43">
        <f>テーブル1[[#This Row],[長さ(m)]]*テーブル1[[#This Row],[在庫(本)]]</f>
        <v>0</v>
      </c>
      <c r="H67" s="43">
        <f t="shared" si="12"/>
        <v>0</v>
      </c>
      <c r="I67" s="47">
        <v>1086.1813388965463</v>
      </c>
      <c r="J67" s="47">
        <f t="shared" si="7"/>
        <v>0</v>
      </c>
      <c r="K67" s="43" t="s">
        <v>25</v>
      </c>
      <c r="L67" s="48">
        <v>44652</v>
      </c>
      <c r="M67" s="48"/>
      <c r="N67" s="43"/>
      <c r="O67" s="46"/>
      <c r="P67" s="43"/>
      <c r="Q67" s="43"/>
    </row>
    <row r="68" spans="1:17">
      <c r="A68" s="43" t="s">
        <v>8</v>
      </c>
      <c r="B68" s="44" t="s">
        <v>9</v>
      </c>
      <c r="C68" s="43" t="s">
        <v>169</v>
      </c>
      <c r="D68" s="43">
        <v>1.25</v>
      </c>
      <c r="E68" s="43">
        <f>13-10-0.8-1-1.2</f>
        <v>0</v>
      </c>
      <c r="F68" s="43">
        <f>1-1</f>
        <v>0</v>
      </c>
      <c r="G68" s="43">
        <f>テーブル1[[#This Row],[長さ(m)]]*テーブル1[[#This Row],[在庫(本)]]</f>
        <v>0</v>
      </c>
      <c r="H68" s="43">
        <f t="shared" si="12"/>
        <v>0</v>
      </c>
      <c r="I68" s="47">
        <v>1086.1813388965463</v>
      </c>
      <c r="J68" s="47">
        <f t="shared" si="7"/>
        <v>0</v>
      </c>
      <c r="K68" s="43" t="s">
        <v>42</v>
      </c>
      <c r="L68" s="48">
        <v>44652</v>
      </c>
      <c r="M68" s="48"/>
      <c r="N68" s="43"/>
      <c r="O68" s="46"/>
      <c r="P68" s="43"/>
      <c r="Q68" s="43"/>
    </row>
    <row r="69" spans="1:17">
      <c r="A69" s="49" t="s">
        <v>8</v>
      </c>
      <c r="B69" s="49" t="s">
        <v>38</v>
      </c>
      <c r="C69" s="49" t="s">
        <v>170</v>
      </c>
      <c r="D69" s="49">
        <v>1.25</v>
      </c>
      <c r="E69" s="49">
        <v>25</v>
      </c>
      <c r="F69" s="49">
        <f>12-3</f>
        <v>9</v>
      </c>
      <c r="G69" s="49">
        <f>テーブル1[[#This Row],[長さ(m)]]*テーブル1[[#This Row],[在庫(本)]]</f>
        <v>225</v>
      </c>
      <c r="H69" s="49">
        <f t="shared" si="12"/>
        <v>281.25</v>
      </c>
      <c r="I69" s="53">
        <v>1099.5225721795628</v>
      </c>
      <c r="J69" s="53">
        <f t="shared" si="7"/>
        <v>309240.72342550202</v>
      </c>
      <c r="K69" s="49" t="s">
        <v>25</v>
      </c>
      <c r="L69" s="55">
        <v>44652</v>
      </c>
      <c r="M69" s="55"/>
      <c r="N69" s="43" t="s">
        <v>199</v>
      </c>
      <c r="O69" s="46" t="s">
        <v>159</v>
      </c>
      <c r="P69" s="43"/>
      <c r="Q69" s="43"/>
    </row>
    <row r="70" spans="1:17">
      <c r="A70" s="49" t="s">
        <v>8</v>
      </c>
      <c r="B70" s="49" t="s">
        <v>38</v>
      </c>
      <c r="C70" s="49" t="s">
        <v>171</v>
      </c>
      <c r="D70" s="49">
        <v>1.25</v>
      </c>
      <c r="E70" s="49">
        <v>25</v>
      </c>
      <c r="F70" s="49">
        <f>24-1-1-2</f>
        <v>20</v>
      </c>
      <c r="G70" s="49">
        <f>テーブル1[[#This Row],[長さ(m)]]*テーブル1[[#This Row],[在庫(本)]]</f>
        <v>500</v>
      </c>
      <c r="H70" s="49">
        <f t="shared" si="12"/>
        <v>625</v>
      </c>
      <c r="I70" s="53">
        <v>1099.5225721795628</v>
      </c>
      <c r="J70" s="53">
        <f t="shared" si="7"/>
        <v>687201.60761222674</v>
      </c>
      <c r="K70" s="49" t="s">
        <v>25</v>
      </c>
      <c r="L70" s="55">
        <v>44652</v>
      </c>
      <c r="M70" s="55"/>
      <c r="N70" s="43" t="s">
        <v>199</v>
      </c>
      <c r="O70" s="46" t="s">
        <v>159</v>
      </c>
      <c r="P70" s="43"/>
      <c r="Q70" s="43"/>
    </row>
    <row r="71" spans="1:17">
      <c r="A71" s="49" t="s">
        <v>8</v>
      </c>
      <c r="B71" s="49" t="s">
        <v>38</v>
      </c>
      <c r="C71" s="49" t="s">
        <v>463</v>
      </c>
      <c r="D71" s="49">
        <v>1.25</v>
      </c>
      <c r="E71" s="49">
        <f>13.3-0.6-0.6-3-1.2-2.3-3-1.5-1.1</f>
        <v>0</v>
      </c>
      <c r="F71" s="49">
        <v>0</v>
      </c>
      <c r="G71" s="49">
        <f>テーブル1[[#This Row],[長さ(m)]]*テーブル1[[#This Row],[在庫(本)]]</f>
        <v>0</v>
      </c>
      <c r="H71" s="49">
        <f t="shared" si="12"/>
        <v>0</v>
      </c>
      <c r="I71" s="53">
        <v>1099.5225721795628</v>
      </c>
      <c r="J71" s="53">
        <f t="shared" si="7"/>
        <v>0</v>
      </c>
      <c r="K71" s="49" t="s">
        <v>42</v>
      </c>
      <c r="L71" s="55">
        <v>44652</v>
      </c>
      <c r="M71" s="55"/>
      <c r="N71" s="43"/>
      <c r="O71" s="46"/>
      <c r="P71" s="43"/>
      <c r="Q71" s="43"/>
    </row>
    <row r="72" spans="1:17">
      <c r="A72" s="43" t="s">
        <v>34</v>
      </c>
      <c r="B72" s="44" t="s">
        <v>9</v>
      </c>
      <c r="C72" s="43" t="s">
        <v>399</v>
      </c>
      <c r="D72" s="75">
        <v>1.29</v>
      </c>
      <c r="E72" s="43">
        <v>400</v>
      </c>
      <c r="F72" s="75">
        <v>1</v>
      </c>
      <c r="G72" s="75">
        <f t="shared" ref="G72" si="13">E72*F72</f>
        <v>400</v>
      </c>
      <c r="H72" s="43">
        <f t="shared" si="12"/>
        <v>516</v>
      </c>
      <c r="I72" s="47">
        <v>604.35137476984016</v>
      </c>
      <c r="J72" s="47">
        <f t="shared" ref="J72:J73" si="14">H72*I72</f>
        <v>311845.30938123754</v>
      </c>
      <c r="K72" s="75" t="s">
        <v>17</v>
      </c>
      <c r="L72" s="48">
        <v>44713</v>
      </c>
      <c r="M72" s="48"/>
      <c r="N72" s="43"/>
      <c r="O72" s="46"/>
      <c r="P72" s="43"/>
      <c r="Q72" s="45"/>
    </row>
    <row r="73" spans="1:17">
      <c r="A73" s="87" t="s">
        <v>34</v>
      </c>
      <c r="B73" s="88" t="s">
        <v>9</v>
      </c>
      <c r="C73" s="87" t="s">
        <v>373</v>
      </c>
      <c r="D73" s="89">
        <v>1.29</v>
      </c>
      <c r="E73" s="87">
        <f>400-200-200</f>
        <v>0</v>
      </c>
      <c r="F73" s="89">
        <f>1-1</f>
        <v>0</v>
      </c>
      <c r="G73" s="89">
        <f>E73*F73</f>
        <v>0</v>
      </c>
      <c r="H73" s="87">
        <f t="shared" si="12"/>
        <v>0</v>
      </c>
      <c r="I73" s="90">
        <v>604.35137476984016</v>
      </c>
      <c r="J73" s="90">
        <f t="shared" si="14"/>
        <v>0</v>
      </c>
      <c r="K73" s="89" t="s">
        <v>39</v>
      </c>
      <c r="L73" s="91">
        <v>44713</v>
      </c>
      <c r="M73" s="91"/>
      <c r="N73" s="87" t="s">
        <v>454</v>
      </c>
      <c r="O73" s="92"/>
      <c r="P73" s="43" t="s">
        <v>467</v>
      </c>
      <c r="Q73" s="71" t="s">
        <v>194</v>
      </c>
    </row>
    <row r="74" spans="1:17">
      <c r="A74" s="75" t="s">
        <v>8</v>
      </c>
      <c r="B74" s="78" t="s">
        <v>9</v>
      </c>
      <c r="C74" s="75" t="s">
        <v>326</v>
      </c>
      <c r="D74" s="43">
        <v>1.25</v>
      </c>
      <c r="E74" s="75">
        <v>25</v>
      </c>
      <c r="F74" s="75">
        <f>37-1-1-2-1-2-1-8-1</f>
        <v>20</v>
      </c>
      <c r="G74" s="75">
        <v>925</v>
      </c>
      <c r="H74" s="75">
        <f t="shared" si="12"/>
        <v>1156.25</v>
      </c>
      <c r="I74" s="76">
        <v>1089.6454038775285</v>
      </c>
      <c r="J74" s="76">
        <f>H74*I74</f>
        <v>1259902.4982333924</v>
      </c>
      <c r="K74" s="43" t="s">
        <v>25</v>
      </c>
      <c r="L74" s="79">
        <v>44743</v>
      </c>
      <c r="M74" s="79"/>
      <c r="N74" s="75"/>
      <c r="O74" s="57"/>
      <c r="P74" s="75"/>
      <c r="Q74" s="75"/>
    </row>
    <row r="75" spans="1:17">
      <c r="A75" s="75" t="s">
        <v>8</v>
      </c>
      <c r="B75" s="78" t="s">
        <v>9</v>
      </c>
      <c r="C75" s="43" t="s">
        <v>327</v>
      </c>
      <c r="D75" s="43">
        <v>1.25</v>
      </c>
      <c r="E75" s="43">
        <v>25</v>
      </c>
      <c r="F75" s="43">
        <v>39</v>
      </c>
      <c r="G75" s="43">
        <v>10</v>
      </c>
      <c r="H75" s="43">
        <f t="shared" si="12"/>
        <v>12.5</v>
      </c>
      <c r="I75" s="47">
        <v>1089.6454038775285</v>
      </c>
      <c r="J75" s="47">
        <f t="shared" ref="J75:J80" si="15">H75*I75</f>
        <v>13620.567548469106</v>
      </c>
      <c r="K75" s="43" t="s">
        <v>25</v>
      </c>
      <c r="L75" s="79">
        <v>44743</v>
      </c>
      <c r="M75" s="79"/>
      <c r="N75" s="43"/>
      <c r="O75" s="46"/>
      <c r="P75" s="43"/>
      <c r="Q75" s="43"/>
    </row>
    <row r="76" spans="1:17">
      <c r="A76" s="80" t="s">
        <v>8</v>
      </c>
      <c r="B76" s="49" t="s">
        <v>38</v>
      </c>
      <c r="C76" s="49" t="s">
        <v>328</v>
      </c>
      <c r="D76" s="49">
        <v>1.25</v>
      </c>
      <c r="E76" s="49">
        <f>18-10-5-3</f>
        <v>0</v>
      </c>
      <c r="F76" s="49">
        <v>1</v>
      </c>
      <c r="G76" s="49">
        <f>テーブル1[[#This Row],[長さ(m)]]*テーブル1[[#This Row],[在庫(本)]]</f>
        <v>0</v>
      </c>
      <c r="H76" s="49">
        <f t="shared" si="12"/>
        <v>0</v>
      </c>
      <c r="I76" s="53">
        <v>1089.6454038775285</v>
      </c>
      <c r="J76" s="53">
        <f t="shared" si="15"/>
        <v>0</v>
      </c>
      <c r="K76" s="49" t="s">
        <v>16</v>
      </c>
      <c r="L76" s="81">
        <v>44743</v>
      </c>
      <c r="M76" s="81"/>
      <c r="N76" s="43"/>
      <c r="O76" s="46"/>
      <c r="P76" s="43"/>
      <c r="Q76" s="43"/>
    </row>
    <row r="77" spans="1:17">
      <c r="A77" s="80" t="s">
        <v>8</v>
      </c>
      <c r="B77" s="49" t="s">
        <v>38</v>
      </c>
      <c r="C77" s="49" t="s">
        <v>329</v>
      </c>
      <c r="D77" s="49">
        <v>1.25</v>
      </c>
      <c r="E77" s="49">
        <f>14-1-6-5-1</f>
        <v>1</v>
      </c>
      <c r="F77" s="49">
        <v>1</v>
      </c>
      <c r="G77" s="49">
        <f>テーブル1[[#This Row],[長さ(m)]]*テーブル1[[#This Row],[在庫(本)]]</f>
        <v>1</v>
      </c>
      <c r="H77" s="49">
        <f t="shared" si="12"/>
        <v>1.25</v>
      </c>
      <c r="I77" s="53">
        <v>1089.6454038775285</v>
      </c>
      <c r="J77" s="53">
        <f t="shared" si="15"/>
        <v>1362.0567548469105</v>
      </c>
      <c r="K77" s="49" t="s">
        <v>16</v>
      </c>
      <c r="L77" s="81">
        <v>44743</v>
      </c>
      <c r="M77" s="81"/>
      <c r="N77" s="43"/>
      <c r="O77" s="46"/>
      <c r="P77" s="43"/>
      <c r="Q77" s="43"/>
    </row>
    <row r="78" spans="1:17">
      <c r="A78" s="80" t="s">
        <v>8</v>
      </c>
      <c r="B78" s="49" t="s">
        <v>38</v>
      </c>
      <c r="C78" s="49" t="s">
        <v>330</v>
      </c>
      <c r="D78" s="49">
        <v>1.25</v>
      </c>
      <c r="E78" s="49">
        <f>23-10-5-5-1</f>
        <v>2</v>
      </c>
      <c r="F78" s="49">
        <v>1</v>
      </c>
      <c r="G78" s="49">
        <f>テーブル1[[#This Row],[長さ(m)]]*テーブル1[[#This Row],[在庫(本)]]</f>
        <v>2</v>
      </c>
      <c r="H78" s="49">
        <f t="shared" si="12"/>
        <v>2.5</v>
      </c>
      <c r="I78" s="53">
        <v>1089.6454038775285</v>
      </c>
      <c r="J78" s="53">
        <f t="shared" si="15"/>
        <v>2724.113509693821</v>
      </c>
      <c r="K78" s="49" t="s">
        <v>16</v>
      </c>
      <c r="L78" s="81">
        <v>44743</v>
      </c>
      <c r="M78" s="81"/>
      <c r="N78" s="43"/>
      <c r="O78" s="46"/>
      <c r="P78" s="43"/>
      <c r="Q78" s="43"/>
    </row>
    <row r="79" spans="1:17">
      <c r="A79" s="80" t="s">
        <v>8</v>
      </c>
      <c r="B79" s="49" t="s">
        <v>38</v>
      </c>
      <c r="C79" s="49" t="s">
        <v>331</v>
      </c>
      <c r="D79" s="49">
        <v>1.25</v>
      </c>
      <c r="E79" s="49">
        <v>23</v>
      </c>
      <c r="F79" s="49">
        <v>1</v>
      </c>
      <c r="G79" s="49">
        <f>テーブル1[[#This Row],[長さ(m)]]*テーブル1[[#This Row],[在庫(本)]]</f>
        <v>23</v>
      </c>
      <c r="H79" s="49">
        <f t="shared" si="12"/>
        <v>28.75</v>
      </c>
      <c r="I79" s="53">
        <v>1089.6454038775285</v>
      </c>
      <c r="J79" s="53">
        <f t="shared" si="15"/>
        <v>31327.305361478942</v>
      </c>
      <c r="K79" s="49" t="s">
        <v>16</v>
      </c>
      <c r="L79" s="81">
        <v>44743</v>
      </c>
      <c r="M79" s="81"/>
      <c r="N79" s="43"/>
      <c r="O79" s="46"/>
      <c r="P79" s="43"/>
      <c r="Q79" s="43"/>
    </row>
    <row r="80" spans="1:17">
      <c r="A80" s="49" t="s">
        <v>8</v>
      </c>
      <c r="B80" s="49" t="s">
        <v>38</v>
      </c>
      <c r="C80" s="49" t="s">
        <v>332</v>
      </c>
      <c r="D80" s="49">
        <v>1.25</v>
      </c>
      <c r="E80" s="49">
        <v>25</v>
      </c>
      <c r="F80" s="49">
        <f>34-1-10-3-1-3-1-5-2-2-1-1-3-1</f>
        <v>0</v>
      </c>
      <c r="G80" s="49">
        <f>テーブル1[[#This Row],[長さ(m)]]*テーブル1[[#This Row],[在庫(本)]]</f>
        <v>0</v>
      </c>
      <c r="H80" s="49">
        <f t="shared" si="12"/>
        <v>0</v>
      </c>
      <c r="I80" s="53">
        <v>1081.8091504305573</v>
      </c>
      <c r="J80" s="53">
        <f t="shared" si="15"/>
        <v>0</v>
      </c>
      <c r="K80" s="49" t="s">
        <v>25</v>
      </c>
      <c r="L80" s="81">
        <v>44743</v>
      </c>
      <c r="M80" s="81"/>
      <c r="N80" s="43"/>
      <c r="O80" s="46"/>
      <c r="P80" s="43"/>
      <c r="Q80" s="43"/>
    </row>
    <row r="81" spans="1:17">
      <c r="A81" s="43" t="s">
        <v>233</v>
      </c>
      <c r="B81" s="44" t="s">
        <v>9</v>
      </c>
      <c r="C81" s="43" t="s">
        <v>398</v>
      </c>
      <c r="D81" s="43">
        <v>1.044</v>
      </c>
      <c r="E81" s="43">
        <f>50-50</f>
        <v>0</v>
      </c>
      <c r="F81" s="43">
        <f>1-1</f>
        <v>0</v>
      </c>
      <c r="G81" s="43">
        <f>テーブル1[[#This Row],[長さ(m)]]</f>
        <v>0</v>
      </c>
      <c r="H81" s="43">
        <f t="shared" si="12"/>
        <v>0</v>
      </c>
      <c r="I81" s="47">
        <v>2807.836209038991</v>
      </c>
      <c r="J81" s="47">
        <f t="shared" ref="J81:J89" si="16">H81*I81</f>
        <v>0</v>
      </c>
      <c r="K81" s="75" t="s">
        <v>240</v>
      </c>
      <c r="L81" s="79">
        <v>44743</v>
      </c>
      <c r="M81" s="79"/>
      <c r="N81" s="43" t="s">
        <v>210</v>
      </c>
      <c r="O81" s="46" t="s">
        <v>431</v>
      </c>
      <c r="P81" s="43"/>
      <c r="Q81" s="43"/>
    </row>
    <row r="82" spans="1:17">
      <c r="A82" s="43" t="s">
        <v>233</v>
      </c>
      <c r="B82" s="44" t="s">
        <v>9</v>
      </c>
      <c r="C82" s="43" t="s">
        <v>202</v>
      </c>
      <c r="D82" s="43">
        <v>1.044</v>
      </c>
      <c r="E82" s="43">
        <f>10.5-3-1.3-0.9-1.1-0.3-2-0.3-1.6</f>
        <v>0</v>
      </c>
      <c r="F82" s="43">
        <f>1-1</f>
        <v>0</v>
      </c>
      <c r="G82" s="56">
        <f>テーブル1[[#This Row],[長さ(m)]]*テーブル1[[#This Row],[在庫(本)]]</f>
        <v>0</v>
      </c>
      <c r="H82" s="43">
        <f t="shared" si="12"/>
        <v>0</v>
      </c>
      <c r="I82" s="47">
        <v>2807.836209038991</v>
      </c>
      <c r="J82" s="47">
        <f t="shared" si="16"/>
        <v>0</v>
      </c>
      <c r="K82" s="43" t="s">
        <v>42</v>
      </c>
      <c r="L82" s="79">
        <v>44743</v>
      </c>
      <c r="M82" s="79"/>
      <c r="N82" s="43" t="s">
        <v>210</v>
      </c>
      <c r="O82" s="46" t="s">
        <v>431</v>
      </c>
      <c r="P82" s="43"/>
      <c r="Q82" s="43"/>
    </row>
    <row r="83" spans="1:17">
      <c r="A83" s="43" t="s">
        <v>230</v>
      </c>
      <c r="B83" s="44" t="s">
        <v>9</v>
      </c>
      <c r="C83" s="43" t="s">
        <v>203</v>
      </c>
      <c r="D83" s="43">
        <v>1.034</v>
      </c>
      <c r="E83" s="43">
        <f>50-50</f>
        <v>0</v>
      </c>
      <c r="F83" s="43">
        <v>0</v>
      </c>
      <c r="G83" s="56">
        <f>テーブル1[[#This Row],[長さ(m)]]*テーブル1[[#This Row],[在庫(本)]]</f>
        <v>0</v>
      </c>
      <c r="H83" s="43">
        <f t="shared" si="12"/>
        <v>0</v>
      </c>
      <c r="I83" s="47">
        <v>2032.2833677337587</v>
      </c>
      <c r="J83" s="47">
        <f t="shared" si="16"/>
        <v>0</v>
      </c>
      <c r="K83" s="75" t="s">
        <v>240</v>
      </c>
      <c r="L83" s="79">
        <v>44743</v>
      </c>
      <c r="M83" s="79"/>
      <c r="N83" s="43" t="s">
        <v>211</v>
      </c>
      <c r="O83" s="46" t="s">
        <v>429</v>
      </c>
      <c r="P83" s="43"/>
      <c r="Q83" s="43"/>
    </row>
    <row r="84" spans="1:17">
      <c r="A84" s="43" t="s">
        <v>230</v>
      </c>
      <c r="B84" s="44" t="s">
        <v>9</v>
      </c>
      <c r="C84" s="43" t="s">
        <v>204</v>
      </c>
      <c r="D84" s="43">
        <v>1.034</v>
      </c>
      <c r="E84" s="43">
        <f>50-2-3-5-1-39</f>
        <v>0</v>
      </c>
      <c r="F84" s="43">
        <f t="shared" ref="F84:F90" si="17">1-1</f>
        <v>0</v>
      </c>
      <c r="G84" s="56">
        <f>テーブル1[[#This Row],[長さ(m)]]*テーブル1[[#This Row],[在庫(本)]]</f>
        <v>0</v>
      </c>
      <c r="H84" s="43">
        <f t="shared" si="12"/>
        <v>0</v>
      </c>
      <c r="I84" s="47">
        <v>2032.2833677337587</v>
      </c>
      <c r="J84" s="47">
        <f t="shared" si="16"/>
        <v>0</v>
      </c>
      <c r="K84" s="75" t="s">
        <v>240</v>
      </c>
      <c r="L84" s="79">
        <v>44743</v>
      </c>
      <c r="M84" s="79"/>
      <c r="N84" s="43" t="s">
        <v>211</v>
      </c>
      <c r="O84" s="46" t="s">
        <v>429</v>
      </c>
      <c r="P84" s="43"/>
      <c r="Q84" s="43"/>
    </row>
    <row r="85" spans="1:17">
      <c r="A85" s="43" t="s">
        <v>230</v>
      </c>
      <c r="B85" s="44" t="s">
        <v>9</v>
      </c>
      <c r="C85" s="43" t="s">
        <v>205</v>
      </c>
      <c r="D85" s="43">
        <v>1.034</v>
      </c>
      <c r="E85" s="43">
        <f>50-50</f>
        <v>0</v>
      </c>
      <c r="F85" s="43">
        <f t="shared" si="17"/>
        <v>0</v>
      </c>
      <c r="G85" s="56">
        <f>テーブル1[[#This Row],[長さ(m)]]*テーブル1[[#This Row],[在庫(本)]]</f>
        <v>0</v>
      </c>
      <c r="H85" s="43">
        <f t="shared" si="12"/>
        <v>0</v>
      </c>
      <c r="I85" s="47">
        <v>2032.2833677337587</v>
      </c>
      <c r="J85" s="47">
        <f t="shared" si="16"/>
        <v>0</v>
      </c>
      <c r="K85" s="75" t="s">
        <v>240</v>
      </c>
      <c r="L85" s="79">
        <v>44743</v>
      </c>
      <c r="M85" s="79"/>
      <c r="N85" s="43" t="s">
        <v>211</v>
      </c>
      <c r="O85" s="46" t="s">
        <v>429</v>
      </c>
      <c r="P85" s="43"/>
      <c r="Q85" s="43"/>
    </row>
    <row r="86" spans="1:17">
      <c r="A86" s="43" t="s">
        <v>230</v>
      </c>
      <c r="B86" s="44" t="s">
        <v>9</v>
      </c>
      <c r="C86" s="43" t="s">
        <v>206</v>
      </c>
      <c r="D86" s="43">
        <v>1.034</v>
      </c>
      <c r="E86" s="43">
        <f>50-4-1-1-44</f>
        <v>0</v>
      </c>
      <c r="F86" s="43">
        <f t="shared" si="17"/>
        <v>0</v>
      </c>
      <c r="G86" s="56">
        <f>テーブル1[[#This Row],[長さ(m)]]*テーブル1[[#This Row],[在庫(本)]]</f>
        <v>0</v>
      </c>
      <c r="H86" s="43">
        <f t="shared" si="12"/>
        <v>0</v>
      </c>
      <c r="I86" s="47">
        <v>2032.2833677337587</v>
      </c>
      <c r="J86" s="47">
        <f t="shared" si="16"/>
        <v>0</v>
      </c>
      <c r="K86" s="75" t="s">
        <v>240</v>
      </c>
      <c r="L86" s="79">
        <v>44743</v>
      </c>
      <c r="M86" s="79"/>
      <c r="N86" s="43" t="s">
        <v>211</v>
      </c>
      <c r="O86" s="46" t="s">
        <v>429</v>
      </c>
      <c r="P86" s="43"/>
      <c r="Q86" s="43"/>
    </row>
    <row r="87" spans="1:17">
      <c r="A87" s="43" t="s">
        <v>230</v>
      </c>
      <c r="B87" s="44" t="s">
        <v>9</v>
      </c>
      <c r="C87" s="43" t="s">
        <v>207</v>
      </c>
      <c r="D87" s="43">
        <v>1.034</v>
      </c>
      <c r="E87" s="43">
        <f>50-50</f>
        <v>0</v>
      </c>
      <c r="F87" s="43">
        <f t="shared" si="17"/>
        <v>0</v>
      </c>
      <c r="G87" s="56">
        <f>テーブル1[[#This Row],[長さ(m)]]*テーブル1[[#This Row],[在庫(本)]]</f>
        <v>0</v>
      </c>
      <c r="H87" s="43">
        <f t="shared" si="12"/>
        <v>0</v>
      </c>
      <c r="I87" s="47">
        <v>2032.2833677337587</v>
      </c>
      <c r="J87" s="47">
        <f t="shared" si="16"/>
        <v>0</v>
      </c>
      <c r="K87" s="75" t="s">
        <v>240</v>
      </c>
      <c r="L87" s="79">
        <v>44743</v>
      </c>
      <c r="M87" s="79"/>
      <c r="N87" s="43" t="s">
        <v>211</v>
      </c>
      <c r="O87" s="46" t="s">
        <v>429</v>
      </c>
      <c r="P87" s="43"/>
      <c r="Q87" s="43"/>
    </row>
    <row r="88" spans="1:17">
      <c r="A88" s="43" t="s">
        <v>230</v>
      </c>
      <c r="B88" s="44" t="s">
        <v>9</v>
      </c>
      <c r="C88" s="43" t="s">
        <v>208</v>
      </c>
      <c r="D88" s="43">
        <v>1.034</v>
      </c>
      <c r="E88" s="43">
        <f>50-50</f>
        <v>0</v>
      </c>
      <c r="F88" s="43">
        <f t="shared" si="17"/>
        <v>0</v>
      </c>
      <c r="G88" s="56">
        <f>テーブル1[[#This Row],[長さ(m)]]*テーブル1[[#This Row],[在庫(本)]]</f>
        <v>0</v>
      </c>
      <c r="H88" s="43">
        <f t="shared" si="12"/>
        <v>0</v>
      </c>
      <c r="I88" s="47">
        <v>2032.2833677337587</v>
      </c>
      <c r="J88" s="47">
        <f t="shared" si="16"/>
        <v>0</v>
      </c>
      <c r="K88" s="75" t="s">
        <v>240</v>
      </c>
      <c r="L88" s="79">
        <v>44743</v>
      </c>
      <c r="M88" s="79"/>
      <c r="N88" s="43" t="s">
        <v>211</v>
      </c>
      <c r="O88" s="46" t="s">
        <v>429</v>
      </c>
      <c r="P88" s="43"/>
      <c r="Q88" s="43"/>
    </row>
    <row r="89" spans="1:17">
      <c r="A89" s="43" t="s">
        <v>230</v>
      </c>
      <c r="B89" s="44" t="s">
        <v>9</v>
      </c>
      <c r="C89" s="43" t="s">
        <v>209</v>
      </c>
      <c r="D89" s="43">
        <v>1.034</v>
      </c>
      <c r="E89" s="43">
        <f>4-2-1-1</f>
        <v>0</v>
      </c>
      <c r="F89" s="43">
        <f t="shared" si="17"/>
        <v>0</v>
      </c>
      <c r="G89" s="43">
        <f>テーブル1[[#This Row],[長さ(m)]]</f>
        <v>0</v>
      </c>
      <c r="H89" s="43">
        <f t="shared" si="12"/>
        <v>0</v>
      </c>
      <c r="I89" s="47">
        <v>2032.2833677337587</v>
      </c>
      <c r="J89" s="47">
        <f t="shared" si="16"/>
        <v>0</v>
      </c>
      <c r="K89" s="43" t="s">
        <v>18</v>
      </c>
      <c r="L89" s="79">
        <v>44743</v>
      </c>
      <c r="M89" s="79"/>
      <c r="N89" s="43" t="s">
        <v>218</v>
      </c>
      <c r="O89" s="46" t="s">
        <v>429</v>
      </c>
      <c r="P89" s="43"/>
      <c r="Q89" s="43"/>
    </row>
    <row r="90" spans="1:17">
      <c r="A90" s="43" t="s">
        <v>19</v>
      </c>
      <c r="B90" s="44" t="s">
        <v>9</v>
      </c>
      <c r="C90" s="43" t="s">
        <v>223</v>
      </c>
      <c r="D90" s="43">
        <v>1.2050000000000001</v>
      </c>
      <c r="E90" s="43">
        <f>4.4-4.4</f>
        <v>0</v>
      </c>
      <c r="F90" s="43">
        <f t="shared" si="17"/>
        <v>0</v>
      </c>
      <c r="G90" s="43">
        <f>テーブル1[[#This Row],[長さ(m)]]</f>
        <v>0</v>
      </c>
      <c r="H90" s="43">
        <f t="shared" si="12"/>
        <v>0</v>
      </c>
      <c r="I90" s="47">
        <v>1627.173279379994</v>
      </c>
      <c r="J90" s="47">
        <f>H90*I90</f>
        <v>0</v>
      </c>
      <c r="K90" s="43" t="s">
        <v>528</v>
      </c>
      <c r="L90" s="48">
        <v>44501</v>
      </c>
      <c r="M90" s="48"/>
      <c r="N90" s="43" t="s">
        <v>195</v>
      </c>
      <c r="O90" s="46" t="s">
        <v>430</v>
      </c>
      <c r="P90" s="75"/>
      <c r="Q90" s="75"/>
    </row>
    <row r="91" spans="1:17">
      <c r="A91" s="43" t="s">
        <v>8</v>
      </c>
      <c r="B91" s="44" t="s">
        <v>9</v>
      </c>
      <c r="C91" s="43" t="s">
        <v>226</v>
      </c>
      <c r="D91" s="43">
        <v>1.25</v>
      </c>
      <c r="E91" s="43">
        <f>25-3-2-0.5-4-2-1-1.7-2.4-0.9-1.8-0.8-1.5-0.6</f>
        <v>2.8000000000000003</v>
      </c>
      <c r="F91" s="43">
        <v>1</v>
      </c>
      <c r="G91" s="43">
        <f>テーブル1[[#This Row],[長さ(m)]]*テーブル1[[#This Row],[在庫(本)]]</f>
        <v>2.8000000000000003</v>
      </c>
      <c r="H91" s="43">
        <f t="shared" si="12"/>
        <v>3.5000000000000004</v>
      </c>
      <c r="I91" s="47">
        <v>986.79157138412597</v>
      </c>
      <c r="J91" s="47">
        <f>H91*I91</f>
        <v>3453.7704998444415</v>
      </c>
      <c r="K91" s="43" t="s">
        <v>42</v>
      </c>
      <c r="L91" s="48">
        <v>44440</v>
      </c>
      <c r="M91" s="48"/>
      <c r="N91" s="43" t="s">
        <v>227</v>
      </c>
      <c r="O91" s="46"/>
      <c r="P91" s="43"/>
      <c r="Q91" s="43"/>
    </row>
    <row r="92" spans="1:17">
      <c r="A92" s="43" t="s">
        <v>232</v>
      </c>
      <c r="B92" s="44" t="s">
        <v>9</v>
      </c>
      <c r="C92" s="43" t="s">
        <v>334</v>
      </c>
      <c r="D92" s="43">
        <v>1.204</v>
      </c>
      <c r="E92" s="43">
        <v>4.5</v>
      </c>
      <c r="F92" s="43">
        <v>1</v>
      </c>
      <c r="G92" s="43">
        <f>テーブル1[[#This Row],[長さ(m)]]</f>
        <v>4.5</v>
      </c>
      <c r="H92" s="43">
        <f t="shared" si="12"/>
        <v>5.4180000000000001</v>
      </c>
      <c r="I92" s="47">
        <v>1851.8122870175514</v>
      </c>
      <c r="J92" s="47">
        <f t="shared" ref="J92:J93" si="18">H92*I92</f>
        <v>10033.118971061094</v>
      </c>
      <c r="K92" s="43" t="s">
        <v>18</v>
      </c>
      <c r="L92" s="79">
        <v>44652</v>
      </c>
      <c r="M92" s="117"/>
      <c r="N92" s="98" t="s">
        <v>241</v>
      </c>
      <c r="O92" s="46" t="s">
        <v>431</v>
      </c>
      <c r="P92" s="43"/>
      <c r="Q92" s="43"/>
    </row>
    <row r="93" spans="1:17">
      <c r="A93" s="43" t="s">
        <v>232</v>
      </c>
      <c r="B93" s="44" t="s">
        <v>9</v>
      </c>
      <c r="C93" s="43" t="s">
        <v>229</v>
      </c>
      <c r="D93" s="43">
        <v>1.204</v>
      </c>
      <c r="E93" s="43">
        <f>24-5</f>
        <v>19</v>
      </c>
      <c r="F93" s="43">
        <v>1</v>
      </c>
      <c r="G93" s="43">
        <f>テーブル1[[#This Row],[長さ(m)]]</f>
        <v>19</v>
      </c>
      <c r="H93" s="43">
        <f t="shared" si="12"/>
        <v>22.875999999999998</v>
      </c>
      <c r="I93" s="47">
        <v>1851.8122870175514</v>
      </c>
      <c r="J93" s="47">
        <f t="shared" si="18"/>
        <v>42362.057877813502</v>
      </c>
      <c r="K93" s="43" t="s">
        <v>18</v>
      </c>
      <c r="L93" s="79">
        <v>44652</v>
      </c>
      <c r="M93" s="117"/>
      <c r="N93" s="98" t="s">
        <v>241</v>
      </c>
      <c r="O93" s="46" t="s">
        <v>431</v>
      </c>
      <c r="P93" s="75"/>
      <c r="Q93" s="75"/>
    </row>
    <row r="94" spans="1:17">
      <c r="A94" s="43" t="s">
        <v>8</v>
      </c>
      <c r="B94" s="44" t="s">
        <v>9</v>
      </c>
      <c r="C94" s="75" t="s">
        <v>333</v>
      </c>
      <c r="D94" s="75">
        <v>1.25</v>
      </c>
      <c r="E94" s="75">
        <f>25-12</f>
        <v>13</v>
      </c>
      <c r="F94" s="75">
        <v>1</v>
      </c>
      <c r="G94" s="43">
        <f>テーブル1[[#This Row],[長さ(m)]]</f>
        <v>13</v>
      </c>
      <c r="H94" s="75">
        <f t="shared" si="12"/>
        <v>16.25</v>
      </c>
      <c r="I94" s="76">
        <v>986.79157138412597</v>
      </c>
      <c r="J94" s="76">
        <f>H94*I94</f>
        <v>16035.363034992048</v>
      </c>
      <c r="K94" s="75" t="s">
        <v>234</v>
      </c>
      <c r="L94" s="48">
        <v>44440</v>
      </c>
      <c r="M94" s="79"/>
      <c r="N94" s="75"/>
      <c r="O94" s="57"/>
      <c r="P94" s="75"/>
      <c r="Q94" s="75"/>
    </row>
    <row r="95" spans="1:17">
      <c r="A95" s="43" t="s">
        <v>612</v>
      </c>
      <c r="B95" s="44" t="s">
        <v>336</v>
      </c>
      <c r="C95" s="43" t="s">
        <v>608</v>
      </c>
      <c r="D95" s="43">
        <v>1.29</v>
      </c>
      <c r="E95" s="43">
        <v>0</v>
      </c>
      <c r="F95" s="75">
        <v>0</v>
      </c>
      <c r="G95" s="75">
        <f t="shared" ref="G95:G101" si="19">E95*F95</f>
        <v>0</v>
      </c>
      <c r="H95" s="43">
        <f t="shared" si="12"/>
        <v>0</v>
      </c>
      <c r="I95" s="47">
        <v>157.1</v>
      </c>
      <c r="J95" s="47">
        <f>G95*I95</f>
        <v>0</v>
      </c>
      <c r="K95" s="75" t="s">
        <v>39</v>
      </c>
      <c r="L95" s="48">
        <v>44743</v>
      </c>
      <c r="M95" s="48" t="s">
        <v>40</v>
      </c>
      <c r="N95" s="43" t="s">
        <v>337</v>
      </c>
      <c r="O95" s="46"/>
      <c r="P95" s="43"/>
      <c r="Q95" s="71" t="s">
        <v>292</v>
      </c>
    </row>
    <row r="96" spans="1:17">
      <c r="A96" s="43" t="s">
        <v>612</v>
      </c>
      <c r="B96" s="44" t="s">
        <v>336</v>
      </c>
      <c r="C96" s="43" t="s">
        <v>338</v>
      </c>
      <c r="D96" s="43">
        <v>1.29</v>
      </c>
      <c r="E96" s="43">
        <v>0</v>
      </c>
      <c r="F96" s="75">
        <v>0</v>
      </c>
      <c r="G96" s="75">
        <f t="shared" si="19"/>
        <v>0</v>
      </c>
      <c r="H96" s="43">
        <f t="shared" si="12"/>
        <v>0</v>
      </c>
      <c r="I96" s="47">
        <v>157.1</v>
      </c>
      <c r="J96" s="47">
        <f t="shared" ref="J96:J101" si="20">G96*I96</f>
        <v>0</v>
      </c>
      <c r="K96" s="75" t="s">
        <v>39</v>
      </c>
      <c r="L96" s="48">
        <v>44743</v>
      </c>
      <c r="M96" s="48" t="s">
        <v>40</v>
      </c>
      <c r="N96" s="43" t="s">
        <v>338</v>
      </c>
      <c r="O96" s="46"/>
      <c r="P96" s="43"/>
      <c r="Q96" s="71" t="s">
        <v>344</v>
      </c>
    </row>
    <row r="97" spans="1:17">
      <c r="A97" s="43" t="s">
        <v>612</v>
      </c>
      <c r="B97" s="44" t="s">
        <v>336</v>
      </c>
      <c r="C97" s="43" t="s">
        <v>339</v>
      </c>
      <c r="D97" s="43">
        <v>1.29</v>
      </c>
      <c r="E97" s="43">
        <v>0</v>
      </c>
      <c r="F97" s="75">
        <v>0</v>
      </c>
      <c r="G97" s="75">
        <f t="shared" si="19"/>
        <v>0</v>
      </c>
      <c r="H97" s="43">
        <f t="shared" si="12"/>
        <v>0</v>
      </c>
      <c r="I97" s="47">
        <v>157.1</v>
      </c>
      <c r="J97" s="47">
        <f t="shared" si="20"/>
        <v>0</v>
      </c>
      <c r="K97" s="75" t="s">
        <v>39</v>
      </c>
      <c r="L97" s="48">
        <v>44743</v>
      </c>
      <c r="M97" s="48" t="s">
        <v>40</v>
      </c>
      <c r="N97" s="43" t="s">
        <v>339</v>
      </c>
      <c r="O97" s="46"/>
      <c r="P97" s="43"/>
      <c r="Q97" s="71" t="s">
        <v>345</v>
      </c>
    </row>
    <row r="98" spans="1:17">
      <c r="A98" s="43" t="s">
        <v>612</v>
      </c>
      <c r="B98" s="44" t="s">
        <v>336</v>
      </c>
      <c r="C98" s="43" t="s">
        <v>340</v>
      </c>
      <c r="D98" s="43">
        <v>1.29</v>
      </c>
      <c r="E98" s="43">
        <v>0</v>
      </c>
      <c r="F98" s="75">
        <v>0</v>
      </c>
      <c r="G98" s="75">
        <f t="shared" si="19"/>
        <v>0</v>
      </c>
      <c r="H98" s="43">
        <f t="shared" si="12"/>
        <v>0</v>
      </c>
      <c r="I98" s="47">
        <v>157.1</v>
      </c>
      <c r="J98" s="47">
        <f t="shared" si="20"/>
        <v>0</v>
      </c>
      <c r="K98" s="75" t="s">
        <v>39</v>
      </c>
      <c r="L98" s="48">
        <v>44743</v>
      </c>
      <c r="M98" s="48" t="s">
        <v>40</v>
      </c>
      <c r="N98" s="43" t="s">
        <v>340</v>
      </c>
      <c r="O98" s="46"/>
      <c r="P98" s="43"/>
      <c r="Q98" s="71" t="s">
        <v>345</v>
      </c>
    </row>
    <row r="99" spans="1:17">
      <c r="A99" s="43" t="s">
        <v>612</v>
      </c>
      <c r="B99" s="44" t="s">
        <v>336</v>
      </c>
      <c r="C99" s="43" t="s">
        <v>341</v>
      </c>
      <c r="D99" s="43">
        <v>1.29</v>
      </c>
      <c r="E99" s="43">
        <f>680-180-500</f>
        <v>0</v>
      </c>
      <c r="F99" s="75">
        <f>1-1</f>
        <v>0</v>
      </c>
      <c r="G99" s="75">
        <f t="shared" si="19"/>
        <v>0</v>
      </c>
      <c r="H99" s="43">
        <f t="shared" si="12"/>
        <v>0</v>
      </c>
      <c r="I99" s="47">
        <v>157.1</v>
      </c>
      <c r="J99" s="47">
        <f t="shared" si="20"/>
        <v>0</v>
      </c>
      <c r="K99" s="75" t="s">
        <v>39</v>
      </c>
      <c r="L99" s="48">
        <v>44743</v>
      </c>
      <c r="M99" s="48" t="s">
        <v>40</v>
      </c>
      <c r="N99" s="43" t="s">
        <v>341</v>
      </c>
      <c r="O99" s="46"/>
      <c r="P99" s="43"/>
      <c r="Q99" s="71" t="s">
        <v>345</v>
      </c>
    </row>
    <row r="100" spans="1:17">
      <c r="A100" s="43" t="s">
        <v>612</v>
      </c>
      <c r="B100" s="44" t="s">
        <v>336</v>
      </c>
      <c r="C100" s="43" t="s">
        <v>342</v>
      </c>
      <c r="D100" s="43">
        <v>1.29</v>
      </c>
      <c r="E100" s="43">
        <v>0</v>
      </c>
      <c r="F100" s="75">
        <v>0</v>
      </c>
      <c r="G100" s="75">
        <f t="shared" si="19"/>
        <v>0</v>
      </c>
      <c r="H100" s="43">
        <f t="shared" si="12"/>
        <v>0</v>
      </c>
      <c r="I100" s="47">
        <v>157.1</v>
      </c>
      <c r="J100" s="47">
        <f t="shared" si="20"/>
        <v>0</v>
      </c>
      <c r="K100" s="75" t="s">
        <v>39</v>
      </c>
      <c r="L100" s="48">
        <v>44743</v>
      </c>
      <c r="M100" s="48" t="s">
        <v>40</v>
      </c>
      <c r="N100" s="43" t="s">
        <v>342</v>
      </c>
      <c r="O100" s="46"/>
      <c r="P100" s="43"/>
      <c r="Q100" s="71" t="s">
        <v>345</v>
      </c>
    </row>
    <row r="101" spans="1:17">
      <c r="A101" s="43" t="s">
        <v>612</v>
      </c>
      <c r="B101" s="44" t="s">
        <v>336</v>
      </c>
      <c r="C101" s="43" t="s">
        <v>343</v>
      </c>
      <c r="D101" s="43">
        <v>1.29</v>
      </c>
      <c r="E101" s="43">
        <f>1000-1000</f>
        <v>0</v>
      </c>
      <c r="F101" s="75">
        <f>1-1</f>
        <v>0</v>
      </c>
      <c r="G101" s="75">
        <f t="shared" si="19"/>
        <v>0</v>
      </c>
      <c r="H101" s="43">
        <f t="shared" si="12"/>
        <v>0</v>
      </c>
      <c r="I101" s="47">
        <v>157.1</v>
      </c>
      <c r="J101" s="47">
        <f t="shared" si="20"/>
        <v>0</v>
      </c>
      <c r="K101" s="75" t="s">
        <v>39</v>
      </c>
      <c r="L101" s="48">
        <v>44743</v>
      </c>
      <c r="M101" s="48" t="s">
        <v>40</v>
      </c>
      <c r="N101" s="43" t="s">
        <v>343</v>
      </c>
      <c r="O101" s="46"/>
      <c r="P101" s="43"/>
      <c r="Q101" s="71" t="s">
        <v>345</v>
      </c>
    </row>
    <row r="102" spans="1:17">
      <c r="A102" s="87" t="s">
        <v>34</v>
      </c>
      <c r="B102" s="88" t="s">
        <v>9</v>
      </c>
      <c r="C102" s="87" t="s">
        <v>242</v>
      </c>
      <c r="D102" s="87">
        <v>1.29</v>
      </c>
      <c r="E102" s="87">
        <f>1008-1008+90</f>
        <v>90</v>
      </c>
      <c r="F102" s="89">
        <f>1-1+1</f>
        <v>1</v>
      </c>
      <c r="G102" s="87">
        <f>テーブル1[[#This Row],[長さ(m)]]</f>
        <v>90</v>
      </c>
      <c r="H102" s="87">
        <f t="shared" si="12"/>
        <v>116.10000000000001</v>
      </c>
      <c r="I102" s="90">
        <v>803.27333769610118</v>
      </c>
      <c r="J102" s="90">
        <f t="shared" ref="J102:J109" si="21">H102*I102</f>
        <v>93260.034506517361</v>
      </c>
      <c r="K102" s="87" t="s">
        <v>39</v>
      </c>
      <c r="L102" s="91">
        <v>44805</v>
      </c>
      <c r="M102" s="91"/>
      <c r="N102" s="87"/>
      <c r="O102" s="92"/>
      <c r="P102" s="43" t="s">
        <v>467</v>
      </c>
      <c r="Q102" s="71" t="s">
        <v>249</v>
      </c>
    </row>
    <row r="103" spans="1:17">
      <c r="A103" s="87" t="s">
        <v>34</v>
      </c>
      <c r="B103" s="88" t="s">
        <v>9</v>
      </c>
      <c r="C103" s="87" t="s">
        <v>828</v>
      </c>
      <c r="D103" s="87">
        <v>1.29</v>
      </c>
      <c r="E103" s="87">
        <f>1005-1005</f>
        <v>0</v>
      </c>
      <c r="F103" s="89">
        <f>1-1</f>
        <v>0</v>
      </c>
      <c r="G103" s="87">
        <f>テーブル1[[#This Row],[長さ(m)]]</f>
        <v>0</v>
      </c>
      <c r="H103" s="87">
        <f t="shared" si="12"/>
        <v>0</v>
      </c>
      <c r="I103" s="90">
        <v>803.27333769610118</v>
      </c>
      <c r="J103" s="90">
        <f t="shared" si="21"/>
        <v>0</v>
      </c>
      <c r="K103" s="87" t="s">
        <v>39</v>
      </c>
      <c r="L103" s="91">
        <v>44805</v>
      </c>
      <c r="M103" s="91"/>
      <c r="N103" s="87" t="s">
        <v>829</v>
      </c>
      <c r="O103" s="92"/>
      <c r="P103" s="43" t="s">
        <v>467</v>
      </c>
      <c r="Q103" s="71" t="s">
        <v>250</v>
      </c>
    </row>
    <row r="104" spans="1:17">
      <c r="A104" s="87" t="s">
        <v>34</v>
      </c>
      <c r="B104" s="88" t="s">
        <v>9</v>
      </c>
      <c r="C104" s="87" t="s">
        <v>243</v>
      </c>
      <c r="D104" s="87">
        <v>1.29</v>
      </c>
      <c r="E104" s="87">
        <f>1012</f>
        <v>1012</v>
      </c>
      <c r="F104" s="89">
        <f>1</f>
        <v>1</v>
      </c>
      <c r="G104" s="87">
        <f>テーブル1[[#This Row],[長さ(m)]]</f>
        <v>1012</v>
      </c>
      <c r="H104" s="87">
        <f t="shared" si="12"/>
        <v>1305.48</v>
      </c>
      <c r="I104" s="90">
        <v>803.27333769610107</v>
      </c>
      <c r="J104" s="90">
        <f t="shared" si="21"/>
        <v>1048657.2768955061</v>
      </c>
      <c r="K104" s="87" t="s">
        <v>39</v>
      </c>
      <c r="L104" s="91">
        <v>44805</v>
      </c>
      <c r="M104" s="91"/>
      <c r="N104" s="87"/>
      <c r="O104" s="92"/>
      <c r="P104" s="43" t="s">
        <v>467</v>
      </c>
      <c r="Q104" s="71" t="s">
        <v>250</v>
      </c>
    </row>
    <row r="105" spans="1:17">
      <c r="A105" s="87" t="s">
        <v>34</v>
      </c>
      <c r="B105" s="88" t="s">
        <v>9</v>
      </c>
      <c r="C105" s="87" t="s">
        <v>244</v>
      </c>
      <c r="D105" s="87">
        <v>1.29</v>
      </c>
      <c r="E105" s="87">
        <f>1138-1138</f>
        <v>0</v>
      </c>
      <c r="F105" s="89">
        <f>1-1</f>
        <v>0</v>
      </c>
      <c r="G105" s="87">
        <f>テーブル1[[#This Row],[長さ(m)]]</f>
        <v>0</v>
      </c>
      <c r="H105" s="87">
        <f t="shared" si="12"/>
        <v>0</v>
      </c>
      <c r="I105" s="90">
        <v>803.27333769610118</v>
      </c>
      <c r="J105" s="90">
        <f t="shared" si="21"/>
        <v>0</v>
      </c>
      <c r="K105" s="87" t="s">
        <v>39</v>
      </c>
      <c r="L105" s="91">
        <v>44805</v>
      </c>
      <c r="M105" s="91"/>
      <c r="N105" s="87"/>
      <c r="O105" s="92"/>
      <c r="P105" s="43" t="s">
        <v>467</v>
      </c>
      <c r="Q105" s="71" t="s">
        <v>251</v>
      </c>
    </row>
    <row r="106" spans="1:17">
      <c r="A106" s="87" t="s">
        <v>34</v>
      </c>
      <c r="B106" s="88" t="s">
        <v>9</v>
      </c>
      <c r="C106" s="87" t="s">
        <v>245</v>
      </c>
      <c r="D106" s="87">
        <v>1.29</v>
      </c>
      <c r="E106" s="87">
        <f>1006-1006</f>
        <v>0</v>
      </c>
      <c r="F106" s="89">
        <f>1-1</f>
        <v>0</v>
      </c>
      <c r="G106" s="87">
        <f>テーブル1[[#This Row],[長さ(m)]]</f>
        <v>0</v>
      </c>
      <c r="H106" s="87">
        <f t="shared" si="12"/>
        <v>0</v>
      </c>
      <c r="I106" s="90">
        <v>803.27333769610118</v>
      </c>
      <c r="J106" s="90">
        <f t="shared" si="21"/>
        <v>0</v>
      </c>
      <c r="K106" s="87" t="s">
        <v>39</v>
      </c>
      <c r="L106" s="91">
        <v>44805</v>
      </c>
      <c r="M106" s="91"/>
      <c r="N106" s="87"/>
      <c r="O106" s="92"/>
      <c r="P106" s="43" t="s">
        <v>467</v>
      </c>
      <c r="Q106" s="71" t="s">
        <v>251</v>
      </c>
    </row>
    <row r="107" spans="1:17">
      <c r="A107" s="49" t="s">
        <v>37</v>
      </c>
      <c r="B107" s="49" t="s">
        <v>38</v>
      </c>
      <c r="C107" s="49" t="s">
        <v>246</v>
      </c>
      <c r="D107" s="49">
        <v>1.29</v>
      </c>
      <c r="E107" s="49">
        <f>1078-1078</f>
        <v>0</v>
      </c>
      <c r="F107" s="80">
        <f>1-1</f>
        <v>0</v>
      </c>
      <c r="G107" s="49">
        <f>テーブル1[[#This Row],[長さ(m)]]</f>
        <v>0</v>
      </c>
      <c r="H107" s="49">
        <f t="shared" si="12"/>
        <v>0</v>
      </c>
      <c r="I107" s="53">
        <v>798.67812059143489</v>
      </c>
      <c r="J107" s="53">
        <f t="shared" si="21"/>
        <v>0</v>
      </c>
      <c r="K107" s="49" t="s">
        <v>39</v>
      </c>
      <c r="L107" s="55">
        <v>44805</v>
      </c>
      <c r="M107" s="55"/>
      <c r="N107" s="43"/>
      <c r="O107" s="46"/>
      <c r="P107" s="43"/>
      <c r="Q107" s="71" t="s">
        <v>252</v>
      </c>
    </row>
    <row r="108" spans="1:17">
      <c r="A108" s="49" t="s">
        <v>37</v>
      </c>
      <c r="B108" s="49" t="s">
        <v>38</v>
      </c>
      <c r="C108" s="49" t="s">
        <v>247</v>
      </c>
      <c r="D108" s="49">
        <v>1.29</v>
      </c>
      <c r="E108" s="49">
        <f>1078-1078+126</f>
        <v>126</v>
      </c>
      <c r="F108" s="80">
        <f>1</f>
        <v>1</v>
      </c>
      <c r="G108" s="49">
        <f>テーブル1[[#This Row],[長さ(m)]]</f>
        <v>126</v>
      </c>
      <c r="H108" s="49">
        <f t="shared" si="12"/>
        <v>162.54</v>
      </c>
      <c r="I108" s="53">
        <v>798.67812059143489</v>
      </c>
      <c r="J108" s="53">
        <f t="shared" si="21"/>
        <v>129817.14172093182</v>
      </c>
      <c r="K108" s="49" t="s">
        <v>39</v>
      </c>
      <c r="L108" s="55">
        <v>44805</v>
      </c>
      <c r="M108" s="55"/>
      <c r="N108" s="43"/>
      <c r="O108" s="46"/>
      <c r="P108" s="43"/>
      <c r="Q108" s="71" t="s">
        <v>252</v>
      </c>
    </row>
    <row r="109" spans="1:17">
      <c r="A109" s="49" t="s">
        <v>37</v>
      </c>
      <c r="B109" s="49" t="s">
        <v>13</v>
      </c>
      <c r="C109" s="80" t="s">
        <v>248</v>
      </c>
      <c r="D109" s="49">
        <v>1.29</v>
      </c>
      <c r="E109" s="80">
        <f>1042-1042</f>
        <v>0</v>
      </c>
      <c r="F109" s="80">
        <f>1-1</f>
        <v>0</v>
      </c>
      <c r="G109" s="49">
        <f>テーブル1[[#This Row],[長さ(m)]]</f>
        <v>0</v>
      </c>
      <c r="H109" s="80">
        <f t="shared" si="12"/>
        <v>0</v>
      </c>
      <c r="I109" s="53">
        <v>798.67812059143489</v>
      </c>
      <c r="J109" s="82">
        <f t="shared" si="21"/>
        <v>0</v>
      </c>
      <c r="K109" s="49" t="s">
        <v>39</v>
      </c>
      <c r="L109" s="55">
        <v>44805</v>
      </c>
      <c r="M109" s="55"/>
      <c r="N109" s="49"/>
      <c r="O109" s="83"/>
      <c r="P109" s="80"/>
      <c r="Q109" s="100" t="s">
        <v>253</v>
      </c>
    </row>
    <row r="110" spans="1:17">
      <c r="A110" s="49" t="s">
        <v>230</v>
      </c>
      <c r="B110" s="49" t="s">
        <v>38</v>
      </c>
      <c r="C110" s="49" t="s">
        <v>254</v>
      </c>
      <c r="D110" s="49">
        <v>1.0329999999999999</v>
      </c>
      <c r="E110" s="49">
        <f>50-50</f>
        <v>0</v>
      </c>
      <c r="F110" s="49">
        <f>1-1</f>
        <v>0</v>
      </c>
      <c r="G110" s="49">
        <f>テーブル1[[#This Row],[長さ(m)]]</f>
        <v>0</v>
      </c>
      <c r="H110" s="49">
        <f t="shared" si="12"/>
        <v>0</v>
      </c>
      <c r="I110" s="53">
        <v>2002.5714855375395</v>
      </c>
      <c r="J110" s="53">
        <f t="shared" ref="J110:J119" si="22">H110*I110</f>
        <v>0</v>
      </c>
      <c r="K110" s="49" t="s">
        <v>18</v>
      </c>
      <c r="L110" s="55">
        <v>44774</v>
      </c>
      <c r="M110" s="55"/>
      <c r="N110" s="43" t="s">
        <v>432</v>
      </c>
      <c r="O110" s="46" t="s">
        <v>429</v>
      </c>
      <c r="P110" s="43"/>
      <c r="Q110" s="43"/>
    </row>
    <row r="111" spans="1:17">
      <c r="A111" s="49" t="s">
        <v>230</v>
      </c>
      <c r="B111" s="49" t="s">
        <v>38</v>
      </c>
      <c r="C111" s="49" t="s">
        <v>255</v>
      </c>
      <c r="D111" s="49">
        <v>1.0329999999999999</v>
      </c>
      <c r="E111" s="49">
        <v>50</v>
      </c>
      <c r="F111" s="49">
        <v>1</v>
      </c>
      <c r="G111" s="49">
        <f>テーブル1[[#This Row],[長さ(m)]]</f>
        <v>50</v>
      </c>
      <c r="H111" s="49">
        <f t="shared" si="12"/>
        <v>51.65</v>
      </c>
      <c r="I111" s="53">
        <v>2002.5714855375395</v>
      </c>
      <c r="J111" s="53">
        <f t="shared" si="22"/>
        <v>103432.81722801391</v>
      </c>
      <c r="K111" s="49" t="s">
        <v>18</v>
      </c>
      <c r="L111" s="55">
        <v>44774</v>
      </c>
      <c r="M111" s="55"/>
      <c r="N111" s="43" t="s">
        <v>432</v>
      </c>
      <c r="O111" s="46" t="s">
        <v>429</v>
      </c>
      <c r="P111" s="43"/>
      <c r="Q111" s="43"/>
    </row>
    <row r="112" spans="1:17">
      <c r="A112" s="49" t="s">
        <v>230</v>
      </c>
      <c r="B112" s="49" t="s">
        <v>38</v>
      </c>
      <c r="C112" s="49" t="s">
        <v>256</v>
      </c>
      <c r="D112" s="49">
        <v>1.0329999999999999</v>
      </c>
      <c r="E112" s="49">
        <v>50</v>
      </c>
      <c r="F112" s="49">
        <v>1</v>
      </c>
      <c r="G112" s="49">
        <f>テーブル1[[#This Row],[長さ(m)]]</f>
        <v>50</v>
      </c>
      <c r="H112" s="49">
        <f t="shared" si="12"/>
        <v>51.65</v>
      </c>
      <c r="I112" s="53">
        <v>2002.5714855375395</v>
      </c>
      <c r="J112" s="53">
        <f t="shared" si="22"/>
        <v>103432.81722801391</v>
      </c>
      <c r="K112" s="49" t="s">
        <v>18</v>
      </c>
      <c r="L112" s="55">
        <v>44774</v>
      </c>
      <c r="M112" s="55"/>
      <c r="N112" s="43" t="s">
        <v>432</v>
      </c>
      <c r="O112" s="46" t="s">
        <v>429</v>
      </c>
      <c r="P112" s="43"/>
      <c r="Q112" s="43"/>
    </row>
    <row r="113" spans="1:17">
      <c r="A113" s="49" t="s">
        <v>230</v>
      </c>
      <c r="B113" s="49" t="s">
        <v>38</v>
      </c>
      <c r="C113" s="49" t="s">
        <v>257</v>
      </c>
      <c r="D113" s="49">
        <v>1.0329999999999999</v>
      </c>
      <c r="E113" s="49">
        <v>45</v>
      </c>
      <c r="F113" s="49">
        <v>1</v>
      </c>
      <c r="G113" s="49">
        <f>テーブル1[[#This Row],[長さ(m)]]</f>
        <v>45</v>
      </c>
      <c r="H113" s="49">
        <f t="shared" si="12"/>
        <v>46.484999999999999</v>
      </c>
      <c r="I113" s="53">
        <v>2002.5714855375393</v>
      </c>
      <c r="J113" s="53">
        <f t="shared" si="22"/>
        <v>93089.535505212509</v>
      </c>
      <c r="K113" s="49" t="s">
        <v>18</v>
      </c>
      <c r="L113" s="55">
        <v>44774</v>
      </c>
      <c r="M113" s="55"/>
      <c r="N113" s="43" t="s">
        <v>432</v>
      </c>
      <c r="O113" s="46" t="s">
        <v>429</v>
      </c>
      <c r="P113" s="43"/>
      <c r="Q113" s="43"/>
    </row>
    <row r="114" spans="1:17">
      <c r="A114" s="43" t="s">
        <v>230</v>
      </c>
      <c r="B114" s="44" t="s">
        <v>9</v>
      </c>
      <c r="C114" s="43" t="s">
        <v>258</v>
      </c>
      <c r="D114" s="43">
        <v>1.0329999999999999</v>
      </c>
      <c r="E114" s="43">
        <f>50-28-10</f>
        <v>12</v>
      </c>
      <c r="F114" s="43">
        <f>1</f>
        <v>1</v>
      </c>
      <c r="G114" s="43">
        <f>テーブル1[[#This Row],[長さ(m)]]</f>
        <v>12</v>
      </c>
      <c r="H114" s="43">
        <f t="shared" si="12"/>
        <v>12.395999999999999</v>
      </c>
      <c r="I114" s="47">
        <v>2027.9655087612023</v>
      </c>
      <c r="J114" s="47">
        <f t="shared" si="22"/>
        <v>25138.660446603863</v>
      </c>
      <c r="K114" s="43" t="s">
        <v>240</v>
      </c>
      <c r="L114" s="48">
        <v>44774</v>
      </c>
      <c r="M114" s="48"/>
      <c r="N114" s="43" t="s">
        <v>432</v>
      </c>
      <c r="O114" s="46" t="s">
        <v>429</v>
      </c>
      <c r="P114" s="43"/>
      <c r="Q114" s="43"/>
    </row>
    <row r="115" spans="1:17">
      <c r="A115" s="43" t="s">
        <v>230</v>
      </c>
      <c r="B115" s="44" t="s">
        <v>9</v>
      </c>
      <c r="C115" s="43" t="s">
        <v>259</v>
      </c>
      <c r="D115" s="43">
        <v>1.0329999999999999</v>
      </c>
      <c r="E115" s="43">
        <v>50</v>
      </c>
      <c r="F115" s="43">
        <v>1</v>
      </c>
      <c r="G115" s="43">
        <f>テーブル1[[#This Row],[長さ(m)]]</f>
        <v>50</v>
      </c>
      <c r="H115" s="43">
        <f t="shared" si="12"/>
        <v>51.65</v>
      </c>
      <c r="I115" s="47">
        <v>2027.9655087612023</v>
      </c>
      <c r="J115" s="47">
        <f t="shared" si="22"/>
        <v>104744.4185275161</v>
      </c>
      <c r="K115" s="43" t="s">
        <v>240</v>
      </c>
      <c r="L115" s="48">
        <v>44774</v>
      </c>
      <c r="M115" s="48"/>
      <c r="N115" s="43" t="s">
        <v>432</v>
      </c>
      <c r="O115" s="46" t="s">
        <v>429</v>
      </c>
      <c r="P115" s="43"/>
      <c r="Q115" s="43"/>
    </row>
    <row r="116" spans="1:17">
      <c r="A116" s="43" t="s">
        <v>230</v>
      </c>
      <c r="B116" s="44" t="s">
        <v>9</v>
      </c>
      <c r="C116" s="43" t="s">
        <v>260</v>
      </c>
      <c r="D116" s="43">
        <v>1.0329999999999999</v>
      </c>
      <c r="E116" s="43">
        <v>50</v>
      </c>
      <c r="F116" s="43">
        <v>1</v>
      </c>
      <c r="G116" s="43">
        <f>テーブル1[[#This Row],[長さ(m)]]</f>
        <v>50</v>
      </c>
      <c r="H116" s="43">
        <f t="shared" si="12"/>
        <v>51.65</v>
      </c>
      <c r="I116" s="47">
        <v>2027.9655087612023</v>
      </c>
      <c r="J116" s="47">
        <f t="shared" si="22"/>
        <v>104744.4185275161</v>
      </c>
      <c r="K116" s="43" t="s">
        <v>240</v>
      </c>
      <c r="L116" s="48">
        <v>44774</v>
      </c>
      <c r="M116" s="48"/>
      <c r="N116" s="43" t="s">
        <v>432</v>
      </c>
      <c r="O116" s="46" t="s">
        <v>429</v>
      </c>
      <c r="P116" s="43"/>
      <c r="Q116" s="43"/>
    </row>
    <row r="117" spans="1:17">
      <c r="A117" s="43" t="s">
        <v>230</v>
      </c>
      <c r="B117" s="44" t="s">
        <v>9</v>
      </c>
      <c r="C117" s="43" t="s">
        <v>261</v>
      </c>
      <c r="D117" s="43">
        <v>1.0329999999999999</v>
      </c>
      <c r="E117" s="43">
        <v>50</v>
      </c>
      <c r="F117" s="43">
        <v>1</v>
      </c>
      <c r="G117" s="43">
        <f>テーブル1[[#This Row],[長さ(m)]]</f>
        <v>50</v>
      </c>
      <c r="H117" s="43">
        <f t="shared" si="12"/>
        <v>51.65</v>
      </c>
      <c r="I117" s="47">
        <v>2027.9655087612023</v>
      </c>
      <c r="J117" s="47">
        <f t="shared" si="22"/>
        <v>104744.4185275161</v>
      </c>
      <c r="K117" s="43" t="s">
        <v>240</v>
      </c>
      <c r="L117" s="48">
        <v>44774</v>
      </c>
      <c r="M117" s="48"/>
      <c r="N117" s="43" t="s">
        <v>432</v>
      </c>
      <c r="O117" s="46" t="s">
        <v>429</v>
      </c>
      <c r="P117" s="43"/>
      <c r="Q117" s="43"/>
    </row>
    <row r="118" spans="1:17">
      <c r="A118" s="43" t="s">
        <v>230</v>
      </c>
      <c r="B118" s="44" t="s">
        <v>9</v>
      </c>
      <c r="C118" s="43" t="s">
        <v>262</v>
      </c>
      <c r="D118" s="43">
        <v>1.0329999999999999</v>
      </c>
      <c r="E118" s="43">
        <v>50</v>
      </c>
      <c r="F118" s="43">
        <v>1</v>
      </c>
      <c r="G118" s="43">
        <f>テーブル1[[#This Row],[長さ(m)]]</f>
        <v>50</v>
      </c>
      <c r="H118" s="43">
        <f t="shared" si="12"/>
        <v>51.65</v>
      </c>
      <c r="I118" s="47">
        <v>2027.9655087612023</v>
      </c>
      <c r="J118" s="47">
        <f t="shared" si="22"/>
        <v>104744.4185275161</v>
      </c>
      <c r="K118" s="43" t="s">
        <v>240</v>
      </c>
      <c r="L118" s="48">
        <v>44774</v>
      </c>
      <c r="M118" s="48"/>
      <c r="N118" s="43" t="s">
        <v>432</v>
      </c>
      <c r="O118" s="46" t="s">
        <v>429</v>
      </c>
      <c r="P118" s="43"/>
      <c r="Q118" s="43"/>
    </row>
    <row r="119" spans="1:17">
      <c r="A119" s="43" t="s">
        <v>230</v>
      </c>
      <c r="B119" s="44" t="s">
        <v>9</v>
      </c>
      <c r="C119" s="75" t="s">
        <v>263</v>
      </c>
      <c r="D119" s="43">
        <v>1.0329999999999999</v>
      </c>
      <c r="E119" s="75">
        <f>39.5-3-5-2-1-7-2-5-10-3-1</f>
        <v>0.5</v>
      </c>
      <c r="F119" s="43">
        <v>1</v>
      </c>
      <c r="G119" s="43">
        <f>テーブル1[[#This Row],[長さ(m)]]</f>
        <v>0.5</v>
      </c>
      <c r="H119" s="75">
        <f t="shared" si="12"/>
        <v>0.51649999999999996</v>
      </c>
      <c r="I119" s="76">
        <v>2027.9655087612023</v>
      </c>
      <c r="J119" s="76">
        <f t="shared" si="22"/>
        <v>1047.4441852751609</v>
      </c>
      <c r="K119" s="43" t="s">
        <v>240</v>
      </c>
      <c r="L119" s="48">
        <v>44774</v>
      </c>
      <c r="M119" s="48"/>
      <c r="N119" s="43" t="s">
        <v>432</v>
      </c>
      <c r="O119" s="46" t="s">
        <v>429</v>
      </c>
      <c r="P119" s="75"/>
      <c r="Q119" s="75"/>
    </row>
    <row r="120" spans="1:17">
      <c r="A120" s="43" t="s">
        <v>21</v>
      </c>
      <c r="B120" s="44" t="s">
        <v>9</v>
      </c>
      <c r="C120" s="43" t="s">
        <v>264</v>
      </c>
      <c r="D120" s="43">
        <v>1.042</v>
      </c>
      <c r="E120" s="43">
        <v>50</v>
      </c>
      <c r="F120" s="43">
        <v>1</v>
      </c>
      <c r="G120" s="43">
        <f>テーブル1[[#This Row],[長さ(m)]]</f>
        <v>50</v>
      </c>
      <c r="H120" s="43">
        <f t="shared" si="12"/>
        <v>52.1</v>
      </c>
      <c r="I120" s="47">
        <v>3466.503992175597</v>
      </c>
      <c r="J120" s="47">
        <f t="shared" ref="J120:J136" si="23">H120*I120</f>
        <v>180604.85799234861</v>
      </c>
      <c r="K120" s="43" t="s">
        <v>240</v>
      </c>
      <c r="L120" s="48">
        <v>44805</v>
      </c>
      <c r="M120" s="48"/>
      <c r="N120" s="43" t="s">
        <v>434</v>
      </c>
      <c r="O120" s="46" t="s">
        <v>431</v>
      </c>
      <c r="P120" s="43"/>
      <c r="Q120" s="43"/>
    </row>
    <row r="121" spans="1:17">
      <c r="A121" s="43" t="s">
        <v>21</v>
      </c>
      <c r="B121" s="44" t="s">
        <v>9</v>
      </c>
      <c r="C121" s="43" t="s">
        <v>265</v>
      </c>
      <c r="D121" s="43">
        <v>1.042</v>
      </c>
      <c r="E121" s="43">
        <v>50</v>
      </c>
      <c r="F121" s="43">
        <v>1</v>
      </c>
      <c r="G121" s="43">
        <f>テーブル1[[#This Row],[長さ(m)]]</f>
        <v>50</v>
      </c>
      <c r="H121" s="43">
        <f t="shared" si="12"/>
        <v>52.1</v>
      </c>
      <c r="I121" s="47">
        <v>3466.503992175597</v>
      </c>
      <c r="J121" s="47">
        <f t="shared" si="23"/>
        <v>180604.85799234861</v>
      </c>
      <c r="K121" s="43" t="s">
        <v>240</v>
      </c>
      <c r="L121" s="48">
        <v>44805</v>
      </c>
      <c r="M121" s="48"/>
      <c r="N121" s="43" t="s">
        <v>434</v>
      </c>
      <c r="O121" s="46" t="s">
        <v>431</v>
      </c>
      <c r="P121" s="43"/>
      <c r="Q121" s="43"/>
    </row>
    <row r="122" spans="1:17">
      <c r="A122" s="43" t="s">
        <v>21</v>
      </c>
      <c r="B122" s="44" t="s">
        <v>9</v>
      </c>
      <c r="C122" s="43" t="s">
        <v>266</v>
      </c>
      <c r="D122" s="43">
        <v>1.042</v>
      </c>
      <c r="E122" s="43">
        <v>50</v>
      </c>
      <c r="F122" s="43">
        <v>1</v>
      </c>
      <c r="G122" s="43">
        <f>テーブル1[[#This Row],[長さ(m)]]</f>
        <v>50</v>
      </c>
      <c r="H122" s="43">
        <f t="shared" ref="H122:H178" si="24">D122*G122</f>
        <v>52.1</v>
      </c>
      <c r="I122" s="47">
        <v>3466.503992175597</v>
      </c>
      <c r="J122" s="47">
        <f t="shared" si="23"/>
        <v>180604.85799234861</v>
      </c>
      <c r="K122" s="43" t="s">
        <v>240</v>
      </c>
      <c r="L122" s="48">
        <v>44805</v>
      </c>
      <c r="M122" s="48"/>
      <c r="N122" s="43" t="s">
        <v>434</v>
      </c>
      <c r="O122" s="46" t="s">
        <v>431</v>
      </c>
      <c r="P122" s="43"/>
      <c r="Q122" s="43"/>
    </row>
    <row r="123" spans="1:17">
      <c r="A123" s="43" t="s">
        <v>21</v>
      </c>
      <c r="B123" s="44" t="s">
        <v>9</v>
      </c>
      <c r="C123" s="43" t="s">
        <v>267</v>
      </c>
      <c r="D123" s="43">
        <v>1.042</v>
      </c>
      <c r="E123" s="43">
        <v>50</v>
      </c>
      <c r="F123" s="43">
        <v>1</v>
      </c>
      <c r="G123" s="43">
        <f>テーブル1[[#This Row],[長さ(m)]]</f>
        <v>50</v>
      </c>
      <c r="H123" s="43">
        <f t="shared" si="24"/>
        <v>52.1</v>
      </c>
      <c r="I123" s="47">
        <v>3466.503992175597</v>
      </c>
      <c r="J123" s="47">
        <f t="shared" si="23"/>
        <v>180604.85799234861</v>
      </c>
      <c r="K123" s="43" t="s">
        <v>240</v>
      </c>
      <c r="L123" s="48">
        <v>44805</v>
      </c>
      <c r="M123" s="48"/>
      <c r="N123" s="43" t="s">
        <v>434</v>
      </c>
      <c r="O123" s="46" t="s">
        <v>431</v>
      </c>
      <c r="P123" s="43"/>
      <c r="Q123" s="43"/>
    </row>
    <row r="124" spans="1:17">
      <c r="A124" s="43" t="s">
        <v>21</v>
      </c>
      <c r="B124" s="44" t="s">
        <v>9</v>
      </c>
      <c r="C124" s="43" t="s">
        <v>268</v>
      </c>
      <c r="D124" s="43">
        <v>1.042</v>
      </c>
      <c r="E124" s="43">
        <v>50</v>
      </c>
      <c r="F124" s="43">
        <v>1</v>
      </c>
      <c r="G124" s="43">
        <f>テーブル1[[#This Row],[長さ(m)]]</f>
        <v>50</v>
      </c>
      <c r="H124" s="43">
        <f t="shared" si="24"/>
        <v>52.1</v>
      </c>
      <c r="I124" s="47">
        <v>3466.503992175597</v>
      </c>
      <c r="J124" s="47">
        <f t="shared" si="23"/>
        <v>180604.85799234861</v>
      </c>
      <c r="K124" s="43" t="s">
        <v>240</v>
      </c>
      <c r="L124" s="48">
        <v>44805</v>
      </c>
      <c r="M124" s="48"/>
      <c r="N124" s="43" t="s">
        <v>434</v>
      </c>
      <c r="O124" s="46" t="s">
        <v>431</v>
      </c>
      <c r="P124" s="43"/>
      <c r="Q124" s="43"/>
    </row>
    <row r="125" spans="1:17">
      <c r="A125" s="43" t="s">
        <v>21</v>
      </c>
      <c r="B125" s="44" t="s">
        <v>9</v>
      </c>
      <c r="C125" s="43" t="s">
        <v>269</v>
      </c>
      <c r="D125" s="43">
        <v>1.042</v>
      </c>
      <c r="E125" s="43">
        <f>22-1-5-2-14</f>
        <v>0</v>
      </c>
      <c r="F125" s="43">
        <f>1-1</f>
        <v>0</v>
      </c>
      <c r="G125" s="43">
        <f>テーブル1[[#This Row],[長さ(m)]]</f>
        <v>0</v>
      </c>
      <c r="H125" s="43">
        <f t="shared" si="24"/>
        <v>0</v>
      </c>
      <c r="I125" s="47">
        <v>3466.5039921755979</v>
      </c>
      <c r="J125" s="47">
        <f t="shared" si="23"/>
        <v>0</v>
      </c>
      <c r="K125" s="43" t="s">
        <v>240</v>
      </c>
      <c r="L125" s="48">
        <v>44805</v>
      </c>
      <c r="M125" s="48"/>
      <c r="N125" s="43" t="s">
        <v>434</v>
      </c>
      <c r="O125" s="46" t="s">
        <v>431</v>
      </c>
      <c r="P125" s="43"/>
      <c r="Q125" s="43"/>
    </row>
    <row r="126" spans="1:17">
      <c r="A126" s="43" t="s">
        <v>21</v>
      </c>
      <c r="B126" s="44" t="s">
        <v>9</v>
      </c>
      <c r="C126" s="43" t="s">
        <v>270</v>
      </c>
      <c r="D126" s="43">
        <v>1.042</v>
      </c>
      <c r="E126" s="43">
        <v>50</v>
      </c>
      <c r="F126" s="43">
        <v>1</v>
      </c>
      <c r="G126" s="43">
        <f>テーブル1[[#This Row],[長さ(m)]]</f>
        <v>50</v>
      </c>
      <c r="H126" s="43">
        <f t="shared" si="24"/>
        <v>52.1</v>
      </c>
      <c r="I126" s="47">
        <v>3466.503992175597</v>
      </c>
      <c r="J126" s="47">
        <f t="shared" si="23"/>
        <v>180604.85799234861</v>
      </c>
      <c r="K126" s="43" t="s">
        <v>240</v>
      </c>
      <c r="L126" s="48">
        <v>44805</v>
      </c>
      <c r="M126" s="48"/>
      <c r="N126" s="43" t="s">
        <v>434</v>
      </c>
      <c r="O126" s="46" t="s">
        <v>431</v>
      </c>
      <c r="P126" s="43"/>
      <c r="Q126" s="43"/>
    </row>
    <row r="127" spans="1:17">
      <c r="A127" s="43" t="s">
        <v>21</v>
      </c>
      <c r="B127" s="44" t="s">
        <v>9</v>
      </c>
      <c r="C127" s="43" t="s">
        <v>271</v>
      </c>
      <c r="D127" s="43">
        <v>1.042</v>
      </c>
      <c r="E127" s="43">
        <v>50</v>
      </c>
      <c r="F127" s="43">
        <v>1</v>
      </c>
      <c r="G127" s="43">
        <f>テーブル1[[#This Row],[長さ(m)]]</f>
        <v>50</v>
      </c>
      <c r="H127" s="43">
        <f t="shared" si="24"/>
        <v>52.1</v>
      </c>
      <c r="I127" s="47">
        <v>3466.503992175597</v>
      </c>
      <c r="J127" s="47">
        <f t="shared" si="23"/>
        <v>180604.85799234861</v>
      </c>
      <c r="K127" s="43" t="s">
        <v>240</v>
      </c>
      <c r="L127" s="48">
        <v>44805</v>
      </c>
      <c r="M127" s="48"/>
      <c r="N127" s="43" t="s">
        <v>434</v>
      </c>
      <c r="O127" s="46" t="s">
        <v>431</v>
      </c>
      <c r="P127" s="43"/>
      <c r="Q127" s="43"/>
    </row>
    <row r="128" spans="1:17">
      <c r="A128" s="43" t="s">
        <v>21</v>
      </c>
      <c r="B128" s="44" t="s">
        <v>9</v>
      </c>
      <c r="C128" s="43" t="s">
        <v>272</v>
      </c>
      <c r="D128" s="43">
        <v>1.042</v>
      </c>
      <c r="E128" s="43">
        <v>50</v>
      </c>
      <c r="F128" s="43">
        <v>1</v>
      </c>
      <c r="G128" s="43">
        <f>テーブル1[[#This Row],[長さ(m)]]</f>
        <v>50</v>
      </c>
      <c r="H128" s="43">
        <f t="shared" si="24"/>
        <v>52.1</v>
      </c>
      <c r="I128" s="47">
        <v>3466.503992175597</v>
      </c>
      <c r="J128" s="47">
        <f t="shared" si="23"/>
        <v>180604.85799234861</v>
      </c>
      <c r="K128" s="43" t="s">
        <v>240</v>
      </c>
      <c r="L128" s="48">
        <v>44805</v>
      </c>
      <c r="M128" s="48"/>
      <c r="N128" s="43" t="s">
        <v>434</v>
      </c>
      <c r="O128" s="46" t="s">
        <v>431</v>
      </c>
      <c r="P128" s="43"/>
      <c r="Q128" s="43"/>
    </row>
    <row r="129" spans="1:17">
      <c r="A129" s="49" t="s">
        <v>21</v>
      </c>
      <c r="B129" s="50" t="s">
        <v>13</v>
      </c>
      <c r="C129" s="49" t="s">
        <v>273</v>
      </c>
      <c r="D129" s="49">
        <v>1.042</v>
      </c>
      <c r="E129" s="49">
        <f>48.5-1-1</f>
        <v>46.5</v>
      </c>
      <c r="F129" s="49">
        <v>1</v>
      </c>
      <c r="G129" s="49">
        <f>テーブル1[[#This Row],[長さ(m)]]</f>
        <v>46.5</v>
      </c>
      <c r="H129" s="49">
        <f t="shared" si="24"/>
        <v>48.453000000000003</v>
      </c>
      <c r="I129" s="53">
        <v>3456.3979167913685</v>
      </c>
      <c r="J129" s="53">
        <f t="shared" si="23"/>
        <v>167472.84826229219</v>
      </c>
      <c r="K129" s="49" t="s">
        <v>18</v>
      </c>
      <c r="L129" s="55">
        <v>44805</v>
      </c>
      <c r="M129" s="55"/>
      <c r="N129" s="43" t="s">
        <v>434</v>
      </c>
      <c r="O129" s="46" t="s">
        <v>431</v>
      </c>
      <c r="P129" s="43"/>
      <c r="Q129" s="43"/>
    </row>
    <row r="130" spans="1:17">
      <c r="A130" s="49" t="s">
        <v>21</v>
      </c>
      <c r="B130" s="50" t="s">
        <v>13</v>
      </c>
      <c r="C130" s="49" t="s">
        <v>274</v>
      </c>
      <c r="D130" s="49">
        <v>1.042</v>
      </c>
      <c r="E130" s="49">
        <f>45.5-1-5</f>
        <v>39.5</v>
      </c>
      <c r="F130" s="49">
        <v>1</v>
      </c>
      <c r="G130" s="49">
        <f>テーブル1[[#This Row],[長さ(m)]]</f>
        <v>39.5</v>
      </c>
      <c r="H130" s="49">
        <f t="shared" si="24"/>
        <v>41.158999999999999</v>
      </c>
      <c r="I130" s="53">
        <v>3456.3979167913685</v>
      </c>
      <c r="J130" s="53">
        <f t="shared" si="23"/>
        <v>142261.88185721592</v>
      </c>
      <c r="K130" s="49" t="s">
        <v>18</v>
      </c>
      <c r="L130" s="55">
        <v>44805</v>
      </c>
      <c r="M130" s="55"/>
      <c r="N130" s="43" t="s">
        <v>434</v>
      </c>
      <c r="O130" s="46" t="s">
        <v>431</v>
      </c>
      <c r="P130" s="43"/>
      <c r="Q130" s="43"/>
    </row>
    <row r="131" spans="1:17">
      <c r="A131" s="49" t="s">
        <v>21</v>
      </c>
      <c r="B131" s="50" t="s">
        <v>13</v>
      </c>
      <c r="C131" s="49" t="s">
        <v>275</v>
      </c>
      <c r="D131" s="49">
        <v>1.042</v>
      </c>
      <c r="E131" s="49">
        <f>50-1</f>
        <v>49</v>
      </c>
      <c r="F131" s="49">
        <v>1</v>
      </c>
      <c r="G131" s="49">
        <f>テーブル1[[#This Row],[長さ(m)]]</f>
        <v>49</v>
      </c>
      <c r="H131" s="49">
        <f t="shared" si="24"/>
        <v>51.058</v>
      </c>
      <c r="I131" s="53">
        <v>3456.397916791369</v>
      </c>
      <c r="J131" s="53">
        <f t="shared" si="23"/>
        <v>176476.76483553372</v>
      </c>
      <c r="K131" s="49" t="s">
        <v>18</v>
      </c>
      <c r="L131" s="55">
        <v>44805</v>
      </c>
      <c r="M131" s="55"/>
      <c r="N131" s="43" t="s">
        <v>434</v>
      </c>
      <c r="O131" s="46" t="s">
        <v>431</v>
      </c>
      <c r="P131" s="43"/>
      <c r="Q131" s="43"/>
    </row>
    <row r="132" spans="1:17">
      <c r="A132" s="49" t="s">
        <v>21</v>
      </c>
      <c r="B132" s="50" t="s">
        <v>13</v>
      </c>
      <c r="C132" s="49" t="s">
        <v>276</v>
      </c>
      <c r="D132" s="49">
        <v>1.042</v>
      </c>
      <c r="E132" s="49">
        <f>50-1</f>
        <v>49</v>
      </c>
      <c r="F132" s="49">
        <v>1</v>
      </c>
      <c r="G132" s="49">
        <f>テーブル1[[#This Row],[長さ(m)]]</f>
        <v>49</v>
      </c>
      <c r="H132" s="49">
        <f t="shared" si="24"/>
        <v>51.058</v>
      </c>
      <c r="I132" s="53">
        <v>3456.397916791369</v>
      </c>
      <c r="J132" s="53">
        <f t="shared" si="23"/>
        <v>176476.76483553372</v>
      </c>
      <c r="K132" s="49" t="s">
        <v>18</v>
      </c>
      <c r="L132" s="55">
        <v>44805</v>
      </c>
      <c r="M132" s="55"/>
      <c r="N132" s="43" t="s">
        <v>434</v>
      </c>
      <c r="O132" s="46" t="s">
        <v>431</v>
      </c>
      <c r="P132" s="43"/>
      <c r="Q132" s="43"/>
    </row>
    <row r="133" spans="1:17">
      <c r="A133" s="49" t="s">
        <v>21</v>
      </c>
      <c r="B133" s="50" t="s">
        <v>13</v>
      </c>
      <c r="C133" s="49" t="s">
        <v>277</v>
      </c>
      <c r="D133" s="49">
        <v>1.042</v>
      </c>
      <c r="E133" s="49">
        <f>50-1</f>
        <v>49</v>
      </c>
      <c r="F133" s="49">
        <v>1</v>
      </c>
      <c r="G133" s="49">
        <f>テーブル1[[#This Row],[長さ(m)]]</f>
        <v>49</v>
      </c>
      <c r="H133" s="49">
        <f t="shared" si="24"/>
        <v>51.058</v>
      </c>
      <c r="I133" s="53">
        <v>3456.397916791369</v>
      </c>
      <c r="J133" s="53">
        <f t="shared" si="23"/>
        <v>176476.76483553372</v>
      </c>
      <c r="K133" s="49" t="s">
        <v>18</v>
      </c>
      <c r="L133" s="55">
        <v>44805</v>
      </c>
      <c r="M133" s="55"/>
      <c r="N133" s="43" t="s">
        <v>434</v>
      </c>
      <c r="O133" s="46" t="s">
        <v>431</v>
      </c>
      <c r="P133" s="43"/>
      <c r="Q133" s="43"/>
    </row>
    <row r="134" spans="1:17">
      <c r="A134" s="49" t="s">
        <v>21</v>
      </c>
      <c r="B134" s="50" t="s">
        <v>13</v>
      </c>
      <c r="C134" s="49" t="s">
        <v>278</v>
      </c>
      <c r="D134" s="49">
        <v>1.042</v>
      </c>
      <c r="E134" s="49">
        <f>50-1</f>
        <v>49</v>
      </c>
      <c r="F134" s="49">
        <v>1</v>
      </c>
      <c r="G134" s="49">
        <f>テーブル1[[#This Row],[長さ(m)]]</f>
        <v>49</v>
      </c>
      <c r="H134" s="49">
        <f t="shared" si="24"/>
        <v>51.058</v>
      </c>
      <c r="I134" s="53">
        <v>3456.397916791369</v>
      </c>
      <c r="J134" s="53">
        <f t="shared" si="23"/>
        <v>176476.76483553372</v>
      </c>
      <c r="K134" s="49" t="s">
        <v>18</v>
      </c>
      <c r="L134" s="55">
        <v>44805</v>
      </c>
      <c r="M134" s="55"/>
      <c r="N134" s="43" t="s">
        <v>434</v>
      </c>
      <c r="O134" s="46" t="s">
        <v>431</v>
      </c>
      <c r="P134" s="43"/>
      <c r="Q134" s="43"/>
    </row>
    <row r="135" spans="1:17">
      <c r="A135" s="49" t="s">
        <v>21</v>
      </c>
      <c r="B135" s="50" t="s">
        <v>13</v>
      </c>
      <c r="C135" s="49" t="s">
        <v>279</v>
      </c>
      <c r="D135" s="49">
        <v>1.042</v>
      </c>
      <c r="E135" s="49">
        <f>50-1-1</f>
        <v>48</v>
      </c>
      <c r="F135" s="49">
        <v>1</v>
      </c>
      <c r="G135" s="49">
        <f>テーブル1[[#This Row],[長さ(m)]]</f>
        <v>48</v>
      </c>
      <c r="H135" s="49">
        <f t="shared" si="24"/>
        <v>50.016000000000005</v>
      </c>
      <c r="I135" s="53">
        <v>3456.397916791369</v>
      </c>
      <c r="J135" s="53">
        <f t="shared" si="23"/>
        <v>172875.19820623714</v>
      </c>
      <c r="K135" s="49" t="s">
        <v>18</v>
      </c>
      <c r="L135" s="55">
        <v>44805</v>
      </c>
      <c r="M135" s="55"/>
      <c r="N135" s="43" t="s">
        <v>434</v>
      </c>
      <c r="O135" s="46" t="s">
        <v>431</v>
      </c>
      <c r="P135" s="43"/>
      <c r="Q135" s="43"/>
    </row>
    <row r="136" spans="1:17">
      <c r="A136" s="49" t="s">
        <v>21</v>
      </c>
      <c r="B136" s="50" t="s">
        <v>13</v>
      </c>
      <c r="C136" s="49" t="s">
        <v>460</v>
      </c>
      <c r="D136" s="49">
        <v>1.042</v>
      </c>
      <c r="E136" s="49">
        <f>39.5-10-3-1-25.5</f>
        <v>0</v>
      </c>
      <c r="F136" s="49">
        <f>1-1</f>
        <v>0</v>
      </c>
      <c r="G136" s="49">
        <f>テーブル1[[#This Row],[長さ(m)]]</f>
        <v>0</v>
      </c>
      <c r="H136" s="49">
        <f t="shared" si="24"/>
        <v>0</v>
      </c>
      <c r="I136" s="53">
        <v>3456.397916791369</v>
      </c>
      <c r="J136" s="53">
        <f t="shared" si="23"/>
        <v>0</v>
      </c>
      <c r="K136" s="49" t="s">
        <v>42</v>
      </c>
      <c r="L136" s="55">
        <v>44805</v>
      </c>
      <c r="M136" s="55"/>
      <c r="N136" s="43" t="s">
        <v>434</v>
      </c>
      <c r="O136" s="46" t="s">
        <v>431</v>
      </c>
      <c r="P136" s="75"/>
      <c r="Q136" s="75"/>
    </row>
    <row r="137" spans="1:17">
      <c r="A137" s="75" t="s">
        <v>346</v>
      </c>
      <c r="B137" s="46" t="s">
        <v>280</v>
      </c>
      <c r="C137" s="75" t="s">
        <v>282</v>
      </c>
      <c r="D137" s="75">
        <v>1.05</v>
      </c>
      <c r="E137" s="75">
        <v>56</v>
      </c>
      <c r="F137" s="43">
        <v>1</v>
      </c>
      <c r="G137" s="43">
        <f>テーブル1[[#This Row],[長さ(m)]]</f>
        <v>56</v>
      </c>
      <c r="H137" s="75">
        <f t="shared" si="24"/>
        <v>58.800000000000004</v>
      </c>
      <c r="I137" s="76"/>
      <c r="J137" s="76">
        <f t="shared" ref="J137:J141" si="25">H137*I137</f>
        <v>0</v>
      </c>
      <c r="K137" s="75" t="s">
        <v>284</v>
      </c>
      <c r="L137" s="48">
        <v>44805</v>
      </c>
      <c r="M137" s="48"/>
      <c r="N137" s="43" t="s">
        <v>281</v>
      </c>
      <c r="O137" s="57"/>
      <c r="P137" s="75"/>
      <c r="Q137" s="77" t="s">
        <v>285</v>
      </c>
    </row>
    <row r="138" spans="1:17">
      <c r="A138" s="75" t="s">
        <v>283</v>
      </c>
      <c r="B138" s="46" t="s">
        <v>280</v>
      </c>
      <c r="C138" s="75" t="s">
        <v>286</v>
      </c>
      <c r="D138" s="75">
        <v>1.29</v>
      </c>
      <c r="E138" s="75">
        <f>53-5</f>
        <v>48</v>
      </c>
      <c r="F138" s="43">
        <v>1</v>
      </c>
      <c r="G138" s="43">
        <f>テーブル1[[#This Row],[長さ(m)]]</f>
        <v>48</v>
      </c>
      <c r="H138" s="43">
        <f t="shared" si="24"/>
        <v>61.92</v>
      </c>
      <c r="I138" s="47"/>
      <c r="J138" s="47">
        <f t="shared" si="25"/>
        <v>0</v>
      </c>
      <c r="K138" s="75" t="s">
        <v>42</v>
      </c>
      <c r="L138" s="48">
        <v>44805</v>
      </c>
      <c r="M138" s="48"/>
      <c r="N138" s="43" t="s">
        <v>281</v>
      </c>
      <c r="O138" s="46"/>
      <c r="P138" s="43"/>
      <c r="Q138" s="75"/>
    </row>
    <row r="139" spans="1:17">
      <c r="A139" s="75" t="s">
        <v>347</v>
      </c>
      <c r="B139" s="46" t="s">
        <v>280</v>
      </c>
      <c r="C139" s="75" t="s">
        <v>289</v>
      </c>
      <c r="D139" s="75">
        <v>1.29</v>
      </c>
      <c r="E139" s="75">
        <v>443</v>
      </c>
      <c r="F139" s="43">
        <v>1</v>
      </c>
      <c r="G139" s="43">
        <f>テーブル1[[#This Row],[長さ(m)]]</f>
        <v>443</v>
      </c>
      <c r="H139" s="43">
        <f t="shared" si="24"/>
        <v>571.47</v>
      </c>
      <c r="I139" s="76"/>
      <c r="J139" s="76">
        <f t="shared" si="25"/>
        <v>0</v>
      </c>
      <c r="K139" s="75" t="s">
        <v>284</v>
      </c>
      <c r="L139" s="48">
        <v>44805</v>
      </c>
      <c r="M139" s="48"/>
      <c r="N139" s="43" t="s">
        <v>281</v>
      </c>
      <c r="O139" s="57"/>
      <c r="P139" s="75"/>
      <c r="Q139" s="77" t="s">
        <v>290</v>
      </c>
    </row>
    <row r="140" spans="1:17">
      <c r="A140" s="75" t="s">
        <v>348</v>
      </c>
      <c r="B140" s="46" t="s">
        <v>280</v>
      </c>
      <c r="C140" s="75" t="s">
        <v>293</v>
      </c>
      <c r="D140" s="75">
        <v>1.05</v>
      </c>
      <c r="E140" s="75">
        <f>130-130</f>
        <v>0</v>
      </c>
      <c r="F140" s="43">
        <f>1-1</f>
        <v>0</v>
      </c>
      <c r="G140" s="43">
        <f>テーブル1[[#This Row],[長さ(m)]]</f>
        <v>0</v>
      </c>
      <c r="H140" s="75">
        <f t="shared" si="24"/>
        <v>0</v>
      </c>
      <c r="I140" s="76"/>
      <c r="J140" s="76">
        <f t="shared" si="25"/>
        <v>0</v>
      </c>
      <c r="K140" s="75" t="s">
        <v>284</v>
      </c>
      <c r="L140" s="48">
        <v>44805</v>
      </c>
      <c r="M140" s="48"/>
      <c r="N140" s="43" t="s">
        <v>281</v>
      </c>
      <c r="O140" s="57"/>
      <c r="P140" s="75"/>
      <c r="Q140" s="77" t="s">
        <v>291</v>
      </c>
    </row>
    <row r="141" spans="1:17">
      <c r="A141" s="43" t="s">
        <v>349</v>
      </c>
      <c r="B141" s="46" t="s">
        <v>280</v>
      </c>
      <c r="C141" s="43" t="s">
        <v>294</v>
      </c>
      <c r="D141" s="43">
        <v>1.3</v>
      </c>
      <c r="E141" s="43">
        <f>3470-200</f>
        <v>3270</v>
      </c>
      <c r="F141" s="43">
        <v>1</v>
      </c>
      <c r="G141" s="56">
        <f>テーブル1[[#This Row],[長さ(m)]]</f>
        <v>3270</v>
      </c>
      <c r="H141" s="43">
        <f t="shared" si="24"/>
        <v>4251</v>
      </c>
      <c r="I141" s="47">
        <v>41</v>
      </c>
      <c r="J141" s="47">
        <f t="shared" si="25"/>
        <v>174291</v>
      </c>
      <c r="K141" s="43" t="s">
        <v>284</v>
      </c>
      <c r="L141" s="48">
        <v>44805</v>
      </c>
      <c r="M141" s="48"/>
      <c r="N141" s="43" t="s">
        <v>281</v>
      </c>
      <c r="O141" s="46"/>
      <c r="P141" s="43"/>
      <c r="Q141" s="71" t="s">
        <v>295</v>
      </c>
    </row>
    <row r="142" spans="1:17">
      <c r="A142" s="43" t="s">
        <v>8</v>
      </c>
      <c r="B142" s="44" t="s">
        <v>9</v>
      </c>
      <c r="C142" s="75" t="s">
        <v>296</v>
      </c>
      <c r="D142" s="75">
        <v>0.6</v>
      </c>
      <c r="E142" s="75">
        <v>25</v>
      </c>
      <c r="F142" s="43">
        <v>1</v>
      </c>
      <c r="G142" s="43">
        <f>テーブル1[[#This Row],[長さ(m)]]</f>
        <v>25</v>
      </c>
      <c r="H142" s="75">
        <f t="shared" si="24"/>
        <v>15</v>
      </c>
      <c r="I142" s="76">
        <v>991.44394343082831</v>
      </c>
      <c r="J142" s="76">
        <f>H142*I142</f>
        <v>14871.659151462425</v>
      </c>
      <c r="K142" s="75" t="s">
        <v>42</v>
      </c>
      <c r="L142" s="57" t="s">
        <v>11</v>
      </c>
      <c r="M142" s="57"/>
      <c r="N142" s="75" t="s">
        <v>300</v>
      </c>
      <c r="O142" s="57"/>
      <c r="P142" s="75"/>
      <c r="Q142" s="75"/>
    </row>
    <row r="143" spans="1:17">
      <c r="A143" s="43" t="s">
        <v>8</v>
      </c>
      <c r="B143" s="44" t="s">
        <v>9</v>
      </c>
      <c r="C143" s="75" t="s">
        <v>297</v>
      </c>
      <c r="D143" s="43">
        <v>0.3</v>
      </c>
      <c r="E143" s="43">
        <v>25</v>
      </c>
      <c r="F143" s="43">
        <v>1</v>
      </c>
      <c r="G143" s="43">
        <f>テーブル1[[#This Row],[長さ(m)]]</f>
        <v>25</v>
      </c>
      <c r="H143" s="43">
        <f t="shared" si="24"/>
        <v>7.5</v>
      </c>
      <c r="I143" s="76">
        <v>991.44394343082831</v>
      </c>
      <c r="J143" s="47">
        <f t="shared" ref="J143:J145" si="26">H143*I143</f>
        <v>7435.8295757312126</v>
      </c>
      <c r="K143" s="75" t="s">
        <v>42</v>
      </c>
      <c r="L143" s="57" t="s">
        <v>11</v>
      </c>
      <c r="M143" s="57"/>
      <c r="N143" s="75" t="s">
        <v>300</v>
      </c>
      <c r="O143" s="46"/>
      <c r="P143" s="43"/>
      <c r="Q143" s="43"/>
    </row>
    <row r="144" spans="1:17">
      <c r="A144" s="43" t="s">
        <v>8</v>
      </c>
      <c r="B144" s="44" t="s">
        <v>9</v>
      </c>
      <c r="C144" s="75" t="s">
        <v>298</v>
      </c>
      <c r="D144" s="43">
        <v>0.1</v>
      </c>
      <c r="E144" s="43">
        <v>25</v>
      </c>
      <c r="F144" s="43">
        <v>2</v>
      </c>
      <c r="G144" s="43">
        <f>テーブル1[[#This Row],[長さ(m)]]*テーブル1[[#This Row],[在庫(本)]]</f>
        <v>50</v>
      </c>
      <c r="H144" s="43">
        <f t="shared" si="24"/>
        <v>5</v>
      </c>
      <c r="I144" s="76">
        <v>991.44394343082831</v>
      </c>
      <c r="J144" s="47">
        <f t="shared" si="26"/>
        <v>4957.2197171541411</v>
      </c>
      <c r="K144" s="75" t="s">
        <v>42</v>
      </c>
      <c r="L144" s="57" t="s">
        <v>11</v>
      </c>
      <c r="M144" s="57"/>
      <c r="N144" s="75" t="s">
        <v>300</v>
      </c>
      <c r="O144" s="46"/>
      <c r="P144" s="43"/>
      <c r="Q144" s="43"/>
    </row>
    <row r="145" spans="1:17">
      <c r="A145" s="43" t="s">
        <v>8</v>
      </c>
      <c r="B145" s="44" t="s">
        <v>9</v>
      </c>
      <c r="C145" s="75" t="s">
        <v>299</v>
      </c>
      <c r="D145" s="43">
        <v>0.05</v>
      </c>
      <c r="E145" s="43">
        <v>25</v>
      </c>
      <c r="F145" s="43">
        <v>2</v>
      </c>
      <c r="G145" s="43">
        <f>テーブル1[[#This Row],[長さ(m)]]*テーブル1[[#This Row],[在庫(本)]]</f>
        <v>50</v>
      </c>
      <c r="H145" s="43">
        <f t="shared" si="24"/>
        <v>2.5</v>
      </c>
      <c r="I145" s="76">
        <v>991.44394343082831</v>
      </c>
      <c r="J145" s="47">
        <f t="shared" si="26"/>
        <v>2478.6098585770706</v>
      </c>
      <c r="K145" s="75" t="s">
        <v>42</v>
      </c>
      <c r="L145" s="57" t="s">
        <v>11</v>
      </c>
      <c r="M145" s="57"/>
      <c r="N145" s="75" t="s">
        <v>300</v>
      </c>
      <c r="O145" s="46"/>
      <c r="P145" s="43"/>
      <c r="Q145" s="43"/>
    </row>
    <row r="146" spans="1:17">
      <c r="A146" s="49" t="s">
        <v>8</v>
      </c>
      <c r="B146" s="49" t="s">
        <v>38</v>
      </c>
      <c r="C146" s="80" t="s">
        <v>301</v>
      </c>
      <c r="D146" s="80">
        <v>0.6</v>
      </c>
      <c r="E146" s="80">
        <v>25</v>
      </c>
      <c r="F146" s="49">
        <v>1</v>
      </c>
      <c r="G146" s="49">
        <f>テーブル1[[#This Row],[長さ(m)]]*テーブル1[[#This Row],[在庫(本)]]</f>
        <v>25</v>
      </c>
      <c r="H146" s="80">
        <f t="shared" si="24"/>
        <v>15</v>
      </c>
      <c r="I146" s="82">
        <v>980.99865295983977</v>
      </c>
      <c r="J146" s="82">
        <f>H146*I146</f>
        <v>14714.979794397597</v>
      </c>
      <c r="K146" s="80" t="s">
        <v>42</v>
      </c>
      <c r="L146" s="83" t="s">
        <v>11</v>
      </c>
      <c r="M146" s="83"/>
      <c r="N146" s="80" t="s">
        <v>300</v>
      </c>
      <c r="O146" s="57"/>
      <c r="P146" s="75"/>
      <c r="Q146" s="75"/>
    </row>
    <row r="147" spans="1:17">
      <c r="A147" s="49" t="s">
        <v>8</v>
      </c>
      <c r="B147" s="49" t="s">
        <v>38</v>
      </c>
      <c r="C147" s="80" t="s">
        <v>302</v>
      </c>
      <c r="D147" s="49">
        <v>0.3</v>
      </c>
      <c r="E147" s="49">
        <v>25</v>
      </c>
      <c r="F147" s="49">
        <v>1</v>
      </c>
      <c r="G147" s="49">
        <f>テーブル1[[#This Row],[長さ(m)]]*テーブル1[[#This Row],[在庫(本)]]</f>
        <v>25</v>
      </c>
      <c r="H147" s="49">
        <f t="shared" si="24"/>
        <v>7.5</v>
      </c>
      <c r="I147" s="82">
        <v>980.99865295983977</v>
      </c>
      <c r="J147" s="53">
        <f t="shared" ref="J147:J149" si="27">H147*I147</f>
        <v>7357.4898971987986</v>
      </c>
      <c r="K147" s="80" t="s">
        <v>42</v>
      </c>
      <c r="L147" s="83" t="s">
        <v>11</v>
      </c>
      <c r="M147" s="83"/>
      <c r="N147" s="80" t="s">
        <v>300</v>
      </c>
      <c r="O147" s="46"/>
      <c r="P147" s="43"/>
      <c r="Q147" s="43"/>
    </row>
    <row r="148" spans="1:17">
      <c r="A148" s="49" t="s">
        <v>8</v>
      </c>
      <c r="B148" s="49" t="s">
        <v>38</v>
      </c>
      <c r="C148" s="80" t="s">
        <v>303</v>
      </c>
      <c r="D148" s="49">
        <v>0.1</v>
      </c>
      <c r="E148" s="49">
        <v>25</v>
      </c>
      <c r="F148" s="49">
        <v>2</v>
      </c>
      <c r="G148" s="49">
        <f>テーブル1[[#This Row],[長さ(m)]]*テーブル1[[#This Row],[在庫(本)]]</f>
        <v>50</v>
      </c>
      <c r="H148" s="49">
        <f t="shared" si="24"/>
        <v>5</v>
      </c>
      <c r="I148" s="82">
        <v>980.99865295983977</v>
      </c>
      <c r="J148" s="53">
        <f t="shared" si="27"/>
        <v>4904.9932647991991</v>
      </c>
      <c r="K148" s="80" t="s">
        <v>42</v>
      </c>
      <c r="L148" s="83" t="s">
        <v>11</v>
      </c>
      <c r="M148" s="83"/>
      <c r="N148" s="80" t="s">
        <v>300</v>
      </c>
      <c r="O148" s="46"/>
      <c r="P148" s="43"/>
      <c r="Q148" s="43"/>
    </row>
    <row r="149" spans="1:17">
      <c r="A149" s="49" t="s">
        <v>8</v>
      </c>
      <c r="B149" s="49" t="s">
        <v>38</v>
      </c>
      <c r="C149" s="80" t="s">
        <v>304</v>
      </c>
      <c r="D149" s="49">
        <v>0.05</v>
      </c>
      <c r="E149" s="49">
        <v>25</v>
      </c>
      <c r="F149" s="49">
        <v>2</v>
      </c>
      <c r="G149" s="49">
        <f>テーブル1[[#This Row],[長さ(m)]]*テーブル1[[#This Row],[在庫(本)]]</f>
        <v>50</v>
      </c>
      <c r="H149" s="49">
        <f t="shared" si="24"/>
        <v>2.5</v>
      </c>
      <c r="I149" s="82">
        <v>980.99865295983977</v>
      </c>
      <c r="J149" s="53">
        <f t="shared" si="27"/>
        <v>2452.4966323995995</v>
      </c>
      <c r="K149" s="80" t="s">
        <v>42</v>
      </c>
      <c r="L149" s="83" t="s">
        <v>11</v>
      </c>
      <c r="M149" s="83"/>
      <c r="N149" s="80" t="s">
        <v>300</v>
      </c>
      <c r="O149" s="46"/>
      <c r="P149" s="43"/>
      <c r="Q149" s="43"/>
    </row>
    <row r="150" spans="1:17">
      <c r="A150" s="43" t="s">
        <v>283</v>
      </c>
      <c r="B150" s="46" t="s">
        <v>280</v>
      </c>
      <c r="C150" s="75" t="s">
        <v>305</v>
      </c>
      <c r="D150" s="75">
        <v>200</v>
      </c>
      <c r="E150" s="75">
        <v>53</v>
      </c>
      <c r="F150" s="75">
        <v>2</v>
      </c>
      <c r="G150" s="43">
        <f>テーブル1[[#This Row],[長さ(m)]]*テーブル1[[#This Row],[在庫(本)]]</f>
        <v>106</v>
      </c>
      <c r="H150" s="75">
        <f t="shared" si="24"/>
        <v>21200</v>
      </c>
      <c r="I150" s="76"/>
      <c r="J150" s="76">
        <f>H150*I150</f>
        <v>0</v>
      </c>
      <c r="K150" s="75" t="s">
        <v>42</v>
      </c>
      <c r="L150" s="57" t="s">
        <v>11</v>
      </c>
      <c r="M150" s="57"/>
      <c r="N150" s="75" t="s">
        <v>300</v>
      </c>
      <c r="O150" s="57"/>
      <c r="P150" s="75"/>
      <c r="Q150" s="75"/>
    </row>
    <row r="151" spans="1:17">
      <c r="A151" s="43" t="s">
        <v>283</v>
      </c>
      <c r="B151" s="46" t="s">
        <v>280</v>
      </c>
      <c r="C151" s="75" t="s">
        <v>306</v>
      </c>
      <c r="D151" s="75">
        <v>100</v>
      </c>
      <c r="E151" s="75">
        <v>53</v>
      </c>
      <c r="F151" s="75">
        <v>1</v>
      </c>
      <c r="G151" s="43">
        <f>テーブル1[[#This Row],[長さ(m)]]*テーブル1[[#This Row],[在庫(本)]]</f>
        <v>53</v>
      </c>
      <c r="H151" s="75">
        <f t="shared" si="24"/>
        <v>5300</v>
      </c>
      <c r="I151" s="76"/>
      <c r="J151" s="76">
        <f>H151*I151</f>
        <v>0</v>
      </c>
      <c r="K151" s="75" t="s">
        <v>42</v>
      </c>
      <c r="L151" s="57" t="s">
        <v>11</v>
      </c>
      <c r="M151" s="57"/>
      <c r="N151" s="75" t="s">
        <v>300</v>
      </c>
      <c r="O151" s="57"/>
      <c r="P151" s="75"/>
      <c r="Q151" s="75"/>
    </row>
    <row r="152" spans="1:17">
      <c r="A152" s="43" t="s">
        <v>8</v>
      </c>
      <c r="B152" s="44" t="s">
        <v>9</v>
      </c>
      <c r="C152" s="75" t="s">
        <v>307</v>
      </c>
      <c r="D152" s="75">
        <v>1.25</v>
      </c>
      <c r="E152" s="75">
        <v>6.4</v>
      </c>
      <c r="F152" s="75">
        <v>1</v>
      </c>
      <c r="G152" s="43">
        <f>テーブル1[[#This Row],[長さ(m)]]*テーブル1[[#This Row],[在庫(本)]]</f>
        <v>6.4</v>
      </c>
      <c r="H152" s="75">
        <f t="shared" si="24"/>
        <v>8</v>
      </c>
      <c r="I152" s="47">
        <v>1089.6454038775285</v>
      </c>
      <c r="J152" s="76">
        <f>H152*I152</f>
        <v>8717.1632310202276</v>
      </c>
      <c r="K152" s="75" t="s">
        <v>308</v>
      </c>
      <c r="L152" s="57" t="s">
        <v>11</v>
      </c>
      <c r="M152" s="57"/>
      <c r="N152" s="75"/>
      <c r="O152" s="57"/>
      <c r="P152" s="75"/>
      <c r="Q152" s="75"/>
    </row>
    <row r="153" spans="1:17">
      <c r="A153" s="49" t="s">
        <v>8</v>
      </c>
      <c r="B153" s="49" t="s">
        <v>38</v>
      </c>
      <c r="C153" s="49" t="s">
        <v>309</v>
      </c>
      <c r="D153" s="80">
        <v>1.25</v>
      </c>
      <c r="E153" s="49">
        <v>25</v>
      </c>
      <c r="F153" s="49">
        <f>10-1-5-1-1-1-1</f>
        <v>0</v>
      </c>
      <c r="G153" s="49">
        <f>テーブル1[[#This Row],[長さ(m)]]*テーブル1[[#This Row],[在庫(本)]]</f>
        <v>0</v>
      </c>
      <c r="H153" s="49">
        <f t="shared" si="24"/>
        <v>0</v>
      </c>
      <c r="I153" s="53">
        <v>1282.1929558379868</v>
      </c>
      <c r="J153" s="53">
        <f t="shared" ref="J153:J169" si="28">H153*I153</f>
        <v>0</v>
      </c>
      <c r="K153" s="49" t="s">
        <v>25</v>
      </c>
      <c r="L153" s="55">
        <v>44805</v>
      </c>
      <c r="M153" s="55"/>
      <c r="N153" s="43"/>
      <c r="O153" s="46"/>
      <c r="P153" s="43"/>
      <c r="Q153" s="43"/>
    </row>
    <row r="154" spans="1:17">
      <c r="A154" s="49" t="s">
        <v>8</v>
      </c>
      <c r="B154" s="49" t="s">
        <v>38</v>
      </c>
      <c r="C154" s="49" t="s">
        <v>310</v>
      </c>
      <c r="D154" s="80">
        <v>1.25</v>
      </c>
      <c r="E154" s="49">
        <f>13-13</f>
        <v>0</v>
      </c>
      <c r="F154" s="49">
        <f>1-1</f>
        <v>0</v>
      </c>
      <c r="G154" s="49">
        <f>テーブル1[[#This Row],[長さ(m)]]*テーブル1[[#This Row],[在庫(本)]]</f>
        <v>0</v>
      </c>
      <c r="H154" s="49">
        <f t="shared" si="24"/>
        <v>0</v>
      </c>
      <c r="I154" s="53">
        <v>1282.1929558379868</v>
      </c>
      <c r="J154" s="53">
        <f t="shared" si="28"/>
        <v>0</v>
      </c>
      <c r="K154" s="49" t="s">
        <v>25</v>
      </c>
      <c r="L154" s="55">
        <v>44805</v>
      </c>
      <c r="M154" s="55"/>
      <c r="N154" s="43"/>
      <c r="O154" s="46"/>
      <c r="P154" s="43"/>
      <c r="Q154" s="43"/>
    </row>
    <row r="155" spans="1:17">
      <c r="A155" s="43" t="s">
        <v>8</v>
      </c>
      <c r="B155" s="44" t="s">
        <v>9</v>
      </c>
      <c r="C155" s="43" t="s">
        <v>311</v>
      </c>
      <c r="D155" s="75">
        <v>1.25</v>
      </c>
      <c r="E155" s="43">
        <v>25</v>
      </c>
      <c r="F155" s="43">
        <v>8</v>
      </c>
      <c r="G155" s="43">
        <f>テーブル1[[#This Row],[長さ(m)]]*テーブル1[[#This Row],[在庫(本)]]</f>
        <v>200</v>
      </c>
      <c r="H155" s="43">
        <f t="shared" si="24"/>
        <v>250</v>
      </c>
      <c r="I155" s="47">
        <v>1125.1613526715632</v>
      </c>
      <c r="J155" s="47">
        <f t="shared" si="28"/>
        <v>281290.33816789079</v>
      </c>
      <c r="K155" s="43" t="s">
        <v>25</v>
      </c>
      <c r="L155" s="48">
        <v>44805</v>
      </c>
      <c r="M155" s="48"/>
      <c r="N155" s="43"/>
      <c r="O155" s="46"/>
      <c r="P155" s="43"/>
      <c r="Q155" s="43"/>
    </row>
    <row r="156" spans="1:17">
      <c r="A156" s="43" t="s">
        <v>8</v>
      </c>
      <c r="B156" s="44" t="s">
        <v>9</v>
      </c>
      <c r="C156" s="43" t="s">
        <v>312</v>
      </c>
      <c r="D156" s="75">
        <v>1.25</v>
      </c>
      <c r="E156" s="43">
        <f>18-10-5-1-1-1</f>
        <v>0</v>
      </c>
      <c r="F156" s="43">
        <f>1-1</f>
        <v>0</v>
      </c>
      <c r="G156" s="43">
        <f>テーブル1[[#This Row],[長さ(m)]]*テーブル1[[#This Row],[在庫(本)]]</f>
        <v>0</v>
      </c>
      <c r="H156" s="43">
        <f t="shared" si="24"/>
        <v>0</v>
      </c>
      <c r="I156" s="47">
        <v>1125.161352671563</v>
      </c>
      <c r="J156" s="47">
        <f t="shared" si="28"/>
        <v>0</v>
      </c>
      <c r="K156" s="43" t="s">
        <v>25</v>
      </c>
      <c r="L156" s="48">
        <v>44805</v>
      </c>
      <c r="M156" s="48"/>
      <c r="N156" s="43"/>
      <c r="O156" s="46"/>
      <c r="P156" s="43"/>
      <c r="Q156" s="43"/>
    </row>
    <row r="157" spans="1:17">
      <c r="A157" s="43" t="s">
        <v>8</v>
      </c>
      <c r="B157" s="44" t="s">
        <v>9</v>
      </c>
      <c r="C157" s="43" t="s">
        <v>313</v>
      </c>
      <c r="D157" s="75">
        <v>1.25</v>
      </c>
      <c r="E157" s="43">
        <v>25</v>
      </c>
      <c r="F157" s="43">
        <v>36</v>
      </c>
      <c r="G157" s="43">
        <f>テーブル1[[#This Row],[長さ(m)]]*テーブル1[[#This Row],[在庫(本)]]</f>
        <v>900</v>
      </c>
      <c r="H157" s="43">
        <f t="shared" si="24"/>
        <v>1125</v>
      </c>
      <c r="I157" s="47">
        <v>1125.161352671563</v>
      </c>
      <c r="J157" s="47">
        <f t="shared" si="28"/>
        <v>1265806.5217555084</v>
      </c>
      <c r="K157" s="43" t="s">
        <v>25</v>
      </c>
      <c r="L157" s="48">
        <v>44805</v>
      </c>
      <c r="M157" s="48"/>
      <c r="N157" s="43"/>
      <c r="O157" s="46"/>
      <c r="P157" s="43"/>
      <c r="Q157" s="43"/>
    </row>
    <row r="158" spans="1:17">
      <c r="A158" s="43" t="s">
        <v>8</v>
      </c>
      <c r="B158" s="44" t="s">
        <v>9</v>
      </c>
      <c r="C158" s="43" t="s">
        <v>314</v>
      </c>
      <c r="D158" s="75">
        <v>1.25</v>
      </c>
      <c r="E158" s="43">
        <f>5-5</f>
        <v>0</v>
      </c>
      <c r="F158" s="43">
        <f>1-1</f>
        <v>0</v>
      </c>
      <c r="G158" s="43">
        <f>テーブル1[[#This Row],[長さ(m)]]*テーブル1[[#This Row],[在庫(本)]]</f>
        <v>0</v>
      </c>
      <c r="H158" s="43">
        <f t="shared" si="24"/>
        <v>0</v>
      </c>
      <c r="I158" s="47">
        <v>1125.161352671563</v>
      </c>
      <c r="J158" s="47">
        <f t="shared" si="28"/>
        <v>0</v>
      </c>
      <c r="K158" s="43" t="s">
        <v>25</v>
      </c>
      <c r="L158" s="48">
        <v>44805</v>
      </c>
      <c r="M158" s="48"/>
      <c r="N158" s="43"/>
      <c r="O158" s="46"/>
      <c r="P158" s="43"/>
      <c r="Q158" s="43"/>
    </row>
    <row r="159" spans="1:17">
      <c r="A159" s="43" t="s">
        <v>8</v>
      </c>
      <c r="B159" s="44" t="s">
        <v>9</v>
      </c>
      <c r="C159" s="43" t="s">
        <v>315</v>
      </c>
      <c r="D159" s="75">
        <v>1.25</v>
      </c>
      <c r="E159" s="43">
        <v>25</v>
      </c>
      <c r="F159" s="43">
        <v>37</v>
      </c>
      <c r="G159" s="43">
        <f>テーブル1[[#This Row],[長さ(m)]]*テーブル1[[#This Row],[在庫(本)]]</f>
        <v>925</v>
      </c>
      <c r="H159" s="43">
        <f t="shared" si="24"/>
        <v>1156.25</v>
      </c>
      <c r="I159" s="47">
        <v>1125.161352671563</v>
      </c>
      <c r="J159" s="47">
        <f t="shared" si="28"/>
        <v>1300967.8140264947</v>
      </c>
      <c r="K159" s="43" t="s">
        <v>25</v>
      </c>
      <c r="L159" s="48">
        <v>44805</v>
      </c>
      <c r="M159" s="48"/>
      <c r="N159" s="43"/>
      <c r="O159" s="46"/>
      <c r="P159" s="43"/>
      <c r="Q159" s="43"/>
    </row>
    <row r="160" spans="1:17">
      <c r="A160" s="43" t="s">
        <v>8</v>
      </c>
      <c r="B160" s="44" t="s">
        <v>9</v>
      </c>
      <c r="C160" s="43" t="s">
        <v>316</v>
      </c>
      <c r="D160" s="75">
        <v>1.25</v>
      </c>
      <c r="E160" s="43">
        <f>19-7-10-2</f>
        <v>0</v>
      </c>
      <c r="F160" s="43">
        <v>1</v>
      </c>
      <c r="G160" s="43">
        <f>テーブル1[[#This Row],[長さ(m)]]*テーブル1[[#This Row],[在庫(本)]]</f>
        <v>0</v>
      </c>
      <c r="H160" s="43">
        <f t="shared" si="24"/>
        <v>0</v>
      </c>
      <c r="I160" s="47">
        <v>1125.1613526715632</v>
      </c>
      <c r="J160" s="47">
        <f t="shared" si="28"/>
        <v>0</v>
      </c>
      <c r="K160" s="43" t="s">
        <v>25</v>
      </c>
      <c r="L160" s="48">
        <v>44805</v>
      </c>
      <c r="M160" s="48"/>
      <c r="N160" s="43"/>
      <c r="O160" s="46"/>
      <c r="P160" s="43"/>
      <c r="Q160" s="43"/>
    </row>
    <row r="161" spans="1:17">
      <c r="A161" s="49" t="s">
        <v>8</v>
      </c>
      <c r="B161" s="49" t="s">
        <v>38</v>
      </c>
      <c r="C161" s="49" t="s">
        <v>317</v>
      </c>
      <c r="D161" s="80">
        <v>1.25</v>
      </c>
      <c r="E161" s="49">
        <v>25</v>
      </c>
      <c r="F161" s="49">
        <f>39-1-1-1-1-1</f>
        <v>34</v>
      </c>
      <c r="G161" s="49">
        <f>テーブル1[[#This Row],[長さ(m)]]*テーブル1[[#This Row],[在庫(本)]]</f>
        <v>850</v>
      </c>
      <c r="H161" s="49">
        <f t="shared" si="24"/>
        <v>1062.5</v>
      </c>
      <c r="I161" s="53">
        <v>1211.8249041983679</v>
      </c>
      <c r="J161" s="53">
        <f t="shared" si="28"/>
        <v>1287563.9607107658</v>
      </c>
      <c r="K161" s="49" t="s">
        <v>25</v>
      </c>
      <c r="L161" s="55">
        <v>44805</v>
      </c>
      <c r="M161" s="55"/>
      <c r="N161" s="43"/>
      <c r="O161" s="46"/>
      <c r="P161" s="43"/>
      <c r="Q161" s="43"/>
    </row>
    <row r="162" spans="1:17">
      <c r="A162" s="49" t="s">
        <v>8</v>
      </c>
      <c r="B162" s="49" t="s">
        <v>38</v>
      </c>
      <c r="C162" s="49" t="s">
        <v>318</v>
      </c>
      <c r="D162" s="80">
        <v>1.25</v>
      </c>
      <c r="E162" s="49">
        <f>6-6</f>
        <v>0</v>
      </c>
      <c r="F162" s="49">
        <f>1-1</f>
        <v>0</v>
      </c>
      <c r="G162" s="49">
        <f>テーブル1[[#This Row],[長さ(m)]]*テーブル1[[#This Row],[在庫(本)]]</f>
        <v>0</v>
      </c>
      <c r="H162" s="49">
        <f t="shared" si="24"/>
        <v>0</v>
      </c>
      <c r="I162" s="53">
        <v>1211.8249041983679</v>
      </c>
      <c r="J162" s="53">
        <f t="shared" si="28"/>
        <v>0</v>
      </c>
      <c r="K162" s="49" t="s">
        <v>25</v>
      </c>
      <c r="L162" s="55">
        <v>44805</v>
      </c>
      <c r="M162" s="55"/>
      <c r="N162" s="43"/>
      <c r="O162" s="46"/>
      <c r="P162" s="43"/>
      <c r="Q162" s="43"/>
    </row>
    <row r="163" spans="1:17">
      <c r="A163" s="49" t="s">
        <v>8</v>
      </c>
      <c r="B163" s="49" t="s">
        <v>38</v>
      </c>
      <c r="C163" s="49" t="s">
        <v>319</v>
      </c>
      <c r="D163" s="80">
        <v>1.25</v>
      </c>
      <c r="E163" s="49">
        <v>25</v>
      </c>
      <c r="F163" s="49">
        <v>38</v>
      </c>
      <c r="G163" s="49">
        <f>テーブル1[[#This Row],[長さ(m)]]*テーブル1[[#This Row],[在庫(本)]]</f>
        <v>950</v>
      </c>
      <c r="H163" s="49">
        <f t="shared" si="24"/>
        <v>1187.5</v>
      </c>
      <c r="I163" s="53">
        <v>1211.8249041983679</v>
      </c>
      <c r="J163" s="53">
        <f t="shared" si="28"/>
        <v>1439042.0737355619</v>
      </c>
      <c r="K163" s="49" t="s">
        <v>25</v>
      </c>
      <c r="L163" s="55">
        <v>44805</v>
      </c>
      <c r="M163" s="55"/>
      <c r="N163" s="43"/>
      <c r="O163" s="46"/>
      <c r="P163" s="43"/>
      <c r="Q163" s="43"/>
    </row>
    <row r="164" spans="1:17">
      <c r="A164" s="49" t="s">
        <v>8</v>
      </c>
      <c r="B164" s="49" t="s">
        <v>38</v>
      </c>
      <c r="C164" s="49" t="s">
        <v>320</v>
      </c>
      <c r="D164" s="80">
        <v>1.25</v>
      </c>
      <c r="E164" s="49">
        <v>17</v>
      </c>
      <c r="F164" s="49">
        <v>1</v>
      </c>
      <c r="G164" s="49">
        <f>テーブル1[[#This Row],[長さ(m)]]*テーブル1[[#This Row],[在庫(本)]]</f>
        <v>17</v>
      </c>
      <c r="H164" s="49">
        <f t="shared" si="24"/>
        <v>21.25</v>
      </c>
      <c r="I164" s="53">
        <v>1211.8249041983679</v>
      </c>
      <c r="J164" s="53">
        <f t="shared" si="28"/>
        <v>25751.279214215319</v>
      </c>
      <c r="K164" s="49" t="s">
        <v>16</v>
      </c>
      <c r="L164" s="55">
        <v>44805</v>
      </c>
      <c r="M164" s="55"/>
      <c r="N164" s="43"/>
      <c r="O164" s="46"/>
      <c r="P164" s="43"/>
      <c r="Q164" s="43"/>
    </row>
    <row r="165" spans="1:17">
      <c r="A165" s="49" t="s">
        <v>8</v>
      </c>
      <c r="B165" s="49" t="s">
        <v>38</v>
      </c>
      <c r="C165" s="49" t="s">
        <v>321</v>
      </c>
      <c r="D165" s="80">
        <v>1.25</v>
      </c>
      <c r="E165" s="49">
        <f>16-5-5-5</f>
        <v>1</v>
      </c>
      <c r="F165" s="49">
        <v>1</v>
      </c>
      <c r="G165" s="49">
        <f>テーブル1[[#This Row],[長さ(m)]]*テーブル1[[#This Row],[在庫(本)]]</f>
        <v>1</v>
      </c>
      <c r="H165" s="49">
        <f t="shared" si="24"/>
        <v>1.25</v>
      </c>
      <c r="I165" s="53">
        <v>1211.8249041983679</v>
      </c>
      <c r="J165" s="53">
        <f t="shared" si="28"/>
        <v>1514.7811302479599</v>
      </c>
      <c r="K165" s="49" t="s">
        <v>16</v>
      </c>
      <c r="L165" s="55">
        <v>44805</v>
      </c>
      <c r="M165" s="55"/>
      <c r="N165" s="43"/>
      <c r="O165" s="46"/>
      <c r="P165" s="43"/>
      <c r="Q165" s="43"/>
    </row>
    <row r="166" spans="1:17">
      <c r="A166" s="49" t="s">
        <v>8</v>
      </c>
      <c r="B166" s="49" t="s">
        <v>38</v>
      </c>
      <c r="C166" s="49" t="s">
        <v>322</v>
      </c>
      <c r="D166" s="80">
        <v>1.25</v>
      </c>
      <c r="E166" s="49">
        <v>25</v>
      </c>
      <c r="F166" s="49">
        <v>38</v>
      </c>
      <c r="G166" s="49">
        <f>テーブル1[[#This Row],[長さ(m)]]*テーブル1[[#This Row],[在庫(本)]]</f>
        <v>950</v>
      </c>
      <c r="H166" s="49">
        <f t="shared" si="24"/>
        <v>1187.5</v>
      </c>
      <c r="I166" s="53">
        <v>1211.8249041983679</v>
      </c>
      <c r="J166" s="53">
        <f t="shared" si="28"/>
        <v>1439042.0737355619</v>
      </c>
      <c r="K166" s="49" t="s">
        <v>25</v>
      </c>
      <c r="L166" s="55">
        <v>44805</v>
      </c>
      <c r="M166" s="55"/>
      <c r="N166" s="43"/>
      <c r="O166" s="46"/>
      <c r="P166" s="43"/>
      <c r="Q166" s="43"/>
    </row>
    <row r="167" spans="1:17">
      <c r="A167" s="49" t="s">
        <v>8</v>
      </c>
      <c r="B167" s="49" t="s">
        <v>38</v>
      </c>
      <c r="C167" s="49" t="s">
        <v>323</v>
      </c>
      <c r="D167" s="80">
        <v>1.25</v>
      </c>
      <c r="E167" s="49">
        <v>8</v>
      </c>
      <c r="F167" s="49">
        <v>1</v>
      </c>
      <c r="G167" s="49">
        <f>テーブル1[[#This Row],[長さ(m)]]*テーブル1[[#This Row],[在庫(本)]]</f>
        <v>8</v>
      </c>
      <c r="H167" s="49">
        <f t="shared" si="24"/>
        <v>10</v>
      </c>
      <c r="I167" s="53">
        <v>1211.8249041983679</v>
      </c>
      <c r="J167" s="53">
        <f t="shared" si="28"/>
        <v>12118.249041983679</v>
      </c>
      <c r="K167" s="49" t="s">
        <v>25</v>
      </c>
      <c r="L167" s="55">
        <v>44805</v>
      </c>
      <c r="M167" s="55"/>
      <c r="N167" s="43"/>
      <c r="O167" s="46"/>
      <c r="P167" s="43"/>
      <c r="Q167" s="43"/>
    </row>
    <row r="168" spans="1:17">
      <c r="A168" s="49" t="s">
        <v>8</v>
      </c>
      <c r="B168" s="49" t="s">
        <v>38</v>
      </c>
      <c r="C168" s="49" t="s">
        <v>324</v>
      </c>
      <c r="D168" s="80">
        <v>1.25</v>
      </c>
      <c r="E168" s="49">
        <v>22</v>
      </c>
      <c r="F168" s="49">
        <v>1</v>
      </c>
      <c r="G168" s="49">
        <f>テーブル1[[#This Row],[長さ(m)]]*テーブル1[[#This Row],[在庫(本)]]</f>
        <v>22</v>
      </c>
      <c r="H168" s="49">
        <f t="shared" si="24"/>
        <v>27.5</v>
      </c>
      <c r="I168" s="53">
        <v>1211.8249041983677</v>
      </c>
      <c r="J168" s="53">
        <f t="shared" si="28"/>
        <v>33325.184865455114</v>
      </c>
      <c r="K168" s="49" t="s">
        <v>25</v>
      </c>
      <c r="L168" s="55">
        <v>44805</v>
      </c>
      <c r="M168" s="55"/>
      <c r="N168" s="43"/>
      <c r="O168" s="46"/>
      <c r="P168" s="43"/>
      <c r="Q168" s="43"/>
    </row>
    <row r="169" spans="1:17">
      <c r="A169" s="49" t="s">
        <v>8</v>
      </c>
      <c r="B169" s="49" t="s">
        <v>38</v>
      </c>
      <c r="C169" s="80" t="s">
        <v>325</v>
      </c>
      <c r="D169" s="80">
        <v>1.25</v>
      </c>
      <c r="E169" s="80">
        <v>7</v>
      </c>
      <c r="F169" s="80">
        <v>1</v>
      </c>
      <c r="G169" s="49">
        <f>テーブル1[[#This Row],[長さ(m)]]*テーブル1[[#This Row],[在庫(本)]]</f>
        <v>7</v>
      </c>
      <c r="H169" s="80">
        <f t="shared" si="24"/>
        <v>8.75</v>
      </c>
      <c r="I169" s="82">
        <v>1211.8249041983679</v>
      </c>
      <c r="J169" s="82">
        <f t="shared" si="28"/>
        <v>10603.467911735719</v>
      </c>
      <c r="K169" s="49" t="s">
        <v>25</v>
      </c>
      <c r="L169" s="55">
        <v>44805</v>
      </c>
      <c r="M169" s="81"/>
      <c r="N169" s="75"/>
      <c r="O169" s="57"/>
      <c r="P169" s="75"/>
      <c r="Q169" s="75"/>
    </row>
    <row r="170" spans="1:17">
      <c r="A170" s="89" t="s">
        <v>613</v>
      </c>
      <c r="B170" s="89" t="s">
        <v>175</v>
      </c>
      <c r="C170" s="89" t="s">
        <v>360</v>
      </c>
      <c r="D170" s="87">
        <v>1.29</v>
      </c>
      <c r="E170" s="87">
        <f>1000-1000</f>
        <v>0</v>
      </c>
      <c r="F170" s="89">
        <f>1-1</f>
        <v>0</v>
      </c>
      <c r="G170" s="89">
        <f t="shared" ref="G170:G186" si="29">E170*F170</f>
        <v>0</v>
      </c>
      <c r="H170" s="87">
        <f t="shared" si="24"/>
        <v>0</v>
      </c>
      <c r="I170" s="90">
        <v>157.1</v>
      </c>
      <c r="J170" s="90">
        <f t="shared" ref="J170:J179" si="30">G170*I170</f>
        <v>0</v>
      </c>
      <c r="K170" s="89" t="s">
        <v>39</v>
      </c>
      <c r="L170" s="91">
        <v>44866</v>
      </c>
      <c r="M170" s="91" t="s">
        <v>40</v>
      </c>
      <c r="N170" s="87" t="s">
        <v>350</v>
      </c>
      <c r="O170" s="93"/>
      <c r="P170" s="43" t="s">
        <v>467</v>
      </c>
      <c r="Q170" s="77" t="s">
        <v>370</v>
      </c>
    </row>
    <row r="171" spans="1:17">
      <c r="A171" s="89" t="s">
        <v>613</v>
      </c>
      <c r="B171" s="89" t="s">
        <v>175</v>
      </c>
      <c r="C171" s="87" t="s">
        <v>361</v>
      </c>
      <c r="D171" s="87">
        <v>1.29</v>
      </c>
      <c r="E171" s="87">
        <f t="shared" ref="E171:E173" si="31">1000-1000</f>
        <v>0</v>
      </c>
      <c r="F171" s="89">
        <f t="shared" ref="F171:F173" si="32">1-1</f>
        <v>0</v>
      </c>
      <c r="G171" s="89">
        <f t="shared" si="29"/>
        <v>0</v>
      </c>
      <c r="H171" s="87">
        <f t="shared" si="24"/>
        <v>0</v>
      </c>
      <c r="I171" s="90">
        <v>157.1</v>
      </c>
      <c r="J171" s="90">
        <f t="shared" si="30"/>
        <v>0</v>
      </c>
      <c r="K171" s="89" t="s">
        <v>39</v>
      </c>
      <c r="L171" s="91">
        <v>44866</v>
      </c>
      <c r="M171" s="91" t="s">
        <v>40</v>
      </c>
      <c r="N171" s="87" t="s">
        <v>351</v>
      </c>
      <c r="O171" s="92"/>
      <c r="P171" s="43" t="s">
        <v>467</v>
      </c>
      <c r="Q171" s="71" t="s">
        <v>370</v>
      </c>
    </row>
    <row r="172" spans="1:17">
      <c r="A172" s="89" t="s">
        <v>613</v>
      </c>
      <c r="B172" s="89" t="s">
        <v>175</v>
      </c>
      <c r="C172" s="87" t="s">
        <v>362</v>
      </c>
      <c r="D172" s="87">
        <v>1.29</v>
      </c>
      <c r="E172" s="87">
        <f>1000-675-325</f>
        <v>0</v>
      </c>
      <c r="F172" s="89">
        <f>1-1</f>
        <v>0</v>
      </c>
      <c r="G172" s="89">
        <f t="shared" si="29"/>
        <v>0</v>
      </c>
      <c r="H172" s="87">
        <f t="shared" si="24"/>
        <v>0</v>
      </c>
      <c r="I172" s="90">
        <v>157.1</v>
      </c>
      <c r="J172" s="90">
        <f t="shared" si="30"/>
        <v>0</v>
      </c>
      <c r="K172" s="89" t="s">
        <v>39</v>
      </c>
      <c r="L172" s="91">
        <v>44866</v>
      </c>
      <c r="M172" s="91" t="s">
        <v>40</v>
      </c>
      <c r="N172" s="87" t="s">
        <v>352</v>
      </c>
      <c r="O172" s="92"/>
      <c r="P172" s="43" t="s">
        <v>467</v>
      </c>
      <c r="Q172" s="71" t="s">
        <v>370</v>
      </c>
    </row>
    <row r="173" spans="1:17">
      <c r="A173" s="89" t="s">
        <v>613</v>
      </c>
      <c r="B173" s="89" t="s">
        <v>175</v>
      </c>
      <c r="C173" s="87" t="s">
        <v>363</v>
      </c>
      <c r="D173" s="87">
        <v>1.29</v>
      </c>
      <c r="E173" s="87">
        <f t="shared" si="31"/>
        <v>0</v>
      </c>
      <c r="F173" s="89">
        <f t="shared" si="32"/>
        <v>0</v>
      </c>
      <c r="G173" s="89">
        <f t="shared" si="29"/>
        <v>0</v>
      </c>
      <c r="H173" s="87">
        <f t="shared" si="24"/>
        <v>0</v>
      </c>
      <c r="I173" s="90">
        <v>157.1</v>
      </c>
      <c r="J173" s="90">
        <f t="shared" si="30"/>
        <v>0</v>
      </c>
      <c r="K173" s="89" t="s">
        <v>39</v>
      </c>
      <c r="L173" s="91">
        <v>44866</v>
      </c>
      <c r="M173" s="91" t="s">
        <v>40</v>
      </c>
      <c r="N173" s="87" t="s">
        <v>353</v>
      </c>
      <c r="O173" s="92"/>
      <c r="P173" s="87" t="s">
        <v>467</v>
      </c>
      <c r="Q173" s="95" t="s">
        <v>370</v>
      </c>
    </row>
    <row r="174" spans="1:17">
      <c r="A174" s="89" t="s">
        <v>613</v>
      </c>
      <c r="B174" s="89" t="s">
        <v>175</v>
      </c>
      <c r="C174" s="87" t="s">
        <v>364</v>
      </c>
      <c r="D174" s="87">
        <v>1.29</v>
      </c>
      <c r="E174" s="87">
        <f>800-200-600</f>
        <v>0</v>
      </c>
      <c r="F174" s="89">
        <f>1-1</f>
        <v>0</v>
      </c>
      <c r="G174" s="89">
        <f t="shared" ref="G174" si="33">E174*F174</f>
        <v>0</v>
      </c>
      <c r="H174" s="87">
        <f t="shared" si="24"/>
        <v>0</v>
      </c>
      <c r="I174" s="90">
        <v>157.1</v>
      </c>
      <c r="J174" s="90">
        <f t="shared" ref="J174" si="34">G174*I174</f>
        <v>0</v>
      </c>
      <c r="K174" s="89" t="s">
        <v>39</v>
      </c>
      <c r="L174" s="91">
        <v>44866</v>
      </c>
      <c r="M174" s="91" t="s">
        <v>40</v>
      </c>
      <c r="N174" s="87" t="s">
        <v>354</v>
      </c>
      <c r="O174" s="92" t="s">
        <v>454</v>
      </c>
      <c r="P174" s="87" t="s">
        <v>467</v>
      </c>
      <c r="Q174" s="95" t="s">
        <v>370</v>
      </c>
    </row>
    <row r="175" spans="1:17">
      <c r="A175" s="89" t="s">
        <v>613</v>
      </c>
      <c r="B175" s="89" t="s">
        <v>175</v>
      </c>
      <c r="C175" s="87" t="s">
        <v>364</v>
      </c>
      <c r="D175" s="87">
        <v>1.29</v>
      </c>
      <c r="E175" s="87">
        <f>150-150</f>
        <v>0</v>
      </c>
      <c r="F175" s="89">
        <f>1-1</f>
        <v>0</v>
      </c>
      <c r="G175" s="89">
        <f t="shared" si="29"/>
        <v>0</v>
      </c>
      <c r="H175" s="87">
        <f t="shared" si="24"/>
        <v>0</v>
      </c>
      <c r="I175" s="90">
        <v>157.1</v>
      </c>
      <c r="J175" s="90">
        <f t="shared" si="30"/>
        <v>0</v>
      </c>
      <c r="K175" s="89" t="s">
        <v>39</v>
      </c>
      <c r="L175" s="91">
        <v>44866</v>
      </c>
      <c r="M175" s="91" t="s">
        <v>40</v>
      </c>
      <c r="N175" s="87" t="s">
        <v>354</v>
      </c>
      <c r="O175" s="92" t="s">
        <v>454</v>
      </c>
      <c r="P175" s="87" t="s">
        <v>467</v>
      </c>
      <c r="Q175" s="95" t="s">
        <v>370</v>
      </c>
    </row>
    <row r="176" spans="1:17">
      <c r="A176" s="89" t="s">
        <v>613</v>
      </c>
      <c r="B176" s="89" t="s">
        <v>175</v>
      </c>
      <c r="C176" s="87" t="s">
        <v>365</v>
      </c>
      <c r="D176" s="87">
        <v>1.29</v>
      </c>
      <c r="E176" s="87">
        <f t="shared" ref="E176:E177" si="35">1000-1000</f>
        <v>0</v>
      </c>
      <c r="F176" s="89">
        <f t="shared" ref="F176:F177" si="36">1-1</f>
        <v>0</v>
      </c>
      <c r="G176" s="89">
        <f t="shared" si="29"/>
        <v>0</v>
      </c>
      <c r="H176" s="87">
        <f t="shared" si="24"/>
        <v>0</v>
      </c>
      <c r="I176" s="90">
        <v>157.1</v>
      </c>
      <c r="J176" s="90">
        <f t="shared" si="30"/>
        <v>0</v>
      </c>
      <c r="K176" s="89" t="s">
        <v>39</v>
      </c>
      <c r="L176" s="91">
        <v>44866</v>
      </c>
      <c r="M176" s="91" t="s">
        <v>40</v>
      </c>
      <c r="N176" s="87" t="s">
        <v>355</v>
      </c>
      <c r="O176" s="92"/>
      <c r="P176" s="87" t="s">
        <v>467</v>
      </c>
      <c r="Q176" s="95" t="s">
        <v>371</v>
      </c>
    </row>
    <row r="177" spans="1:17">
      <c r="A177" s="89" t="s">
        <v>613</v>
      </c>
      <c r="B177" s="89" t="s">
        <v>175</v>
      </c>
      <c r="C177" s="87" t="s">
        <v>366</v>
      </c>
      <c r="D177" s="87">
        <v>1.29</v>
      </c>
      <c r="E177" s="87">
        <f t="shared" si="35"/>
        <v>0</v>
      </c>
      <c r="F177" s="89">
        <f t="shared" si="36"/>
        <v>0</v>
      </c>
      <c r="G177" s="89">
        <f t="shared" si="29"/>
        <v>0</v>
      </c>
      <c r="H177" s="87">
        <f t="shared" si="24"/>
        <v>0</v>
      </c>
      <c r="I177" s="90">
        <v>157.1</v>
      </c>
      <c r="J177" s="90">
        <f t="shared" si="30"/>
        <v>0</v>
      </c>
      <c r="K177" s="89" t="s">
        <v>39</v>
      </c>
      <c r="L177" s="91">
        <v>44866</v>
      </c>
      <c r="M177" s="91" t="s">
        <v>40</v>
      </c>
      <c r="N177" s="87" t="s">
        <v>356</v>
      </c>
      <c r="O177" s="92"/>
      <c r="P177" s="87" t="s">
        <v>467</v>
      </c>
      <c r="Q177" s="95" t="s">
        <v>371</v>
      </c>
    </row>
    <row r="178" spans="1:17">
      <c r="A178" s="89" t="s">
        <v>613</v>
      </c>
      <c r="B178" s="89" t="s">
        <v>175</v>
      </c>
      <c r="C178" s="87" t="s">
        <v>367</v>
      </c>
      <c r="D178" s="87">
        <v>1.29</v>
      </c>
      <c r="E178" s="87">
        <f>1000-1000</f>
        <v>0</v>
      </c>
      <c r="F178" s="89">
        <f>1-1</f>
        <v>0</v>
      </c>
      <c r="G178" s="89">
        <f t="shared" si="29"/>
        <v>0</v>
      </c>
      <c r="H178" s="87">
        <f t="shared" si="24"/>
        <v>0</v>
      </c>
      <c r="I178" s="90">
        <v>157.1</v>
      </c>
      <c r="J178" s="90">
        <f t="shared" si="30"/>
        <v>0</v>
      </c>
      <c r="K178" s="89" t="s">
        <v>39</v>
      </c>
      <c r="L178" s="91">
        <v>44866</v>
      </c>
      <c r="M178" s="91" t="s">
        <v>40</v>
      </c>
      <c r="N178" s="87" t="s">
        <v>357</v>
      </c>
      <c r="O178" s="92"/>
      <c r="P178" s="87" t="s">
        <v>467</v>
      </c>
      <c r="Q178" s="95" t="s">
        <v>371</v>
      </c>
    </row>
    <row r="179" spans="1:17">
      <c r="A179" s="89" t="s">
        <v>613</v>
      </c>
      <c r="B179" s="89" t="s">
        <v>175</v>
      </c>
      <c r="C179" s="87" t="s">
        <v>368</v>
      </c>
      <c r="D179" s="87">
        <v>1.29</v>
      </c>
      <c r="E179" s="87">
        <f>1000-1000</f>
        <v>0</v>
      </c>
      <c r="F179" s="89">
        <f>1-1</f>
        <v>0</v>
      </c>
      <c r="G179" s="89">
        <f t="shared" si="29"/>
        <v>0</v>
      </c>
      <c r="H179" s="87">
        <f t="shared" ref="H179:H243" si="37">D179*G179</f>
        <v>0</v>
      </c>
      <c r="I179" s="90">
        <v>157.1</v>
      </c>
      <c r="J179" s="90">
        <f t="shared" si="30"/>
        <v>0</v>
      </c>
      <c r="K179" s="89" t="s">
        <v>39</v>
      </c>
      <c r="L179" s="91">
        <v>44866</v>
      </c>
      <c r="M179" s="91" t="s">
        <v>40</v>
      </c>
      <c r="N179" s="87" t="s">
        <v>358</v>
      </c>
      <c r="O179" s="92"/>
      <c r="P179" s="87" t="s">
        <v>467</v>
      </c>
      <c r="Q179" s="95" t="s">
        <v>371</v>
      </c>
    </row>
    <row r="180" spans="1:17">
      <c r="A180" s="89" t="s">
        <v>613</v>
      </c>
      <c r="B180" s="89" t="s">
        <v>175</v>
      </c>
      <c r="C180" s="87" t="s">
        <v>369</v>
      </c>
      <c r="D180" s="87">
        <v>1.29</v>
      </c>
      <c r="E180" s="87">
        <f>1000-1000</f>
        <v>0</v>
      </c>
      <c r="F180" s="89">
        <f>1-1</f>
        <v>0</v>
      </c>
      <c r="G180" s="89">
        <f t="shared" si="29"/>
        <v>0</v>
      </c>
      <c r="H180" s="87">
        <f t="shared" si="37"/>
        <v>0</v>
      </c>
      <c r="I180" s="90">
        <v>157.1</v>
      </c>
      <c r="J180" s="90">
        <f>G180*I180</f>
        <v>0</v>
      </c>
      <c r="K180" s="89" t="s">
        <v>39</v>
      </c>
      <c r="L180" s="91">
        <v>44866</v>
      </c>
      <c r="M180" s="91" t="s">
        <v>40</v>
      </c>
      <c r="N180" s="89" t="s">
        <v>359</v>
      </c>
      <c r="O180" s="92"/>
      <c r="P180" s="87" t="s">
        <v>467</v>
      </c>
      <c r="Q180" s="95" t="s">
        <v>371</v>
      </c>
    </row>
    <row r="181" spans="1:17">
      <c r="A181" s="89" t="s">
        <v>374</v>
      </c>
      <c r="B181" s="89" t="s">
        <v>280</v>
      </c>
      <c r="C181" s="89" t="s">
        <v>375</v>
      </c>
      <c r="D181" s="89">
        <v>1.28</v>
      </c>
      <c r="E181" s="89">
        <v>2000</v>
      </c>
      <c r="F181" s="89">
        <v>1</v>
      </c>
      <c r="G181" s="89">
        <f t="shared" si="29"/>
        <v>2000</v>
      </c>
      <c r="H181" s="89">
        <f t="shared" si="37"/>
        <v>2560</v>
      </c>
      <c r="I181" s="94">
        <v>437.5</v>
      </c>
      <c r="J181" s="90">
        <f>G181*I181</f>
        <v>875000</v>
      </c>
      <c r="K181" s="89" t="s">
        <v>39</v>
      </c>
      <c r="L181" s="91">
        <v>44866</v>
      </c>
      <c r="M181" s="99"/>
      <c r="N181" s="89"/>
      <c r="O181" s="93"/>
      <c r="P181" s="87" t="s">
        <v>467</v>
      </c>
      <c r="Q181" s="95" t="s">
        <v>381</v>
      </c>
    </row>
    <row r="182" spans="1:17">
      <c r="A182" s="89" t="s">
        <v>374</v>
      </c>
      <c r="B182" s="89" t="s">
        <v>280</v>
      </c>
      <c r="C182" s="87" t="s">
        <v>376</v>
      </c>
      <c r="D182" s="89">
        <v>1.28</v>
      </c>
      <c r="E182" s="89">
        <v>2000</v>
      </c>
      <c r="F182" s="89">
        <v>1</v>
      </c>
      <c r="G182" s="89">
        <f t="shared" si="29"/>
        <v>2000</v>
      </c>
      <c r="H182" s="87">
        <f t="shared" si="37"/>
        <v>2560</v>
      </c>
      <c r="I182" s="94">
        <v>437.5</v>
      </c>
      <c r="J182" s="90">
        <f t="shared" ref="J182:J186" si="38">G182*I182</f>
        <v>875000</v>
      </c>
      <c r="K182" s="89" t="s">
        <v>39</v>
      </c>
      <c r="L182" s="91">
        <v>44866</v>
      </c>
      <c r="M182" s="91"/>
      <c r="N182" s="87"/>
      <c r="O182" s="92"/>
      <c r="P182" s="87" t="s">
        <v>467</v>
      </c>
      <c r="Q182" s="95" t="s">
        <v>382</v>
      </c>
    </row>
    <row r="183" spans="1:17">
      <c r="A183" s="89" t="s">
        <v>374</v>
      </c>
      <c r="B183" s="89" t="s">
        <v>280</v>
      </c>
      <c r="C183" s="87" t="s">
        <v>377</v>
      </c>
      <c r="D183" s="89">
        <v>1.28</v>
      </c>
      <c r="E183" s="89">
        <v>2000</v>
      </c>
      <c r="F183" s="89">
        <v>1</v>
      </c>
      <c r="G183" s="89">
        <f t="shared" si="29"/>
        <v>2000</v>
      </c>
      <c r="H183" s="87">
        <f t="shared" si="37"/>
        <v>2560</v>
      </c>
      <c r="I183" s="94">
        <v>437.5</v>
      </c>
      <c r="J183" s="90">
        <f t="shared" si="38"/>
        <v>875000</v>
      </c>
      <c r="K183" s="89" t="s">
        <v>39</v>
      </c>
      <c r="L183" s="91">
        <v>44866</v>
      </c>
      <c r="M183" s="91"/>
      <c r="N183" s="87"/>
      <c r="O183" s="92"/>
      <c r="P183" s="87" t="s">
        <v>467</v>
      </c>
      <c r="Q183" s="95" t="s">
        <v>383</v>
      </c>
    </row>
    <row r="184" spans="1:17">
      <c r="A184" s="89" t="s">
        <v>374</v>
      </c>
      <c r="B184" s="89" t="s">
        <v>280</v>
      </c>
      <c r="C184" s="87" t="s">
        <v>378</v>
      </c>
      <c r="D184" s="89">
        <v>1.28</v>
      </c>
      <c r="E184" s="89">
        <v>2000</v>
      </c>
      <c r="F184" s="89">
        <v>1</v>
      </c>
      <c r="G184" s="89">
        <f t="shared" si="29"/>
        <v>2000</v>
      </c>
      <c r="H184" s="87">
        <f t="shared" si="37"/>
        <v>2560</v>
      </c>
      <c r="I184" s="94">
        <v>437.5</v>
      </c>
      <c r="J184" s="90">
        <f t="shared" si="38"/>
        <v>875000</v>
      </c>
      <c r="K184" s="89" t="s">
        <v>39</v>
      </c>
      <c r="L184" s="91">
        <v>44866</v>
      </c>
      <c r="M184" s="91"/>
      <c r="N184" s="87"/>
      <c r="O184" s="92"/>
      <c r="P184" s="87" t="s">
        <v>467</v>
      </c>
      <c r="Q184" s="95" t="s">
        <v>384</v>
      </c>
    </row>
    <row r="185" spans="1:17">
      <c r="A185" s="89" t="s">
        <v>374</v>
      </c>
      <c r="B185" s="89" t="s">
        <v>280</v>
      </c>
      <c r="C185" s="87" t="s">
        <v>379</v>
      </c>
      <c r="D185" s="89">
        <v>1.28</v>
      </c>
      <c r="E185" s="87">
        <v>1600</v>
      </c>
      <c r="F185" s="89">
        <v>1</v>
      </c>
      <c r="G185" s="89">
        <f t="shared" si="29"/>
        <v>1600</v>
      </c>
      <c r="H185" s="87">
        <f t="shared" si="37"/>
        <v>2048</v>
      </c>
      <c r="I185" s="94">
        <v>437.5</v>
      </c>
      <c r="J185" s="90">
        <f t="shared" si="38"/>
        <v>700000</v>
      </c>
      <c r="K185" s="89" t="s">
        <v>39</v>
      </c>
      <c r="L185" s="91">
        <v>44866</v>
      </c>
      <c r="M185" s="91"/>
      <c r="N185" s="87"/>
      <c r="O185" s="92"/>
      <c r="P185" s="87" t="s">
        <v>467</v>
      </c>
      <c r="Q185" s="95" t="s">
        <v>385</v>
      </c>
    </row>
    <row r="186" spans="1:17">
      <c r="A186" s="89" t="s">
        <v>374</v>
      </c>
      <c r="B186" s="89" t="s">
        <v>280</v>
      </c>
      <c r="C186" s="87" t="s">
        <v>380</v>
      </c>
      <c r="D186" s="89">
        <v>1.28</v>
      </c>
      <c r="E186" s="87">
        <f>690-260</f>
        <v>430</v>
      </c>
      <c r="F186" s="89">
        <v>1</v>
      </c>
      <c r="G186" s="89">
        <f t="shared" si="29"/>
        <v>430</v>
      </c>
      <c r="H186" s="87">
        <f t="shared" si="37"/>
        <v>550.4</v>
      </c>
      <c r="I186" s="94">
        <v>437.5</v>
      </c>
      <c r="J186" s="90">
        <f t="shared" si="38"/>
        <v>188125</v>
      </c>
      <c r="K186" s="89" t="s">
        <v>39</v>
      </c>
      <c r="L186" s="91">
        <v>44866</v>
      </c>
      <c r="M186" s="91"/>
      <c r="N186" s="87"/>
      <c r="O186" s="92"/>
      <c r="P186" s="87" t="s">
        <v>467</v>
      </c>
      <c r="Q186" s="95" t="s">
        <v>386</v>
      </c>
    </row>
    <row r="187" spans="1:17">
      <c r="A187" s="43" t="s">
        <v>395</v>
      </c>
      <c r="B187" s="43" t="s">
        <v>396</v>
      </c>
      <c r="C187" s="43" t="s">
        <v>517</v>
      </c>
      <c r="D187" s="43">
        <v>1.2</v>
      </c>
      <c r="E187" s="43">
        <f>14-14</f>
        <v>0</v>
      </c>
      <c r="F187" s="43">
        <f>1-1</f>
        <v>0</v>
      </c>
      <c r="G187" s="43">
        <f>テーブル1[[#This Row],[長さ(m)]]</f>
        <v>0</v>
      </c>
      <c r="H187" s="43">
        <f t="shared" si="37"/>
        <v>0</v>
      </c>
      <c r="I187" s="47">
        <v>1661.8303753028922</v>
      </c>
      <c r="J187" s="47">
        <f t="shared" ref="J187:J191" si="39">H187*I187</f>
        <v>0</v>
      </c>
      <c r="K187" s="43" t="s">
        <v>18</v>
      </c>
      <c r="L187" s="48">
        <v>44835</v>
      </c>
      <c r="M187" s="48"/>
      <c r="N187" s="43"/>
      <c r="O187" s="46" t="s">
        <v>457</v>
      </c>
      <c r="P187" s="43" t="s">
        <v>515</v>
      </c>
      <c r="Q187" s="71"/>
    </row>
    <row r="188" spans="1:17">
      <c r="A188" s="43" t="s">
        <v>395</v>
      </c>
      <c r="B188" s="43" t="s">
        <v>396</v>
      </c>
      <c r="C188" s="43" t="s">
        <v>518</v>
      </c>
      <c r="D188" s="43">
        <v>1.2</v>
      </c>
      <c r="E188" s="43">
        <f>14.9-14.9</f>
        <v>0</v>
      </c>
      <c r="F188" s="43">
        <f>1-1</f>
        <v>0</v>
      </c>
      <c r="G188" s="43">
        <f>テーブル1[[#This Row],[長さ(m)]]</f>
        <v>0</v>
      </c>
      <c r="H188" s="43">
        <f t="shared" si="37"/>
        <v>0</v>
      </c>
      <c r="I188" s="47">
        <v>1661.8303753028922</v>
      </c>
      <c r="J188" s="47">
        <f t="shared" si="39"/>
        <v>0</v>
      </c>
      <c r="K188" s="43" t="s">
        <v>18</v>
      </c>
      <c r="L188" s="48">
        <v>44835</v>
      </c>
      <c r="M188" s="48"/>
      <c r="N188" s="43"/>
      <c r="O188" s="46" t="s">
        <v>457</v>
      </c>
      <c r="P188" s="43" t="s">
        <v>515</v>
      </c>
      <c r="Q188" s="71"/>
    </row>
    <row r="189" spans="1:17">
      <c r="A189" s="43" t="s">
        <v>395</v>
      </c>
      <c r="B189" s="43" t="s">
        <v>396</v>
      </c>
      <c r="C189" s="43" t="s">
        <v>519</v>
      </c>
      <c r="D189" s="43">
        <v>1.2</v>
      </c>
      <c r="E189" s="43">
        <v>17.8</v>
      </c>
      <c r="F189" s="43">
        <v>1</v>
      </c>
      <c r="G189" s="43">
        <f>テーブル1[[#This Row],[長さ(m)]]</f>
        <v>17.8</v>
      </c>
      <c r="H189" s="43">
        <f t="shared" si="37"/>
        <v>21.36</v>
      </c>
      <c r="I189" s="47">
        <v>1661.8303753028922</v>
      </c>
      <c r="J189" s="47">
        <f t="shared" si="39"/>
        <v>35496.696816469776</v>
      </c>
      <c r="K189" s="43" t="s">
        <v>18</v>
      </c>
      <c r="L189" s="48">
        <v>44835</v>
      </c>
      <c r="M189" s="48"/>
      <c r="N189" s="43"/>
      <c r="O189" s="46" t="s">
        <v>457</v>
      </c>
      <c r="P189" s="43" t="s">
        <v>515</v>
      </c>
      <c r="Q189" s="71"/>
    </row>
    <row r="190" spans="1:17">
      <c r="A190" s="43" t="s">
        <v>395</v>
      </c>
      <c r="B190" s="43" t="s">
        <v>396</v>
      </c>
      <c r="C190" s="43" t="s">
        <v>520</v>
      </c>
      <c r="D190" s="43">
        <v>1.2</v>
      </c>
      <c r="E190" s="43">
        <v>18</v>
      </c>
      <c r="F190" s="43">
        <v>1</v>
      </c>
      <c r="G190" s="43">
        <f>テーブル1[[#This Row],[長さ(m)]]</f>
        <v>18</v>
      </c>
      <c r="H190" s="43">
        <f t="shared" si="37"/>
        <v>21.599999999999998</v>
      </c>
      <c r="I190" s="47">
        <v>1661.8303753028922</v>
      </c>
      <c r="J190" s="47">
        <f t="shared" si="39"/>
        <v>35895.536106542466</v>
      </c>
      <c r="K190" s="43" t="s">
        <v>18</v>
      </c>
      <c r="L190" s="48">
        <v>44835</v>
      </c>
      <c r="M190" s="48"/>
      <c r="N190" s="43"/>
      <c r="O190" s="46" t="s">
        <v>457</v>
      </c>
      <c r="P190" s="43" t="s">
        <v>515</v>
      </c>
      <c r="Q190" s="71"/>
    </row>
    <row r="191" spans="1:17">
      <c r="A191" s="75" t="s">
        <v>395</v>
      </c>
      <c r="B191" s="75" t="s">
        <v>396</v>
      </c>
      <c r="C191" s="43" t="s">
        <v>521</v>
      </c>
      <c r="D191" s="43">
        <v>1.2</v>
      </c>
      <c r="E191" s="75">
        <f>8.5-8.5</f>
        <v>0</v>
      </c>
      <c r="F191" s="75">
        <f>1-1</f>
        <v>0</v>
      </c>
      <c r="G191" s="43">
        <f>テーブル1[[#This Row],[長さ(m)]]</f>
        <v>0</v>
      </c>
      <c r="H191" s="75">
        <f t="shared" si="37"/>
        <v>0</v>
      </c>
      <c r="I191" s="76">
        <v>1661.830375302892</v>
      </c>
      <c r="J191" s="76">
        <f t="shared" si="39"/>
        <v>0</v>
      </c>
      <c r="K191" s="43" t="s">
        <v>18</v>
      </c>
      <c r="L191" s="48">
        <v>44835</v>
      </c>
      <c r="M191" s="48"/>
      <c r="N191" s="43" t="s">
        <v>453</v>
      </c>
      <c r="O191" s="57" t="s">
        <v>457</v>
      </c>
      <c r="P191" s="75" t="s">
        <v>516</v>
      </c>
      <c r="Q191" s="77"/>
    </row>
    <row r="192" spans="1:17">
      <c r="A192" s="43" t="s">
        <v>233</v>
      </c>
      <c r="B192" s="44" t="s">
        <v>9</v>
      </c>
      <c r="C192" s="43" t="s">
        <v>400</v>
      </c>
      <c r="D192" s="43">
        <v>1.042</v>
      </c>
      <c r="E192" s="43">
        <f>50-50</f>
        <v>0</v>
      </c>
      <c r="F192" s="75">
        <f>1-1</f>
        <v>0</v>
      </c>
      <c r="G192" s="43">
        <f>テーブル1[[#This Row],[長さ(m)]]</f>
        <v>0</v>
      </c>
      <c r="H192" s="43">
        <f t="shared" si="37"/>
        <v>0</v>
      </c>
      <c r="I192" s="47">
        <v>2692.4934648095477</v>
      </c>
      <c r="J192" s="47">
        <f t="shared" ref="J192:J194" si="40">H192*I192</f>
        <v>0</v>
      </c>
      <c r="K192" s="43" t="s">
        <v>17</v>
      </c>
      <c r="L192" s="48">
        <v>44866</v>
      </c>
      <c r="M192" s="48"/>
      <c r="N192" s="43" t="s">
        <v>433</v>
      </c>
      <c r="O192" s="46" t="s">
        <v>431</v>
      </c>
      <c r="P192" s="43"/>
      <c r="Q192" s="71"/>
    </row>
    <row r="193" spans="1:17">
      <c r="A193" s="43" t="s">
        <v>233</v>
      </c>
      <c r="B193" s="44" t="s">
        <v>9</v>
      </c>
      <c r="C193" s="75" t="s">
        <v>655</v>
      </c>
      <c r="D193" s="75">
        <v>0.3</v>
      </c>
      <c r="E193" s="75">
        <f>50-50</f>
        <v>0</v>
      </c>
      <c r="F193" s="75">
        <f>1-1</f>
        <v>0</v>
      </c>
      <c r="G193" s="43">
        <f>テーブル1[[#This Row],[長さ(m)]]</f>
        <v>0</v>
      </c>
      <c r="H193" s="75">
        <f>D193*G193</f>
        <v>0</v>
      </c>
      <c r="I193" s="76">
        <v>2692.4934648095477</v>
      </c>
      <c r="J193" s="76">
        <f t="shared" ref="J193" si="41">H193*I193</f>
        <v>0</v>
      </c>
      <c r="K193" s="43" t="s">
        <v>18</v>
      </c>
      <c r="L193" s="48">
        <v>44866</v>
      </c>
      <c r="M193" s="48"/>
      <c r="N193" s="43" t="s">
        <v>433</v>
      </c>
      <c r="O193" s="46" t="s">
        <v>431</v>
      </c>
      <c r="P193" s="75"/>
      <c r="Q193" s="77"/>
    </row>
    <row r="194" spans="1:17">
      <c r="A194" s="43" t="s">
        <v>233</v>
      </c>
      <c r="B194" s="44" t="s">
        <v>9</v>
      </c>
      <c r="C194" s="75" t="s">
        <v>656</v>
      </c>
      <c r="D194" s="75">
        <v>0.3</v>
      </c>
      <c r="E194" s="75">
        <f>50-50</f>
        <v>0</v>
      </c>
      <c r="F194" s="75">
        <f>1-1</f>
        <v>0</v>
      </c>
      <c r="G194" s="43">
        <f>テーブル1[[#This Row],[長さ(m)]]</f>
        <v>0</v>
      </c>
      <c r="H194" s="75">
        <f>D194*G194</f>
        <v>0</v>
      </c>
      <c r="I194" s="76">
        <v>2692.4934648095477</v>
      </c>
      <c r="J194" s="76">
        <f t="shared" si="40"/>
        <v>0</v>
      </c>
      <c r="K194" s="43" t="s">
        <v>18</v>
      </c>
      <c r="L194" s="48">
        <v>44866</v>
      </c>
      <c r="M194" s="48"/>
      <c r="N194" s="43" t="s">
        <v>433</v>
      </c>
      <c r="O194" s="46" t="s">
        <v>431</v>
      </c>
      <c r="P194" s="75"/>
      <c r="Q194" s="77"/>
    </row>
    <row r="195" spans="1:17">
      <c r="A195" s="43" t="s">
        <v>233</v>
      </c>
      <c r="B195" s="44" t="s">
        <v>9</v>
      </c>
      <c r="C195" s="43" t="s">
        <v>401</v>
      </c>
      <c r="D195" s="43">
        <v>0.3</v>
      </c>
      <c r="E195" s="43">
        <f>50-50</f>
        <v>0</v>
      </c>
      <c r="F195" s="75">
        <f>3-3</f>
        <v>0</v>
      </c>
      <c r="G195" s="43">
        <f>テーブル1[[#This Row],[長さ(m)]]</f>
        <v>0</v>
      </c>
      <c r="H195" s="43">
        <f t="shared" si="37"/>
        <v>0</v>
      </c>
      <c r="I195" s="47">
        <v>2692.4934648095477</v>
      </c>
      <c r="J195" s="47">
        <f t="shared" ref="J195:J211" si="42">H195*I195</f>
        <v>0</v>
      </c>
      <c r="K195" s="43" t="s">
        <v>18</v>
      </c>
      <c r="L195" s="48">
        <v>44866</v>
      </c>
      <c r="M195" s="48"/>
      <c r="N195" s="43" t="s">
        <v>433</v>
      </c>
      <c r="O195" s="46" t="s">
        <v>431</v>
      </c>
      <c r="P195" s="43" t="s">
        <v>811</v>
      </c>
      <c r="Q195" s="71"/>
    </row>
    <row r="196" spans="1:17">
      <c r="A196" s="43" t="s">
        <v>233</v>
      </c>
      <c r="B196" s="44" t="s">
        <v>9</v>
      </c>
      <c r="C196" s="43" t="s">
        <v>402</v>
      </c>
      <c r="D196" s="43">
        <v>1.042</v>
      </c>
      <c r="E196" s="43">
        <f>49.5-2-4-3</f>
        <v>40.5</v>
      </c>
      <c r="F196" s="75">
        <v>1</v>
      </c>
      <c r="G196" s="43">
        <f>テーブル1[[#This Row],[長さ(m)]]</f>
        <v>40.5</v>
      </c>
      <c r="H196" s="43">
        <f t="shared" si="37"/>
        <v>42.201000000000001</v>
      </c>
      <c r="I196" s="47">
        <v>2692.4934648095477</v>
      </c>
      <c r="J196" s="47">
        <f t="shared" si="42"/>
        <v>113625.91670842773</v>
      </c>
      <c r="K196" s="43" t="s">
        <v>18</v>
      </c>
      <c r="L196" s="48">
        <v>44866</v>
      </c>
      <c r="M196" s="48"/>
      <c r="N196" s="43" t="s">
        <v>433</v>
      </c>
      <c r="O196" s="46" t="s">
        <v>431</v>
      </c>
      <c r="P196" s="43"/>
      <c r="Q196" s="71"/>
    </row>
    <row r="197" spans="1:17">
      <c r="A197" s="43" t="s">
        <v>233</v>
      </c>
      <c r="B197" s="44" t="s">
        <v>9</v>
      </c>
      <c r="C197" s="43" t="s">
        <v>403</v>
      </c>
      <c r="D197" s="43">
        <v>1.042</v>
      </c>
      <c r="E197" s="43">
        <f>50-50</f>
        <v>0</v>
      </c>
      <c r="F197" s="75">
        <f>1-1</f>
        <v>0</v>
      </c>
      <c r="G197" s="43">
        <f>テーブル1[[#This Row],[長さ(m)]]</f>
        <v>0</v>
      </c>
      <c r="H197" s="43">
        <f t="shared" si="37"/>
        <v>0</v>
      </c>
      <c r="I197" s="47">
        <v>2692.4934648095477</v>
      </c>
      <c r="J197" s="47">
        <f t="shared" si="42"/>
        <v>0</v>
      </c>
      <c r="K197" s="43" t="s">
        <v>17</v>
      </c>
      <c r="L197" s="48">
        <v>44866</v>
      </c>
      <c r="M197" s="48"/>
      <c r="N197" s="43" t="s">
        <v>433</v>
      </c>
      <c r="O197" s="46" t="s">
        <v>431</v>
      </c>
      <c r="P197" s="43"/>
      <c r="Q197" s="71"/>
    </row>
    <row r="198" spans="1:17">
      <c r="A198" s="80" t="s">
        <v>233</v>
      </c>
      <c r="B198" s="84" t="s">
        <v>13</v>
      </c>
      <c r="C198" s="49" t="s">
        <v>404</v>
      </c>
      <c r="D198" s="49">
        <v>1.042</v>
      </c>
      <c r="E198" s="49">
        <f>50-33-5-12</f>
        <v>0</v>
      </c>
      <c r="F198" s="80">
        <f>1-1</f>
        <v>0</v>
      </c>
      <c r="G198" s="49">
        <f>テーブル1[[#This Row],[長さ(m)]]</f>
        <v>0</v>
      </c>
      <c r="H198" s="49">
        <f t="shared" si="37"/>
        <v>0</v>
      </c>
      <c r="I198" s="53">
        <v>2638.8534492006261</v>
      </c>
      <c r="J198" s="53">
        <f t="shared" si="42"/>
        <v>0</v>
      </c>
      <c r="K198" s="49" t="s">
        <v>18</v>
      </c>
      <c r="L198" s="55">
        <v>44866</v>
      </c>
      <c r="M198" s="55"/>
      <c r="N198" s="43" t="s">
        <v>433</v>
      </c>
      <c r="O198" s="46" t="s">
        <v>431</v>
      </c>
      <c r="P198" s="43"/>
      <c r="Q198" s="71"/>
    </row>
    <row r="199" spans="1:17">
      <c r="A199" s="80" t="s">
        <v>233</v>
      </c>
      <c r="B199" s="84" t="s">
        <v>13</v>
      </c>
      <c r="C199" s="49" t="s">
        <v>405</v>
      </c>
      <c r="D199" s="49">
        <v>1.042</v>
      </c>
      <c r="E199" s="49">
        <f>50-50</f>
        <v>0</v>
      </c>
      <c r="F199" s="80">
        <f>1-1</f>
        <v>0</v>
      </c>
      <c r="G199" s="49">
        <f>テーブル1[[#This Row],[長さ(m)]]</f>
        <v>0</v>
      </c>
      <c r="H199" s="49">
        <f t="shared" si="37"/>
        <v>0</v>
      </c>
      <c r="I199" s="53">
        <v>2638.8534492006261</v>
      </c>
      <c r="J199" s="53">
        <f t="shared" si="42"/>
        <v>0</v>
      </c>
      <c r="K199" s="49" t="s">
        <v>17</v>
      </c>
      <c r="L199" s="55">
        <v>44866</v>
      </c>
      <c r="M199" s="55"/>
      <c r="N199" s="43" t="s">
        <v>433</v>
      </c>
      <c r="O199" s="46" t="s">
        <v>431</v>
      </c>
      <c r="P199" s="43"/>
      <c r="Q199" s="71"/>
    </row>
    <row r="200" spans="1:17">
      <c r="A200" s="80" t="s">
        <v>233</v>
      </c>
      <c r="B200" s="84" t="s">
        <v>13</v>
      </c>
      <c r="C200" s="49" t="s">
        <v>406</v>
      </c>
      <c r="D200" s="49">
        <v>1.042</v>
      </c>
      <c r="E200" s="49">
        <v>50</v>
      </c>
      <c r="F200" s="80">
        <v>1</v>
      </c>
      <c r="G200" s="49">
        <f>テーブル1[[#This Row],[長さ(m)]]</f>
        <v>50</v>
      </c>
      <c r="H200" s="49">
        <f t="shared" si="37"/>
        <v>52.1</v>
      </c>
      <c r="I200" s="53">
        <v>2638.8534492006261</v>
      </c>
      <c r="J200" s="53">
        <f t="shared" si="42"/>
        <v>137484.26470335262</v>
      </c>
      <c r="K200" s="49" t="s">
        <v>17</v>
      </c>
      <c r="L200" s="55">
        <v>44866</v>
      </c>
      <c r="M200" s="55"/>
      <c r="N200" s="43" t="s">
        <v>433</v>
      </c>
      <c r="O200" s="46" t="s">
        <v>431</v>
      </c>
      <c r="P200" s="43"/>
      <c r="Q200" s="71"/>
    </row>
    <row r="201" spans="1:17">
      <c r="A201" s="80" t="s">
        <v>233</v>
      </c>
      <c r="B201" s="84" t="s">
        <v>13</v>
      </c>
      <c r="C201" s="49" t="s">
        <v>407</v>
      </c>
      <c r="D201" s="49">
        <v>1.042</v>
      </c>
      <c r="E201" s="49">
        <v>56</v>
      </c>
      <c r="F201" s="80">
        <v>1</v>
      </c>
      <c r="G201" s="49">
        <f>テーブル1[[#This Row],[長さ(m)]]</f>
        <v>56</v>
      </c>
      <c r="H201" s="49">
        <f t="shared" si="37"/>
        <v>58.352000000000004</v>
      </c>
      <c r="I201" s="53">
        <v>2638.8534492006261</v>
      </c>
      <c r="J201" s="53">
        <f t="shared" si="42"/>
        <v>153982.37646775495</v>
      </c>
      <c r="K201" s="49" t="s">
        <v>17</v>
      </c>
      <c r="L201" s="55">
        <v>44866</v>
      </c>
      <c r="M201" s="55"/>
      <c r="N201" s="43" t="s">
        <v>433</v>
      </c>
      <c r="O201" s="46" t="s">
        <v>431</v>
      </c>
      <c r="P201" s="43"/>
      <c r="Q201" s="71"/>
    </row>
    <row r="202" spans="1:17">
      <c r="A202" s="43" t="s">
        <v>233</v>
      </c>
      <c r="B202" s="44" t="s">
        <v>9</v>
      </c>
      <c r="C202" s="43" t="s">
        <v>408</v>
      </c>
      <c r="D202" s="43">
        <v>1.042</v>
      </c>
      <c r="E202" s="43">
        <f>50-20</f>
        <v>30</v>
      </c>
      <c r="F202" s="75">
        <v>1</v>
      </c>
      <c r="G202" s="43">
        <f>テーブル1[[#This Row],[長さ(m)]]</f>
        <v>30</v>
      </c>
      <c r="H202" s="43">
        <f t="shared" si="37"/>
        <v>31.26</v>
      </c>
      <c r="I202" s="47">
        <v>2746.5297705402281</v>
      </c>
      <c r="J202" s="47">
        <f t="shared" si="42"/>
        <v>85856.520627087535</v>
      </c>
      <c r="K202" s="43" t="s">
        <v>18</v>
      </c>
      <c r="L202" s="48">
        <v>44866</v>
      </c>
      <c r="M202" s="48"/>
      <c r="N202" s="43" t="s">
        <v>433</v>
      </c>
      <c r="O202" s="46" t="s">
        <v>431</v>
      </c>
      <c r="P202" s="43"/>
      <c r="Q202" s="71"/>
    </row>
    <row r="203" spans="1:17">
      <c r="A203" s="43" t="s">
        <v>233</v>
      </c>
      <c r="B203" s="44" t="s">
        <v>9</v>
      </c>
      <c r="C203" s="43" t="s">
        <v>409</v>
      </c>
      <c r="D203" s="43">
        <v>1.042</v>
      </c>
      <c r="E203" s="43">
        <f>50-10</f>
        <v>40</v>
      </c>
      <c r="F203" s="75">
        <f>1</f>
        <v>1</v>
      </c>
      <c r="G203" s="43">
        <f>テーブル1[[#This Row],[長さ(m)]]</f>
        <v>40</v>
      </c>
      <c r="H203" s="43">
        <f t="shared" si="37"/>
        <v>41.68</v>
      </c>
      <c r="I203" s="47">
        <v>2746.5297705402281</v>
      </c>
      <c r="J203" s="47">
        <f t="shared" si="42"/>
        <v>114475.36083611671</v>
      </c>
      <c r="K203" s="43" t="s">
        <v>18</v>
      </c>
      <c r="L203" s="48">
        <v>44866</v>
      </c>
      <c r="M203" s="48"/>
      <c r="N203" s="43" t="s">
        <v>433</v>
      </c>
      <c r="O203" s="46" t="s">
        <v>431</v>
      </c>
      <c r="P203" s="43"/>
      <c r="Q203" s="71"/>
    </row>
    <row r="204" spans="1:17">
      <c r="A204" s="43" t="s">
        <v>233</v>
      </c>
      <c r="B204" s="44" t="s">
        <v>9</v>
      </c>
      <c r="C204" s="43" t="s">
        <v>410</v>
      </c>
      <c r="D204" s="43">
        <v>0.3</v>
      </c>
      <c r="E204" s="43">
        <f>50-2</f>
        <v>48</v>
      </c>
      <c r="F204" s="75">
        <v>1</v>
      </c>
      <c r="G204" s="43">
        <f>テーブル1[[#This Row],[長さ(m)]]</f>
        <v>48</v>
      </c>
      <c r="H204" s="43">
        <f t="shared" si="37"/>
        <v>14.399999999999999</v>
      </c>
      <c r="I204" s="47">
        <v>2746.5297705402281</v>
      </c>
      <c r="J204" s="47">
        <f t="shared" si="42"/>
        <v>39550.028695779278</v>
      </c>
      <c r="K204" s="43" t="s">
        <v>18</v>
      </c>
      <c r="L204" s="48">
        <v>44866</v>
      </c>
      <c r="M204" s="48"/>
      <c r="N204" s="43" t="s">
        <v>433</v>
      </c>
      <c r="O204" s="46" t="s">
        <v>431</v>
      </c>
      <c r="P204" s="43"/>
      <c r="Q204" s="71"/>
    </row>
    <row r="205" spans="1:17">
      <c r="A205" s="43" t="s">
        <v>233</v>
      </c>
      <c r="B205" s="44" t="s">
        <v>9</v>
      </c>
      <c r="C205" s="43" t="s">
        <v>411</v>
      </c>
      <c r="D205" s="43">
        <v>1.042</v>
      </c>
      <c r="E205" s="43">
        <f>49-49+30</f>
        <v>30</v>
      </c>
      <c r="F205" s="75">
        <f>1-1+1</f>
        <v>1</v>
      </c>
      <c r="G205" s="43">
        <f>テーブル1[[#This Row],[長さ(m)]]</f>
        <v>30</v>
      </c>
      <c r="H205" s="43">
        <f t="shared" si="37"/>
        <v>31.26</v>
      </c>
      <c r="I205" s="47">
        <v>2746.5297705402277</v>
      </c>
      <c r="J205" s="47">
        <f t="shared" si="42"/>
        <v>85856.520627087521</v>
      </c>
      <c r="K205" s="43" t="s">
        <v>18</v>
      </c>
      <c r="L205" s="48">
        <v>44866</v>
      </c>
      <c r="M205" s="48"/>
      <c r="N205" s="43" t="s">
        <v>433</v>
      </c>
      <c r="O205" s="46" t="s">
        <v>431</v>
      </c>
      <c r="P205" s="43"/>
      <c r="Q205" s="71"/>
    </row>
    <row r="206" spans="1:17">
      <c r="A206" s="43" t="s">
        <v>233</v>
      </c>
      <c r="B206" s="44" t="s">
        <v>9</v>
      </c>
      <c r="C206" s="43" t="s">
        <v>412</v>
      </c>
      <c r="D206" s="43">
        <v>1.042</v>
      </c>
      <c r="E206" s="43">
        <v>50</v>
      </c>
      <c r="F206" s="75">
        <v>1</v>
      </c>
      <c r="G206" s="43">
        <f>テーブル1[[#This Row],[長さ(m)]]</f>
        <v>50</v>
      </c>
      <c r="H206" s="43">
        <f t="shared" si="37"/>
        <v>52.1</v>
      </c>
      <c r="I206" s="47">
        <v>2692.4934648095477</v>
      </c>
      <c r="J206" s="47">
        <f t="shared" si="42"/>
        <v>140278.90951657743</v>
      </c>
      <c r="K206" s="43" t="s">
        <v>17</v>
      </c>
      <c r="L206" s="48">
        <v>44866</v>
      </c>
      <c r="M206" s="48"/>
      <c r="N206" s="43" t="s">
        <v>433</v>
      </c>
      <c r="O206" s="46" t="s">
        <v>431</v>
      </c>
      <c r="P206" s="43"/>
      <c r="Q206" s="71"/>
    </row>
    <row r="207" spans="1:17">
      <c r="A207" s="43" t="s">
        <v>233</v>
      </c>
      <c r="B207" s="44" t="s">
        <v>9</v>
      </c>
      <c r="C207" s="43" t="s">
        <v>413</v>
      </c>
      <c r="D207" s="43">
        <v>1.042</v>
      </c>
      <c r="E207" s="43">
        <v>50</v>
      </c>
      <c r="F207" s="75">
        <v>1</v>
      </c>
      <c r="G207" s="43">
        <f>テーブル1[[#This Row],[長さ(m)]]</f>
        <v>50</v>
      </c>
      <c r="H207" s="43">
        <f t="shared" si="37"/>
        <v>52.1</v>
      </c>
      <c r="I207" s="47">
        <v>2692.4934648095477</v>
      </c>
      <c r="J207" s="47">
        <f>H207*I207</f>
        <v>140278.90951657743</v>
      </c>
      <c r="K207" s="43" t="s">
        <v>17</v>
      </c>
      <c r="L207" s="48">
        <v>44866</v>
      </c>
      <c r="M207" s="48"/>
      <c r="N207" s="43" t="s">
        <v>433</v>
      </c>
      <c r="O207" s="46" t="s">
        <v>431</v>
      </c>
      <c r="P207" s="43"/>
      <c r="Q207" s="71"/>
    </row>
    <row r="208" spans="1:17">
      <c r="A208" s="43" t="s">
        <v>233</v>
      </c>
      <c r="B208" s="44" t="s">
        <v>9</v>
      </c>
      <c r="C208" s="43" t="s">
        <v>414</v>
      </c>
      <c r="D208" s="43">
        <v>1.042</v>
      </c>
      <c r="E208" s="43">
        <v>50</v>
      </c>
      <c r="F208" s="75">
        <v>1</v>
      </c>
      <c r="G208" s="43">
        <f>テーブル1[[#This Row],[長さ(m)]]</f>
        <v>50</v>
      </c>
      <c r="H208" s="43">
        <f t="shared" si="37"/>
        <v>52.1</v>
      </c>
      <c r="I208" s="47">
        <v>2692.4934648095477</v>
      </c>
      <c r="J208" s="47">
        <f t="shared" si="42"/>
        <v>140278.90951657743</v>
      </c>
      <c r="K208" s="43" t="s">
        <v>17</v>
      </c>
      <c r="L208" s="48">
        <v>44866</v>
      </c>
      <c r="M208" s="48"/>
      <c r="N208" s="43" t="s">
        <v>433</v>
      </c>
      <c r="O208" s="46" t="s">
        <v>431</v>
      </c>
      <c r="P208" s="43"/>
      <c r="Q208" s="71"/>
    </row>
    <row r="209" spans="1:17">
      <c r="A209" s="43" t="s">
        <v>233</v>
      </c>
      <c r="B209" s="44" t="s">
        <v>9</v>
      </c>
      <c r="C209" s="43" t="s">
        <v>415</v>
      </c>
      <c r="D209" s="43">
        <v>1.042</v>
      </c>
      <c r="E209" s="43">
        <v>50</v>
      </c>
      <c r="F209" s="75">
        <v>1</v>
      </c>
      <c r="G209" s="43">
        <f>テーブル1[[#This Row],[長さ(m)]]</f>
        <v>50</v>
      </c>
      <c r="H209" s="43">
        <f t="shared" si="37"/>
        <v>52.1</v>
      </c>
      <c r="I209" s="47">
        <v>2692.4934648095477</v>
      </c>
      <c r="J209" s="47">
        <f t="shared" si="42"/>
        <v>140278.90951657743</v>
      </c>
      <c r="K209" s="43" t="s">
        <v>17</v>
      </c>
      <c r="L209" s="48">
        <v>44866</v>
      </c>
      <c r="M209" s="48"/>
      <c r="N209" s="43" t="s">
        <v>433</v>
      </c>
      <c r="O209" s="46" t="s">
        <v>431</v>
      </c>
      <c r="P209" s="43"/>
      <c r="Q209" s="71"/>
    </row>
    <row r="210" spans="1:17">
      <c r="A210" s="43" t="s">
        <v>233</v>
      </c>
      <c r="B210" s="44" t="s">
        <v>9</v>
      </c>
      <c r="C210" s="43" t="s">
        <v>416</v>
      </c>
      <c r="D210" s="43">
        <v>1.042</v>
      </c>
      <c r="E210" s="43">
        <v>50</v>
      </c>
      <c r="F210" s="75">
        <v>1</v>
      </c>
      <c r="G210" s="43">
        <f>テーブル1[[#This Row],[長さ(m)]]</f>
        <v>50</v>
      </c>
      <c r="H210" s="43">
        <f t="shared" si="37"/>
        <v>52.1</v>
      </c>
      <c r="I210" s="47">
        <v>2692.4934648095477</v>
      </c>
      <c r="J210" s="47">
        <f t="shared" si="42"/>
        <v>140278.90951657743</v>
      </c>
      <c r="K210" s="43" t="s">
        <v>17</v>
      </c>
      <c r="L210" s="48">
        <v>44866</v>
      </c>
      <c r="M210" s="48"/>
      <c r="N210" s="43" t="s">
        <v>433</v>
      </c>
      <c r="O210" s="46" t="s">
        <v>431</v>
      </c>
      <c r="P210" s="43"/>
      <c r="Q210" s="71"/>
    </row>
    <row r="211" spans="1:17">
      <c r="A211" s="43" t="s">
        <v>233</v>
      </c>
      <c r="B211" s="44" t="s">
        <v>9</v>
      </c>
      <c r="C211" s="43" t="s">
        <v>417</v>
      </c>
      <c r="D211" s="43">
        <v>1.042</v>
      </c>
      <c r="E211" s="43">
        <f>44-5-5-34</f>
        <v>0</v>
      </c>
      <c r="F211" s="75">
        <f>1-1</f>
        <v>0</v>
      </c>
      <c r="G211" s="43">
        <f>テーブル1[[#This Row],[長さ(m)]]</f>
        <v>0</v>
      </c>
      <c r="H211" s="43">
        <f t="shared" si="37"/>
        <v>0</v>
      </c>
      <c r="I211" s="47">
        <v>2692.4934648095477</v>
      </c>
      <c r="J211" s="47">
        <f t="shared" si="42"/>
        <v>0</v>
      </c>
      <c r="K211" s="43" t="s">
        <v>18</v>
      </c>
      <c r="L211" s="48">
        <v>44866</v>
      </c>
      <c r="M211" s="48"/>
      <c r="N211" s="43" t="s">
        <v>433</v>
      </c>
      <c r="O211" s="46" t="s">
        <v>431</v>
      </c>
      <c r="P211" s="43"/>
      <c r="Q211" s="71"/>
    </row>
    <row r="212" spans="1:17">
      <c r="A212" s="87" t="s">
        <v>34</v>
      </c>
      <c r="B212" s="88" t="s">
        <v>9</v>
      </c>
      <c r="C212" s="87" t="s">
        <v>450</v>
      </c>
      <c r="D212" s="87">
        <v>1.29</v>
      </c>
      <c r="E212" s="87">
        <f>517-517</f>
        <v>0</v>
      </c>
      <c r="F212" s="89">
        <f>1-1</f>
        <v>0</v>
      </c>
      <c r="G212" s="87">
        <f>テーブル1[[#This Row],[長さ(m)]]</f>
        <v>0</v>
      </c>
      <c r="H212" s="87">
        <f t="shared" si="37"/>
        <v>0</v>
      </c>
      <c r="I212" s="90"/>
      <c r="J212" s="90">
        <f t="shared" ref="J212:J213" si="43">H212*I212</f>
        <v>0</v>
      </c>
      <c r="K212" s="89" t="s">
        <v>17</v>
      </c>
      <c r="L212" s="124">
        <v>44896</v>
      </c>
      <c r="M212" s="124"/>
      <c r="N212" s="121" t="s">
        <v>459</v>
      </c>
      <c r="O212" s="125"/>
      <c r="P212" s="87"/>
      <c r="Q212" s="95" t="s">
        <v>440</v>
      </c>
    </row>
    <row r="213" spans="1:17">
      <c r="A213" s="43" t="s">
        <v>232</v>
      </c>
      <c r="B213" s="44" t="s">
        <v>9</v>
      </c>
      <c r="C213" s="43" t="s">
        <v>451</v>
      </c>
      <c r="D213" s="43">
        <v>1.2030000000000001</v>
      </c>
      <c r="E213" s="43">
        <f>50-6.9-26-1-0.3-15.8</f>
        <v>0</v>
      </c>
      <c r="F213" s="75">
        <f>1-1</f>
        <v>0</v>
      </c>
      <c r="G213" s="43">
        <f>テーブル1[[#This Row],[長さ(m)]]</f>
        <v>0</v>
      </c>
      <c r="H213" s="43">
        <f t="shared" si="37"/>
        <v>0</v>
      </c>
      <c r="I213" s="47">
        <v>1854.9132786012494</v>
      </c>
      <c r="J213" s="47">
        <f t="shared" si="43"/>
        <v>0</v>
      </c>
      <c r="K213" s="43" t="s">
        <v>528</v>
      </c>
      <c r="L213" s="48">
        <v>44866</v>
      </c>
      <c r="M213" s="48"/>
      <c r="N213" s="43" t="s">
        <v>441</v>
      </c>
      <c r="O213" s="46" t="s">
        <v>431</v>
      </c>
      <c r="P213" s="43"/>
      <c r="Q213" s="71"/>
    </row>
    <row r="214" spans="1:17">
      <c r="A214" s="89" t="s">
        <v>613</v>
      </c>
      <c r="B214" s="89" t="s">
        <v>175</v>
      </c>
      <c r="C214" s="89" t="s">
        <v>442</v>
      </c>
      <c r="D214" s="87">
        <v>1.29</v>
      </c>
      <c r="E214" s="89">
        <v>215</v>
      </c>
      <c r="F214" s="89">
        <v>1</v>
      </c>
      <c r="G214" s="87">
        <f>テーブル1[[#This Row],[長さ(m)]]</f>
        <v>215</v>
      </c>
      <c r="H214" s="89">
        <f t="shared" si="37"/>
        <v>277.35000000000002</v>
      </c>
      <c r="I214" s="94"/>
      <c r="J214" s="94">
        <f>H214*I214</f>
        <v>0</v>
      </c>
      <c r="K214" s="89" t="s">
        <v>39</v>
      </c>
      <c r="L214" s="91">
        <v>44896</v>
      </c>
      <c r="M214" s="91" t="s">
        <v>40</v>
      </c>
      <c r="N214" s="89" t="s">
        <v>445</v>
      </c>
      <c r="O214" s="93" t="s">
        <v>448</v>
      </c>
      <c r="P214" s="87" t="s">
        <v>467</v>
      </c>
      <c r="Q214" s="96" t="s">
        <v>449</v>
      </c>
    </row>
    <row r="215" spans="1:17">
      <c r="A215" s="89" t="s">
        <v>613</v>
      </c>
      <c r="B215" s="89" t="s">
        <v>175</v>
      </c>
      <c r="C215" s="89" t="s">
        <v>443</v>
      </c>
      <c r="D215" s="87">
        <v>1.29</v>
      </c>
      <c r="E215" s="89">
        <v>1000</v>
      </c>
      <c r="F215" s="89">
        <v>1</v>
      </c>
      <c r="G215" s="87">
        <f>テーブル1[[#This Row],[長さ(m)]]</f>
        <v>1000</v>
      </c>
      <c r="H215" s="87">
        <f t="shared" si="37"/>
        <v>1290</v>
      </c>
      <c r="I215" s="90"/>
      <c r="J215" s="90">
        <f t="shared" ref="J215:J220" si="44">H215*I215</f>
        <v>0</v>
      </c>
      <c r="K215" s="89" t="s">
        <v>39</v>
      </c>
      <c r="L215" s="91">
        <v>44896</v>
      </c>
      <c r="M215" s="91" t="s">
        <v>40</v>
      </c>
      <c r="N215" s="87" t="s">
        <v>446</v>
      </c>
      <c r="O215" s="93" t="s">
        <v>448</v>
      </c>
      <c r="P215" s="87" t="s">
        <v>467</v>
      </c>
      <c r="Q215" s="96" t="s">
        <v>449</v>
      </c>
    </row>
    <row r="216" spans="1:17">
      <c r="A216" s="89" t="s">
        <v>613</v>
      </c>
      <c r="B216" s="89" t="s">
        <v>175</v>
      </c>
      <c r="C216" s="89" t="s">
        <v>444</v>
      </c>
      <c r="D216" s="87">
        <v>1.29</v>
      </c>
      <c r="E216" s="89">
        <f>1000-1000</f>
        <v>0</v>
      </c>
      <c r="F216" s="89">
        <f>1-1</f>
        <v>0</v>
      </c>
      <c r="G216" s="87">
        <f>テーブル1[[#This Row],[長さ(m)]]</f>
        <v>0</v>
      </c>
      <c r="H216" s="87">
        <f t="shared" si="37"/>
        <v>0</v>
      </c>
      <c r="I216" s="90"/>
      <c r="J216" s="90">
        <f t="shared" si="44"/>
        <v>0</v>
      </c>
      <c r="K216" s="89" t="s">
        <v>39</v>
      </c>
      <c r="L216" s="91">
        <v>44896</v>
      </c>
      <c r="M216" s="91" t="s">
        <v>40</v>
      </c>
      <c r="N216" s="87" t="s">
        <v>447</v>
      </c>
      <c r="O216" s="93" t="s">
        <v>448</v>
      </c>
      <c r="P216" s="87" t="s">
        <v>467</v>
      </c>
      <c r="Q216" s="96" t="s">
        <v>449</v>
      </c>
    </row>
    <row r="217" spans="1:17">
      <c r="A217" s="75" t="s">
        <v>349</v>
      </c>
      <c r="B217" s="57" t="s">
        <v>280</v>
      </c>
      <c r="C217" s="75" t="s">
        <v>294</v>
      </c>
      <c r="D217" s="75">
        <v>1.3</v>
      </c>
      <c r="E217" s="75">
        <v>150</v>
      </c>
      <c r="F217" s="75">
        <v>1</v>
      </c>
      <c r="G217" s="75">
        <f>テーブル1[[#This Row],[長さ(m)]]</f>
        <v>150</v>
      </c>
      <c r="H217" s="75">
        <f t="shared" si="37"/>
        <v>195</v>
      </c>
      <c r="I217" s="76">
        <v>41</v>
      </c>
      <c r="J217" s="76">
        <f t="shared" si="44"/>
        <v>7995</v>
      </c>
      <c r="K217" s="75" t="s">
        <v>397</v>
      </c>
      <c r="L217" s="79">
        <v>44805</v>
      </c>
      <c r="M217" s="79"/>
      <c r="N217" s="75"/>
      <c r="O217" s="57"/>
      <c r="P217" s="75"/>
      <c r="Q217" s="77"/>
    </row>
    <row r="218" spans="1:17">
      <c r="A218" s="49" t="s">
        <v>395</v>
      </c>
      <c r="B218" s="49" t="s">
        <v>452</v>
      </c>
      <c r="C218" s="49" t="s">
        <v>522</v>
      </c>
      <c r="D218" s="49">
        <v>1.2</v>
      </c>
      <c r="E218" s="49">
        <f>35-2-0.5-32.5</f>
        <v>0</v>
      </c>
      <c r="F218" s="49">
        <f>1-1</f>
        <v>0</v>
      </c>
      <c r="G218" s="49">
        <f>テーブル1[[#This Row],[長さ(m)]]</f>
        <v>0</v>
      </c>
      <c r="H218" s="49">
        <f t="shared" si="37"/>
        <v>0</v>
      </c>
      <c r="I218" s="53">
        <v>1148.6566419599715</v>
      </c>
      <c r="J218" s="53">
        <f t="shared" si="44"/>
        <v>0</v>
      </c>
      <c r="K218" s="49" t="s">
        <v>18</v>
      </c>
      <c r="L218" s="55">
        <v>44896</v>
      </c>
      <c r="M218" s="55"/>
      <c r="N218" s="43" t="s">
        <v>458</v>
      </c>
      <c r="O218" s="46"/>
      <c r="P218" s="49" t="s">
        <v>455</v>
      </c>
      <c r="Q218" s="71"/>
    </row>
    <row r="219" spans="1:17">
      <c r="A219" s="49" t="s">
        <v>395</v>
      </c>
      <c r="B219" s="49" t="s">
        <v>452</v>
      </c>
      <c r="C219" s="49" t="s">
        <v>523</v>
      </c>
      <c r="D219" s="49">
        <v>1.2</v>
      </c>
      <c r="E219" s="49">
        <f>40-3</f>
        <v>37</v>
      </c>
      <c r="F219" s="49">
        <v>1</v>
      </c>
      <c r="G219" s="49">
        <f>テーブル1[[#This Row],[長さ(m)]]</f>
        <v>37</v>
      </c>
      <c r="H219" s="49">
        <f t="shared" si="37"/>
        <v>44.4</v>
      </c>
      <c r="I219" s="53">
        <v>1148.6566419599715</v>
      </c>
      <c r="J219" s="53">
        <f t="shared" si="44"/>
        <v>51000.35490302273</v>
      </c>
      <c r="K219" s="49" t="s">
        <v>18</v>
      </c>
      <c r="L219" s="55">
        <v>44896</v>
      </c>
      <c r="M219" s="55"/>
      <c r="N219" s="43"/>
      <c r="O219" s="46"/>
      <c r="P219" s="49" t="s">
        <v>455</v>
      </c>
      <c r="Q219" s="71"/>
    </row>
    <row r="220" spans="1:17">
      <c r="A220" s="49" t="s">
        <v>395</v>
      </c>
      <c r="B220" s="49" t="s">
        <v>452</v>
      </c>
      <c r="C220" s="49" t="s">
        <v>524</v>
      </c>
      <c r="D220" s="49">
        <v>1.2</v>
      </c>
      <c r="E220" s="49">
        <v>49</v>
      </c>
      <c r="F220" s="49">
        <v>1</v>
      </c>
      <c r="G220" s="49">
        <f>テーブル1[[#This Row],[長さ(m)]]</f>
        <v>49</v>
      </c>
      <c r="H220" s="49">
        <f t="shared" si="37"/>
        <v>58.8</v>
      </c>
      <c r="I220" s="53">
        <v>1148.6566419599715</v>
      </c>
      <c r="J220" s="53">
        <f t="shared" si="44"/>
        <v>67541.010547246318</v>
      </c>
      <c r="K220" s="49" t="s">
        <v>18</v>
      </c>
      <c r="L220" s="55">
        <v>44896</v>
      </c>
      <c r="M220" s="55"/>
      <c r="N220" s="43"/>
      <c r="O220" s="46"/>
      <c r="P220" s="49" t="s">
        <v>455</v>
      </c>
      <c r="Q220" s="71"/>
    </row>
    <row r="221" spans="1:17">
      <c r="A221" s="49" t="s">
        <v>395</v>
      </c>
      <c r="B221" s="49" t="s">
        <v>452</v>
      </c>
      <c r="C221" s="49" t="s">
        <v>525</v>
      </c>
      <c r="D221" s="49">
        <v>1.2</v>
      </c>
      <c r="E221" s="49">
        <f>50-50</f>
        <v>0</v>
      </c>
      <c r="F221" s="49">
        <f>1-1</f>
        <v>0</v>
      </c>
      <c r="G221" s="49">
        <f>テーブル1[[#This Row],[長さ(m)]]</f>
        <v>0</v>
      </c>
      <c r="H221" s="49">
        <f t="shared" si="37"/>
        <v>0</v>
      </c>
      <c r="I221" s="53">
        <v>1148.6566419599715</v>
      </c>
      <c r="J221" s="53">
        <f t="shared" ref="J221:J224" si="45">H221*I221</f>
        <v>0</v>
      </c>
      <c r="K221" s="49" t="s">
        <v>18</v>
      </c>
      <c r="L221" s="55">
        <v>44896</v>
      </c>
      <c r="M221" s="55"/>
      <c r="N221" s="43"/>
      <c r="O221" s="46"/>
      <c r="P221" s="49" t="s">
        <v>455</v>
      </c>
      <c r="Q221" s="71"/>
    </row>
    <row r="222" spans="1:17">
      <c r="A222" s="43" t="s">
        <v>395</v>
      </c>
      <c r="B222" s="43" t="s">
        <v>396</v>
      </c>
      <c r="C222" s="43" t="s">
        <v>526</v>
      </c>
      <c r="D222" s="43">
        <v>1.2</v>
      </c>
      <c r="E222" s="43">
        <f>30-0.5-29.5</f>
        <v>0</v>
      </c>
      <c r="F222" s="43">
        <f>1-1</f>
        <v>0</v>
      </c>
      <c r="G222" s="43">
        <f>テーブル1[[#This Row],[長さ(m)]]</f>
        <v>0</v>
      </c>
      <c r="H222" s="43">
        <f t="shared" si="37"/>
        <v>0</v>
      </c>
      <c r="I222" s="47">
        <v>1144.5574314572675</v>
      </c>
      <c r="J222" s="47">
        <f t="shared" ref="J222:J223" si="46">H222*I222</f>
        <v>0</v>
      </c>
      <c r="K222" s="43" t="s">
        <v>18</v>
      </c>
      <c r="L222" s="48">
        <v>44896</v>
      </c>
      <c r="M222" s="79"/>
      <c r="N222" s="75"/>
      <c r="O222" s="57"/>
      <c r="P222" s="43" t="s">
        <v>455</v>
      </c>
      <c r="Q222" s="77"/>
    </row>
    <row r="223" spans="1:17">
      <c r="A223" s="43" t="s">
        <v>395</v>
      </c>
      <c r="B223" s="43" t="s">
        <v>396</v>
      </c>
      <c r="C223" s="43" t="s">
        <v>513</v>
      </c>
      <c r="D223" s="43">
        <v>1.2</v>
      </c>
      <c r="E223" s="43">
        <f>40-0.5-1.5-38</f>
        <v>0</v>
      </c>
      <c r="F223" s="43">
        <f>1-1</f>
        <v>0</v>
      </c>
      <c r="G223" s="43">
        <f>テーブル1[[#This Row],[長さ(m)]]</f>
        <v>0</v>
      </c>
      <c r="H223" s="43">
        <f t="shared" si="37"/>
        <v>0</v>
      </c>
      <c r="I223" s="47">
        <v>1144.5574314572675</v>
      </c>
      <c r="J223" s="47">
        <f t="shared" si="46"/>
        <v>0</v>
      </c>
      <c r="K223" s="43" t="s">
        <v>18</v>
      </c>
      <c r="L223" s="48">
        <v>44896</v>
      </c>
      <c r="M223" s="79"/>
      <c r="N223" s="75"/>
      <c r="O223" s="57"/>
      <c r="P223" s="43" t="s">
        <v>455</v>
      </c>
      <c r="Q223" s="77"/>
    </row>
    <row r="224" spans="1:17">
      <c r="A224" s="43" t="s">
        <v>395</v>
      </c>
      <c r="B224" s="43" t="s">
        <v>396</v>
      </c>
      <c r="C224" s="43" t="s">
        <v>514</v>
      </c>
      <c r="D224" s="43">
        <v>1.2</v>
      </c>
      <c r="E224" s="43">
        <f>50-50</f>
        <v>0</v>
      </c>
      <c r="F224" s="43">
        <f>1-1</f>
        <v>0</v>
      </c>
      <c r="G224" s="43">
        <f>テーブル1[[#This Row],[長さ(m)]]</f>
        <v>0</v>
      </c>
      <c r="H224" s="43">
        <f t="shared" si="37"/>
        <v>0</v>
      </c>
      <c r="I224" s="47">
        <v>1144.5574314572675</v>
      </c>
      <c r="J224" s="47">
        <f t="shared" si="45"/>
        <v>0</v>
      </c>
      <c r="K224" s="43" t="s">
        <v>18</v>
      </c>
      <c r="L224" s="48">
        <v>44896</v>
      </c>
      <c r="M224" s="79"/>
      <c r="N224" s="75"/>
      <c r="O224" s="57"/>
      <c r="P224" s="43" t="s">
        <v>455</v>
      </c>
      <c r="Q224" s="77"/>
    </row>
    <row r="225" spans="1:17">
      <c r="A225" s="43" t="s">
        <v>395</v>
      </c>
      <c r="B225" s="43" t="s">
        <v>396</v>
      </c>
      <c r="C225" s="43" t="s">
        <v>527</v>
      </c>
      <c r="D225" s="43">
        <v>1.2</v>
      </c>
      <c r="E225" s="43">
        <v>49</v>
      </c>
      <c r="F225" s="43">
        <v>1</v>
      </c>
      <c r="G225" s="43">
        <f>テーブル1[[#This Row],[長さ(m)]]</f>
        <v>49</v>
      </c>
      <c r="H225" s="43">
        <f t="shared" si="37"/>
        <v>58.8</v>
      </c>
      <c r="I225" s="47">
        <v>727.89076479060077</v>
      </c>
      <c r="J225" s="47">
        <f>H225*I225</f>
        <v>42799.976969687326</v>
      </c>
      <c r="K225" s="43" t="s">
        <v>18</v>
      </c>
      <c r="L225" s="48">
        <v>44896</v>
      </c>
      <c r="M225" s="48"/>
      <c r="N225" s="43" t="s">
        <v>453</v>
      </c>
      <c r="O225" s="46"/>
      <c r="P225" s="43" t="s">
        <v>456</v>
      </c>
      <c r="Q225" s="71"/>
    </row>
    <row r="226" spans="1:17">
      <c r="A226" s="43" t="s">
        <v>468</v>
      </c>
      <c r="B226" s="75" t="s">
        <v>175</v>
      </c>
      <c r="C226" s="75" t="s">
        <v>461</v>
      </c>
      <c r="D226" s="75">
        <v>1.28</v>
      </c>
      <c r="E226" s="75">
        <f>510-200</f>
        <v>310</v>
      </c>
      <c r="F226" s="75">
        <v>1</v>
      </c>
      <c r="G226" s="43">
        <f>テーブル1[[#This Row],[長さ(m)]]</f>
        <v>310</v>
      </c>
      <c r="H226" s="75">
        <f t="shared" si="37"/>
        <v>396.8</v>
      </c>
      <c r="I226" s="76">
        <v>1494</v>
      </c>
      <c r="J226" s="76">
        <f>テーブル1[[#This Row],[総面積(㎡)]]*I226</f>
        <v>592819.20000000007</v>
      </c>
      <c r="K226" s="75" t="s">
        <v>284</v>
      </c>
      <c r="L226" s="48">
        <v>44927</v>
      </c>
      <c r="M226" s="79"/>
      <c r="N226" s="75" t="s">
        <v>462</v>
      </c>
      <c r="O226" s="57" t="s">
        <v>281</v>
      </c>
      <c r="P226" s="43"/>
      <c r="Q226" s="77" t="s">
        <v>449</v>
      </c>
    </row>
    <row r="227" spans="1:17">
      <c r="A227" s="89" t="s">
        <v>648</v>
      </c>
      <c r="B227" s="89" t="s">
        <v>280</v>
      </c>
      <c r="C227" s="89" t="s">
        <v>641</v>
      </c>
      <c r="D227" s="89">
        <v>1.28</v>
      </c>
      <c r="E227" s="89">
        <f>2450-2450</f>
        <v>0</v>
      </c>
      <c r="F227" s="89">
        <v>0</v>
      </c>
      <c r="G227" s="89">
        <f>テーブル1[[#This Row],[長さ(m)]]</f>
        <v>0</v>
      </c>
      <c r="H227" s="89">
        <f t="shared" si="37"/>
        <v>0</v>
      </c>
      <c r="I227" s="94">
        <v>563</v>
      </c>
      <c r="J227" s="94">
        <f>テーブル1[[#This Row],[長さ合計(m)]]*I227</f>
        <v>0</v>
      </c>
      <c r="K227" s="89" t="s">
        <v>284</v>
      </c>
      <c r="L227" s="93" t="s">
        <v>473</v>
      </c>
      <c r="M227" s="93" t="s">
        <v>374</v>
      </c>
      <c r="N227" s="89" t="s">
        <v>636</v>
      </c>
      <c r="O227" s="93"/>
      <c r="P227" s="87" t="s">
        <v>467</v>
      </c>
      <c r="Q227" s="96" t="s">
        <v>466</v>
      </c>
    </row>
    <row r="228" spans="1:17">
      <c r="A228" s="89" t="s">
        <v>648</v>
      </c>
      <c r="B228" s="89" t="s">
        <v>280</v>
      </c>
      <c r="C228" s="89" t="s">
        <v>642</v>
      </c>
      <c r="D228" s="89">
        <v>1.28</v>
      </c>
      <c r="E228" s="89">
        <f>2800-2800</f>
        <v>0</v>
      </c>
      <c r="F228" s="89">
        <v>0</v>
      </c>
      <c r="G228" s="89">
        <f>テーブル1[[#This Row],[長さ(m)]]</f>
        <v>0</v>
      </c>
      <c r="H228" s="89">
        <f t="shared" si="37"/>
        <v>0</v>
      </c>
      <c r="I228" s="94">
        <v>563</v>
      </c>
      <c r="J228" s="94">
        <f>テーブル1[[#This Row],[長さ合計(m)]]*I228</f>
        <v>0</v>
      </c>
      <c r="K228" s="89" t="s">
        <v>284</v>
      </c>
      <c r="L228" s="93" t="s">
        <v>473</v>
      </c>
      <c r="M228" s="93" t="s">
        <v>374</v>
      </c>
      <c r="N228" s="89" t="s">
        <v>637</v>
      </c>
      <c r="O228" s="93"/>
      <c r="P228" s="87" t="s">
        <v>467</v>
      </c>
      <c r="Q228" s="96" t="s">
        <v>466</v>
      </c>
    </row>
    <row r="229" spans="1:17">
      <c r="A229" s="43" t="s">
        <v>472</v>
      </c>
      <c r="B229" s="44" t="s">
        <v>9</v>
      </c>
      <c r="C229" s="43" t="s">
        <v>657</v>
      </c>
      <c r="D229" s="43">
        <v>1.02</v>
      </c>
      <c r="E229" s="43">
        <f>10-10</f>
        <v>0</v>
      </c>
      <c r="F229" s="75">
        <f>1-1</f>
        <v>0</v>
      </c>
      <c r="G229" s="43">
        <f>テーブル1[[#This Row],[長さ(m)]]</f>
        <v>0</v>
      </c>
      <c r="H229" s="43">
        <f t="shared" si="37"/>
        <v>0</v>
      </c>
      <c r="I229" s="47">
        <v>3765</v>
      </c>
      <c r="J229" s="47">
        <f t="shared" ref="J229:J237" si="47">H229*I229</f>
        <v>0</v>
      </c>
      <c r="K229" s="75" t="s">
        <v>284</v>
      </c>
      <c r="L229" s="48">
        <v>44927</v>
      </c>
      <c r="M229" s="48"/>
      <c r="N229" s="43" t="s">
        <v>474</v>
      </c>
      <c r="O229" s="46"/>
      <c r="P229" s="43"/>
      <c r="Q229" s="71" t="s">
        <v>475</v>
      </c>
    </row>
    <row r="230" spans="1:17">
      <c r="A230" s="43" t="s">
        <v>472</v>
      </c>
      <c r="B230" s="44" t="s">
        <v>9</v>
      </c>
      <c r="C230" s="43" t="s">
        <v>658</v>
      </c>
      <c r="D230" s="43">
        <v>1.02</v>
      </c>
      <c r="E230" s="43">
        <f t="shared" ref="E230:E234" si="48">10-10</f>
        <v>0</v>
      </c>
      <c r="F230" s="75">
        <f t="shared" ref="F230:F232" si="49">1-1</f>
        <v>0</v>
      </c>
      <c r="G230" s="43">
        <f>テーブル1[[#This Row],[長さ(m)]]</f>
        <v>0</v>
      </c>
      <c r="H230" s="43">
        <f t="shared" si="37"/>
        <v>0</v>
      </c>
      <c r="I230" s="47">
        <v>3765</v>
      </c>
      <c r="J230" s="47">
        <f t="shared" si="47"/>
        <v>0</v>
      </c>
      <c r="K230" s="75" t="s">
        <v>284</v>
      </c>
      <c r="L230" s="48">
        <v>44927</v>
      </c>
      <c r="M230" s="48"/>
      <c r="N230" s="43" t="s">
        <v>474</v>
      </c>
      <c r="O230" s="46"/>
      <c r="P230" s="43"/>
      <c r="Q230" s="71" t="s">
        <v>475</v>
      </c>
    </row>
    <row r="231" spans="1:17">
      <c r="A231" s="43" t="s">
        <v>472</v>
      </c>
      <c r="B231" s="44" t="s">
        <v>9</v>
      </c>
      <c r="C231" s="43" t="s">
        <v>659</v>
      </c>
      <c r="D231" s="43">
        <v>1.02</v>
      </c>
      <c r="E231" s="43">
        <f t="shared" si="48"/>
        <v>0</v>
      </c>
      <c r="F231" s="75">
        <f t="shared" si="49"/>
        <v>0</v>
      </c>
      <c r="G231" s="43">
        <f>テーブル1[[#This Row],[長さ(m)]]</f>
        <v>0</v>
      </c>
      <c r="H231" s="43">
        <f t="shared" si="37"/>
        <v>0</v>
      </c>
      <c r="I231" s="47">
        <v>3765</v>
      </c>
      <c r="J231" s="47">
        <f t="shared" si="47"/>
        <v>0</v>
      </c>
      <c r="K231" s="75" t="s">
        <v>284</v>
      </c>
      <c r="L231" s="48">
        <v>44927</v>
      </c>
      <c r="M231" s="48"/>
      <c r="N231" s="43" t="s">
        <v>474</v>
      </c>
      <c r="O231" s="46"/>
      <c r="P231" s="43"/>
      <c r="Q231" s="71" t="s">
        <v>475</v>
      </c>
    </row>
    <row r="232" spans="1:17">
      <c r="A232" s="43" t="s">
        <v>472</v>
      </c>
      <c r="B232" s="44" t="s">
        <v>9</v>
      </c>
      <c r="C232" s="43" t="s">
        <v>660</v>
      </c>
      <c r="D232" s="43">
        <v>1.02</v>
      </c>
      <c r="E232" s="43">
        <f t="shared" si="48"/>
        <v>0</v>
      </c>
      <c r="F232" s="75">
        <f t="shared" si="49"/>
        <v>0</v>
      </c>
      <c r="G232" s="43">
        <f>テーブル1[[#This Row],[長さ(m)]]</f>
        <v>0</v>
      </c>
      <c r="H232" s="43">
        <f t="shared" si="37"/>
        <v>0</v>
      </c>
      <c r="I232" s="47">
        <v>3765</v>
      </c>
      <c r="J232" s="47">
        <f t="shared" si="47"/>
        <v>0</v>
      </c>
      <c r="K232" s="75" t="s">
        <v>284</v>
      </c>
      <c r="L232" s="48">
        <v>44927</v>
      </c>
      <c r="M232" s="48"/>
      <c r="N232" s="43" t="s">
        <v>474</v>
      </c>
      <c r="O232" s="46"/>
      <c r="P232" s="43"/>
      <c r="Q232" s="71" t="s">
        <v>475</v>
      </c>
    </row>
    <row r="233" spans="1:17">
      <c r="A233" s="43" t="s">
        <v>472</v>
      </c>
      <c r="B233" s="44" t="s">
        <v>9</v>
      </c>
      <c r="C233" s="43" t="s">
        <v>661</v>
      </c>
      <c r="D233" s="43">
        <v>1.02</v>
      </c>
      <c r="E233" s="43">
        <f t="shared" si="48"/>
        <v>0</v>
      </c>
      <c r="F233" s="75">
        <f>1-1</f>
        <v>0</v>
      </c>
      <c r="G233" s="43">
        <f>テーブル1[[#This Row],[長さ(m)]]</f>
        <v>0</v>
      </c>
      <c r="H233" s="43">
        <f t="shared" si="37"/>
        <v>0</v>
      </c>
      <c r="I233" s="47">
        <v>3765</v>
      </c>
      <c r="J233" s="47">
        <f t="shared" si="47"/>
        <v>0</v>
      </c>
      <c r="K233" s="75" t="s">
        <v>284</v>
      </c>
      <c r="L233" s="48">
        <v>44927</v>
      </c>
      <c r="M233" s="48"/>
      <c r="N233" s="43" t="s">
        <v>474</v>
      </c>
      <c r="O233" s="46"/>
      <c r="P233" s="43"/>
      <c r="Q233" s="71" t="s">
        <v>475</v>
      </c>
    </row>
    <row r="234" spans="1:17">
      <c r="A234" s="43" t="s">
        <v>472</v>
      </c>
      <c r="B234" s="44" t="s">
        <v>9</v>
      </c>
      <c r="C234" s="43" t="s">
        <v>469</v>
      </c>
      <c r="D234" s="43">
        <v>1.02</v>
      </c>
      <c r="E234" s="43">
        <f t="shared" si="48"/>
        <v>0</v>
      </c>
      <c r="F234" s="75">
        <f>1-1</f>
        <v>0</v>
      </c>
      <c r="G234" s="43">
        <f>テーブル1[[#This Row],[長さ(m)]]</f>
        <v>0</v>
      </c>
      <c r="H234" s="43">
        <f t="shared" si="37"/>
        <v>0</v>
      </c>
      <c r="I234" s="47">
        <v>3765</v>
      </c>
      <c r="J234" s="47">
        <f t="shared" si="47"/>
        <v>0</v>
      </c>
      <c r="K234" s="75" t="s">
        <v>284</v>
      </c>
      <c r="L234" s="48">
        <v>44927</v>
      </c>
      <c r="M234" s="48"/>
      <c r="N234" s="43" t="s">
        <v>474</v>
      </c>
      <c r="O234" s="46"/>
      <c r="P234" s="43"/>
      <c r="Q234" s="71" t="s">
        <v>475</v>
      </c>
    </row>
    <row r="235" spans="1:17">
      <c r="A235" s="43" t="s">
        <v>472</v>
      </c>
      <c r="B235" s="44" t="s">
        <v>9</v>
      </c>
      <c r="C235" s="43" t="s">
        <v>470</v>
      </c>
      <c r="D235" s="43">
        <v>1.02</v>
      </c>
      <c r="E235" s="43">
        <v>10</v>
      </c>
      <c r="F235" s="75">
        <v>1</v>
      </c>
      <c r="G235" s="43">
        <f>テーブル1[[#This Row],[長さ(m)]]</f>
        <v>10</v>
      </c>
      <c r="H235" s="43">
        <f t="shared" si="37"/>
        <v>10.199999999999999</v>
      </c>
      <c r="I235" s="47">
        <v>3765</v>
      </c>
      <c r="J235" s="47">
        <f t="shared" si="47"/>
        <v>38403</v>
      </c>
      <c r="K235" s="75" t="s">
        <v>284</v>
      </c>
      <c r="L235" s="48">
        <v>44927</v>
      </c>
      <c r="M235" s="48"/>
      <c r="N235" s="43" t="s">
        <v>474</v>
      </c>
      <c r="O235" s="46"/>
      <c r="P235" s="43"/>
      <c r="Q235" s="71" t="s">
        <v>475</v>
      </c>
    </row>
    <row r="236" spans="1:17">
      <c r="A236" s="75" t="s">
        <v>472</v>
      </c>
      <c r="B236" s="44" t="s">
        <v>9</v>
      </c>
      <c r="C236" s="75" t="s">
        <v>471</v>
      </c>
      <c r="D236" s="75">
        <v>1.02</v>
      </c>
      <c r="E236" s="75">
        <v>10</v>
      </c>
      <c r="F236" s="75">
        <v>1</v>
      </c>
      <c r="G236" s="43">
        <f>テーブル1[[#This Row],[長さ(m)]]</f>
        <v>10</v>
      </c>
      <c r="H236" s="75">
        <f t="shared" si="37"/>
        <v>10.199999999999999</v>
      </c>
      <c r="I236" s="47">
        <v>3765</v>
      </c>
      <c r="J236" s="76">
        <f>H236*I236</f>
        <v>38403</v>
      </c>
      <c r="K236" s="75" t="s">
        <v>284</v>
      </c>
      <c r="L236" s="48">
        <v>44927</v>
      </c>
      <c r="M236" s="48"/>
      <c r="N236" s="43" t="s">
        <v>474</v>
      </c>
      <c r="O236" s="57"/>
      <c r="P236" s="75"/>
      <c r="Q236" s="71" t="s">
        <v>475</v>
      </c>
    </row>
    <row r="237" spans="1:17">
      <c r="A237" s="80" t="s">
        <v>8</v>
      </c>
      <c r="B237" s="80" t="s">
        <v>38</v>
      </c>
      <c r="C237" s="80" t="s">
        <v>494</v>
      </c>
      <c r="D237" s="80">
        <v>1.25</v>
      </c>
      <c r="E237" s="80">
        <f>25-0.2-0.2-10-0.9-1.8-1.2-1-1.1-2.9-1.1-1.7-0.8-0.5-1.6</f>
        <v>0</v>
      </c>
      <c r="F237" s="80">
        <f>1-1</f>
        <v>0</v>
      </c>
      <c r="G237" s="80">
        <f>テーブル1[[#This Row],[長さ(m)]]*テーブル1[[#This Row],[在庫(本)]]</f>
        <v>0</v>
      </c>
      <c r="H237" s="80">
        <f t="shared" si="37"/>
        <v>0</v>
      </c>
      <c r="I237" s="82">
        <v>1099.5225721795628</v>
      </c>
      <c r="J237" s="82">
        <f t="shared" si="47"/>
        <v>0</v>
      </c>
      <c r="K237" s="80" t="s">
        <v>42</v>
      </c>
      <c r="L237" s="81">
        <v>44652</v>
      </c>
      <c r="M237" s="81"/>
      <c r="N237" s="75" t="s">
        <v>199</v>
      </c>
      <c r="O237" s="57" t="s">
        <v>159</v>
      </c>
      <c r="P237" s="75"/>
      <c r="Q237" s="75"/>
    </row>
    <row r="238" spans="1:17">
      <c r="A238" s="89" t="s">
        <v>613</v>
      </c>
      <c r="B238" s="89" t="s">
        <v>175</v>
      </c>
      <c r="C238" s="89" t="s">
        <v>476</v>
      </c>
      <c r="D238" s="89">
        <v>1.29</v>
      </c>
      <c r="E238" s="89">
        <f>760-760+760</f>
        <v>760</v>
      </c>
      <c r="F238" s="89">
        <f>1-1</f>
        <v>0</v>
      </c>
      <c r="G238" s="89">
        <f>テーブル1[[#This Row],[長さ(m)]]*テーブル1[[#This Row],[在庫(本)]]</f>
        <v>0</v>
      </c>
      <c r="H238" s="89">
        <f t="shared" si="37"/>
        <v>0</v>
      </c>
      <c r="I238" s="94">
        <v>0</v>
      </c>
      <c r="J238" s="94">
        <f>H238*I238</f>
        <v>0</v>
      </c>
      <c r="K238" s="89" t="s">
        <v>39</v>
      </c>
      <c r="L238" s="99">
        <v>44896</v>
      </c>
      <c r="M238" s="91" t="s">
        <v>40</v>
      </c>
      <c r="N238" s="89" t="s">
        <v>477</v>
      </c>
      <c r="O238" s="93"/>
      <c r="P238" s="89"/>
      <c r="Q238" s="96" t="s">
        <v>479</v>
      </c>
    </row>
    <row r="239" spans="1:17">
      <c r="A239" s="75" t="s">
        <v>615</v>
      </c>
      <c r="B239" s="75" t="s">
        <v>480</v>
      </c>
      <c r="C239" s="75" t="s">
        <v>614</v>
      </c>
      <c r="D239" s="75">
        <v>1.29</v>
      </c>
      <c r="E239" s="75">
        <f>300-300</f>
        <v>0</v>
      </c>
      <c r="F239" s="75">
        <f>1-1</f>
        <v>0</v>
      </c>
      <c r="G239" s="75">
        <f>テーブル1[[#This Row],[長さ(m)]]*テーブル1[[#This Row],[在庫(本)]]</f>
        <v>0</v>
      </c>
      <c r="H239" s="75">
        <f t="shared" si="37"/>
        <v>0</v>
      </c>
      <c r="I239" s="76">
        <v>0</v>
      </c>
      <c r="J239" s="76">
        <f>H239*I239</f>
        <v>0</v>
      </c>
      <c r="K239" s="75" t="s">
        <v>39</v>
      </c>
      <c r="L239" s="79">
        <v>44927</v>
      </c>
      <c r="M239" s="48" t="s">
        <v>40</v>
      </c>
      <c r="N239" s="75" t="s">
        <v>478</v>
      </c>
      <c r="O239" s="57"/>
      <c r="P239" s="75"/>
      <c r="Q239" s="77" t="s">
        <v>479</v>
      </c>
    </row>
    <row r="240" spans="1:17">
      <c r="A240" s="43" t="s">
        <v>491</v>
      </c>
      <c r="B240" s="43" t="s">
        <v>35</v>
      </c>
      <c r="C240" s="43" t="s">
        <v>481</v>
      </c>
      <c r="D240" s="43">
        <v>1.2</v>
      </c>
      <c r="E240" s="43">
        <f>50-50</f>
        <v>0</v>
      </c>
      <c r="F240" s="43">
        <v>0</v>
      </c>
      <c r="G240" s="43">
        <f>テーブル1[[#This Row],[長さ(m)]]</f>
        <v>0</v>
      </c>
      <c r="H240" s="43">
        <f>D240*G240</f>
        <v>0</v>
      </c>
      <c r="I240" s="47">
        <v>3089.7395087162581</v>
      </c>
      <c r="J240" s="47">
        <f t="shared" ref="J240:J249" si="50">H240*I240</f>
        <v>0</v>
      </c>
      <c r="K240" s="43" t="s">
        <v>492</v>
      </c>
      <c r="L240" s="79">
        <v>44927</v>
      </c>
      <c r="M240" s="79"/>
      <c r="N240" s="43" t="s">
        <v>493</v>
      </c>
      <c r="O240" s="46"/>
      <c r="P240" s="43"/>
      <c r="Q240" s="71"/>
    </row>
    <row r="241" spans="1:17">
      <c r="A241" s="43" t="s">
        <v>491</v>
      </c>
      <c r="B241" s="43" t="s">
        <v>35</v>
      </c>
      <c r="C241" s="43" t="s">
        <v>482</v>
      </c>
      <c r="D241" s="43">
        <v>1.2</v>
      </c>
      <c r="E241" s="43">
        <f>50-12-5-2-3-5-1-5-3-1-4</f>
        <v>9</v>
      </c>
      <c r="F241" s="43">
        <f>1</f>
        <v>1</v>
      </c>
      <c r="G241" s="43">
        <f>テーブル1[[#This Row],[長さ(m)]]</f>
        <v>9</v>
      </c>
      <c r="H241" s="43">
        <f t="shared" si="37"/>
        <v>10.799999999999999</v>
      </c>
      <c r="I241" s="47">
        <v>3089.7395087162581</v>
      </c>
      <c r="J241" s="47">
        <f t="shared" si="50"/>
        <v>33369.186694135584</v>
      </c>
      <c r="K241" s="43" t="s">
        <v>18</v>
      </c>
      <c r="L241" s="79">
        <v>44927</v>
      </c>
      <c r="M241" s="79"/>
      <c r="N241" s="43" t="s">
        <v>493</v>
      </c>
      <c r="O241" s="46"/>
      <c r="P241" s="43"/>
      <c r="Q241" s="71"/>
    </row>
    <row r="242" spans="1:17">
      <c r="A242" s="128" t="s">
        <v>491</v>
      </c>
      <c r="B242" s="128" t="s">
        <v>35</v>
      </c>
      <c r="C242" s="128" t="s">
        <v>483</v>
      </c>
      <c r="D242" s="128">
        <v>1.2</v>
      </c>
      <c r="E242" s="128">
        <f>50-50</f>
        <v>0</v>
      </c>
      <c r="F242" s="128">
        <f>1-1</f>
        <v>0</v>
      </c>
      <c r="G242" s="128">
        <f>テーブル1[[#This Row],[長さ(m)]]</f>
        <v>0</v>
      </c>
      <c r="H242" s="128">
        <f t="shared" si="37"/>
        <v>0</v>
      </c>
      <c r="I242" s="129">
        <v>3089.7395087162581</v>
      </c>
      <c r="J242" s="129">
        <f t="shared" si="50"/>
        <v>0</v>
      </c>
      <c r="K242" s="128" t="s">
        <v>492</v>
      </c>
      <c r="L242" s="130">
        <v>44927</v>
      </c>
      <c r="M242" s="130"/>
      <c r="N242" s="128" t="s">
        <v>493</v>
      </c>
      <c r="O242" s="131"/>
      <c r="P242" s="128"/>
      <c r="Q242" s="132"/>
    </row>
    <row r="243" spans="1:17">
      <c r="A243" s="128" t="s">
        <v>491</v>
      </c>
      <c r="B243" s="128" t="s">
        <v>35</v>
      </c>
      <c r="C243" s="128" t="s">
        <v>484</v>
      </c>
      <c r="D243" s="128">
        <v>1.2</v>
      </c>
      <c r="E243" s="128">
        <f>50-50</f>
        <v>0</v>
      </c>
      <c r="F243" s="128">
        <f>1-1</f>
        <v>0</v>
      </c>
      <c r="G243" s="128">
        <f>テーブル1[[#This Row],[長さ(m)]]</f>
        <v>0</v>
      </c>
      <c r="H243" s="128">
        <f t="shared" si="37"/>
        <v>0</v>
      </c>
      <c r="I243" s="129">
        <v>3089.7395087162581</v>
      </c>
      <c r="J243" s="129">
        <f t="shared" si="50"/>
        <v>0</v>
      </c>
      <c r="K243" s="128" t="s">
        <v>492</v>
      </c>
      <c r="L243" s="130">
        <v>44927</v>
      </c>
      <c r="M243" s="130"/>
      <c r="N243" s="128" t="s">
        <v>493</v>
      </c>
      <c r="O243" s="131"/>
      <c r="P243" s="128"/>
      <c r="Q243" s="132"/>
    </row>
    <row r="244" spans="1:17">
      <c r="A244" s="128" t="s">
        <v>491</v>
      </c>
      <c r="B244" s="128" t="s">
        <v>35</v>
      </c>
      <c r="C244" s="128" t="s">
        <v>485</v>
      </c>
      <c r="D244" s="128">
        <v>1.2</v>
      </c>
      <c r="E244" s="128">
        <f t="shared" ref="E244:E247" si="51">50-50</f>
        <v>0</v>
      </c>
      <c r="F244" s="128">
        <f t="shared" ref="F244:F247" si="52">1-1</f>
        <v>0</v>
      </c>
      <c r="G244" s="128">
        <f>テーブル1[[#This Row],[長さ(m)]]</f>
        <v>0</v>
      </c>
      <c r="H244" s="128">
        <f t="shared" ref="H244:H260" si="53">D244*G244</f>
        <v>0</v>
      </c>
      <c r="I244" s="129">
        <v>3089.7395087162581</v>
      </c>
      <c r="J244" s="129">
        <f t="shared" si="50"/>
        <v>0</v>
      </c>
      <c r="K244" s="128" t="s">
        <v>492</v>
      </c>
      <c r="L244" s="130">
        <v>44927</v>
      </c>
      <c r="M244" s="130"/>
      <c r="N244" s="128" t="s">
        <v>493</v>
      </c>
      <c r="O244" s="131"/>
      <c r="P244" s="128"/>
      <c r="Q244" s="132"/>
    </row>
    <row r="245" spans="1:17">
      <c r="A245" s="128" t="s">
        <v>491</v>
      </c>
      <c r="B245" s="128" t="s">
        <v>35</v>
      </c>
      <c r="C245" s="128" t="s">
        <v>486</v>
      </c>
      <c r="D245" s="128">
        <v>1.2</v>
      </c>
      <c r="E245" s="128">
        <f t="shared" si="51"/>
        <v>0</v>
      </c>
      <c r="F245" s="128">
        <f t="shared" si="52"/>
        <v>0</v>
      </c>
      <c r="G245" s="128">
        <f>テーブル1[[#This Row],[長さ(m)]]</f>
        <v>0</v>
      </c>
      <c r="H245" s="128">
        <f t="shared" si="53"/>
        <v>0</v>
      </c>
      <c r="I245" s="129">
        <v>3089.7395087162581</v>
      </c>
      <c r="J245" s="129">
        <f t="shared" si="50"/>
        <v>0</v>
      </c>
      <c r="K245" s="128" t="s">
        <v>492</v>
      </c>
      <c r="L245" s="130">
        <v>44927</v>
      </c>
      <c r="M245" s="130"/>
      <c r="N245" s="128" t="s">
        <v>493</v>
      </c>
      <c r="O245" s="131"/>
      <c r="P245" s="128"/>
      <c r="Q245" s="132"/>
    </row>
    <row r="246" spans="1:17">
      <c r="A246" s="128" t="s">
        <v>491</v>
      </c>
      <c r="B246" s="128" t="s">
        <v>35</v>
      </c>
      <c r="C246" s="128" t="s">
        <v>487</v>
      </c>
      <c r="D246" s="128">
        <v>1.2</v>
      </c>
      <c r="E246" s="128">
        <f t="shared" si="51"/>
        <v>0</v>
      </c>
      <c r="F246" s="128">
        <f t="shared" si="52"/>
        <v>0</v>
      </c>
      <c r="G246" s="128">
        <f>テーブル1[[#This Row],[長さ(m)]]</f>
        <v>0</v>
      </c>
      <c r="H246" s="128">
        <f t="shared" si="53"/>
        <v>0</v>
      </c>
      <c r="I246" s="129">
        <v>3089.7395087162581</v>
      </c>
      <c r="J246" s="129">
        <f t="shared" si="50"/>
        <v>0</v>
      </c>
      <c r="K246" s="128" t="s">
        <v>492</v>
      </c>
      <c r="L246" s="130">
        <v>44927</v>
      </c>
      <c r="M246" s="130"/>
      <c r="N246" s="128" t="s">
        <v>493</v>
      </c>
      <c r="O246" s="131"/>
      <c r="P246" s="128"/>
      <c r="Q246" s="132"/>
    </row>
    <row r="247" spans="1:17">
      <c r="A247" s="128" t="s">
        <v>491</v>
      </c>
      <c r="B247" s="128" t="s">
        <v>35</v>
      </c>
      <c r="C247" s="128" t="s">
        <v>488</v>
      </c>
      <c r="D247" s="128">
        <v>1.2</v>
      </c>
      <c r="E247" s="128">
        <f t="shared" si="51"/>
        <v>0</v>
      </c>
      <c r="F247" s="128">
        <f t="shared" si="52"/>
        <v>0</v>
      </c>
      <c r="G247" s="128">
        <f>テーブル1[[#This Row],[長さ(m)]]</f>
        <v>0</v>
      </c>
      <c r="H247" s="128">
        <f t="shared" si="53"/>
        <v>0</v>
      </c>
      <c r="I247" s="129">
        <v>3089.7395087162581</v>
      </c>
      <c r="J247" s="129">
        <f t="shared" si="50"/>
        <v>0</v>
      </c>
      <c r="K247" s="128" t="s">
        <v>492</v>
      </c>
      <c r="L247" s="130">
        <v>44927</v>
      </c>
      <c r="M247" s="130"/>
      <c r="N247" s="128" t="s">
        <v>493</v>
      </c>
      <c r="O247" s="131"/>
      <c r="P247" s="128"/>
      <c r="Q247" s="132"/>
    </row>
    <row r="248" spans="1:17">
      <c r="A248" s="43" t="s">
        <v>491</v>
      </c>
      <c r="B248" s="43" t="s">
        <v>35</v>
      </c>
      <c r="C248" s="43" t="s">
        <v>489</v>
      </c>
      <c r="D248" s="43">
        <v>1.2</v>
      </c>
      <c r="E248" s="43">
        <f>39-31-1-2-1-3-1</f>
        <v>0</v>
      </c>
      <c r="F248" s="43">
        <f>1-1</f>
        <v>0</v>
      </c>
      <c r="G248" s="43">
        <f>テーブル1[[#This Row],[長さ(m)]]</f>
        <v>0</v>
      </c>
      <c r="H248" s="43">
        <f t="shared" si="53"/>
        <v>0</v>
      </c>
      <c r="I248" s="47">
        <v>3089.7395087162586</v>
      </c>
      <c r="J248" s="47">
        <f t="shared" si="50"/>
        <v>0</v>
      </c>
      <c r="K248" s="43" t="s">
        <v>18</v>
      </c>
      <c r="L248" s="79">
        <v>44927</v>
      </c>
      <c r="M248" s="79"/>
      <c r="N248" s="43" t="s">
        <v>493</v>
      </c>
      <c r="O248" s="46"/>
      <c r="P248" s="43"/>
      <c r="Q248" s="71"/>
    </row>
    <row r="249" spans="1:17">
      <c r="A249" s="43" t="s">
        <v>512</v>
      </c>
      <c r="B249" s="43" t="s">
        <v>35</v>
      </c>
      <c r="C249" s="75" t="s">
        <v>490</v>
      </c>
      <c r="D249" s="43">
        <f>1.2</f>
        <v>1.2</v>
      </c>
      <c r="E249" s="75">
        <f>32.5-2-2-10-16-1.1-0.3</f>
        <v>1.0999999999999999</v>
      </c>
      <c r="F249" s="75">
        <f>1</f>
        <v>1</v>
      </c>
      <c r="G249" s="43">
        <f>テーブル1[[#This Row],[長さ(m)]]</f>
        <v>1.0999999999999999</v>
      </c>
      <c r="H249" s="75">
        <f t="shared" si="53"/>
        <v>1.3199999999999998</v>
      </c>
      <c r="I249" s="76">
        <v>3089.7395087162586</v>
      </c>
      <c r="J249" s="76">
        <f t="shared" si="50"/>
        <v>4078.4561515054606</v>
      </c>
      <c r="K249" s="75" t="s">
        <v>528</v>
      </c>
      <c r="L249" s="79">
        <v>44927</v>
      </c>
      <c r="M249" s="79"/>
      <c r="N249" s="43" t="s">
        <v>493</v>
      </c>
      <c r="O249" s="57"/>
      <c r="P249" s="75"/>
      <c r="Q249" s="77"/>
    </row>
    <row r="250" spans="1:17">
      <c r="A250" s="110" t="s">
        <v>498</v>
      </c>
      <c r="B250" s="110" t="s">
        <v>13</v>
      </c>
      <c r="C250" s="110" t="s">
        <v>499</v>
      </c>
      <c r="D250" s="110">
        <v>1.29</v>
      </c>
      <c r="E250" s="110">
        <v>1074</v>
      </c>
      <c r="F250" s="110">
        <v>1</v>
      </c>
      <c r="G250" s="110">
        <f>テーブル1[[#This Row],[長さ(m)]]</f>
        <v>1074</v>
      </c>
      <c r="H250" s="110">
        <f>D250*G250</f>
        <v>1385.46</v>
      </c>
      <c r="I250" s="111">
        <v>555.04424700014681</v>
      </c>
      <c r="J250" s="111">
        <f t="shared" ref="J250:J257" si="54">H250*I250</f>
        <v>768991.6024488234</v>
      </c>
      <c r="K250" s="112" t="s">
        <v>39</v>
      </c>
      <c r="L250" s="113">
        <v>44958</v>
      </c>
      <c r="M250" s="113"/>
      <c r="N250" s="112" t="s">
        <v>510</v>
      </c>
      <c r="O250" s="114"/>
      <c r="P250" s="112" t="s">
        <v>602</v>
      </c>
      <c r="Q250" s="115" t="s">
        <v>505</v>
      </c>
    </row>
    <row r="251" spans="1:17">
      <c r="A251" s="110" t="s">
        <v>498</v>
      </c>
      <c r="B251" s="110" t="s">
        <v>13</v>
      </c>
      <c r="C251" s="110" t="s">
        <v>808</v>
      </c>
      <c r="D251" s="110">
        <v>1.29</v>
      </c>
      <c r="E251" s="110">
        <f>1080-1080+360</f>
        <v>360</v>
      </c>
      <c r="F251" s="110">
        <v>1</v>
      </c>
      <c r="G251" s="110">
        <f>テーブル1[[#This Row],[長さ(m)]]</f>
        <v>360</v>
      </c>
      <c r="H251" s="110">
        <f t="shared" si="53"/>
        <v>464.40000000000003</v>
      </c>
      <c r="I251" s="111">
        <v>555.0442470001467</v>
      </c>
      <c r="J251" s="111">
        <f t="shared" si="54"/>
        <v>257762.54830686815</v>
      </c>
      <c r="K251" s="112" t="s">
        <v>39</v>
      </c>
      <c r="L251" s="116">
        <v>44958</v>
      </c>
      <c r="M251" s="116"/>
      <c r="N251" s="112" t="s">
        <v>510</v>
      </c>
      <c r="O251" s="114"/>
      <c r="P251" s="112" t="s">
        <v>603</v>
      </c>
      <c r="Q251" s="115" t="s">
        <v>809</v>
      </c>
    </row>
    <row r="252" spans="1:17">
      <c r="A252" s="110" t="s">
        <v>498</v>
      </c>
      <c r="B252" s="110" t="s">
        <v>13</v>
      </c>
      <c r="C252" s="110" t="s">
        <v>500</v>
      </c>
      <c r="D252" s="110">
        <v>1.29</v>
      </c>
      <c r="E252" s="110">
        <f>1075-1075</f>
        <v>0</v>
      </c>
      <c r="F252" s="110">
        <f>1-1</f>
        <v>0</v>
      </c>
      <c r="G252" s="110">
        <f>テーブル1[[#This Row],[長さ(m)]]</f>
        <v>0</v>
      </c>
      <c r="H252" s="110">
        <f t="shared" si="53"/>
        <v>0</v>
      </c>
      <c r="I252" s="111">
        <v>555.04424700014681</v>
      </c>
      <c r="J252" s="111">
        <f t="shared" si="54"/>
        <v>0</v>
      </c>
      <c r="K252" s="112" t="s">
        <v>39</v>
      </c>
      <c r="L252" s="116">
        <v>44958</v>
      </c>
      <c r="M252" s="116"/>
      <c r="N252" s="112" t="s">
        <v>510</v>
      </c>
      <c r="O252" s="114"/>
      <c r="P252" s="112" t="s">
        <v>604</v>
      </c>
      <c r="Q252" s="115" t="s">
        <v>506</v>
      </c>
    </row>
    <row r="253" spans="1:17">
      <c r="A253" s="110" t="s">
        <v>498</v>
      </c>
      <c r="B253" s="110" t="s">
        <v>13</v>
      </c>
      <c r="C253" s="110" t="s">
        <v>501</v>
      </c>
      <c r="D253" s="110">
        <v>1.29</v>
      </c>
      <c r="E253" s="110">
        <f>656-320</f>
        <v>336</v>
      </c>
      <c r="F253" s="110">
        <f>1</f>
        <v>1</v>
      </c>
      <c r="G253" s="110">
        <f>テーブル1[[#This Row],[長さ(m)]]</f>
        <v>336</v>
      </c>
      <c r="H253" s="110">
        <f t="shared" si="53"/>
        <v>433.44</v>
      </c>
      <c r="I253" s="111">
        <v>555.04424700014681</v>
      </c>
      <c r="J253" s="111">
        <f t="shared" si="54"/>
        <v>240578.37841974362</v>
      </c>
      <c r="K253" s="112" t="s">
        <v>39</v>
      </c>
      <c r="L253" s="116">
        <v>44958</v>
      </c>
      <c r="M253" s="116"/>
      <c r="N253" s="112" t="s">
        <v>510</v>
      </c>
      <c r="O253" s="114"/>
      <c r="P253" s="112" t="s">
        <v>605</v>
      </c>
      <c r="Q253" s="115" t="s">
        <v>506</v>
      </c>
    </row>
    <row r="254" spans="1:17">
      <c r="A254" s="110" t="s">
        <v>498</v>
      </c>
      <c r="B254" s="110" t="s">
        <v>13</v>
      </c>
      <c r="C254" s="110" t="s">
        <v>502</v>
      </c>
      <c r="D254" s="110">
        <v>1.29</v>
      </c>
      <c r="E254" s="110">
        <f>1040-1040</f>
        <v>0</v>
      </c>
      <c r="F254" s="110">
        <f>1-1</f>
        <v>0</v>
      </c>
      <c r="G254" s="110">
        <f>テーブル1[[#This Row],[長さ(m)]]</f>
        <v>0</v>
      </c>
      <c r="H254" s="110">
        <f t="shared" si="53"/>
        <v>0</v>
      </c>
      <c r="I254" s="111">
        <v>555.0442470001467</v>
      </c>
      <c r="J254" s="111">
        <f t="shared" si="54"/>
        <v>0</v>
      </c>
      <c r="K254" s="112" t="s">
        <v>39</v>
      </c>
      <c r="L254" s="116">
        <v>44958</v>
      </c>
      <c r="M254" s="116"/>
      <c r="N254" s="112" t="s">
        <v>510</v>
      </c>
      <c r="O254" s="114"/>
      <c r="P254" s="112" t="s">
        <v>606</v>
      </c>
      <c r="Q254" s="115" t="s">
        <v>507</v>
      </c>
    </row>
    <row r="255" spans="1:17">
      <c r="A255" s="110" t="s">
        <v>498</v>
      </c>
      <c r="B255" s="110" t="s">
        <v>13</v>
      </c>
      <c r="C255" s="110" t="s">
        <v>553</v>
      </c>
      <c r="D255" s="110">
        <v>1.29</v>
      </c>
      <c r="E255" s="110">
        <f>302-170-1-10-121</f>
        <v>0</v>
      </c>
      <c r="F255" s="110">
        <f>1-1</f>
        <v>0</v>
      </c>
      <c r="G255" s="110">
        <f>テーブル1[[#This Row],[長さ(m)]]</f>
        <v>0</v>
      </c>
      <c r="H255" s="110">
        <f t="shared" si="53"/>
        <v>0</v>
      </c>
      <c r="I255" s="111">
        <v>555.04424700014692</v>
      </c>
      <c r="J255" s="111">
        <f t="shared" si="54"/>
        <v>0</v>
      </c>
      <c r="K255" s="112" t="s">
        <v>39</v>
      </c>
      <c r="L255" s="116">
        <v>44958</v>
      </c>
      <c r="M255" s="116"/>
      <c r="N255" s="112" t="s">
        <v>510</v>
      </c>
      <c r="O255" s="114"/>
      <c r="P255" s="112" t="s">
        <v>607</v>
      </c>
      <c r="Q255" s="115" t="s">
        <v>507</v>
      </c>
    </row>
    <row r="256" spans="1:17">
      <c r="A256" s="109" t="s">
        <v>498</v>
      </c>
      <c r="B256" s="49" t="s">
        <v>13</v>
      </c>
      <c r="C256" s="49" t="s">
        <v>503</v>
      </c>
      <c r="D256" s="49">
        <v>1.29</v>
      </c>
      <c r="E256" s="49">
        <f>205-205</f>
        <v>0</v>
      </c>
      <c r="F256" s="49">
        <f>1-1</f>
        <v>0</v>
      </c>
      <c r="G256" s="49">
        <f>テーブル1[[#This Row],[長さ(m)]]</f>
        <v>0</v>
      </c>
      <c r="H256" s="49">
        <f t="shared" si="53"/>
        <v>0</v>
      </c>
      <c r="I256" s="53">
        <v>638.03278688524586</v>
      </c>
      <c r="J256" s="53">
        <f t="shared" si="54"/>
        <v>0</v>
      </c>
      <c r="K256" s="49" t="s">
        <v>39</v>
      </c>
      <c r="L256" s="102">
        <v>44958</v>
      </c>
      <c r="M256" s="102"/>
      <c r="N256" s="49" t="s">
        <v>509</v>
      </c>
      <c r="O256" s="52"/>
      <c r="P256" s="49"/>
      <c r="Q256" s="101" t="s">
        <v>508</v>
      </c>
    </row>
    <row r="257" spans="1:17">
      <c r="A257" s="43" t="s">
        <v>497</v>
      </c>
      <c r="B257" s="43" t="s">
        <v>35</v>
      </c>
      <c r="C257" s="75" t="s">
        <v>504</v>
      </c>
      <c r="D257" s="75">
        <v>1.29</v>
      </c>
      <c r="E257" s="75">
        <f>222-1-10</f>
        <v>211</v>
      </c>
      <c r="F257" s="75">
        <v>1</v>
      </c>
      <c r="G257" s="75">
        <f>テーブル1[[#This Row],[長さ(m)]]</f>
        <v>211</v>
      </c>
      <c r="H257" s="75">
        <f t="shared" si="53"/>
        <v>272.19</v>
      </c>
      <c r="I257" s="76">
        <v>638.03278688524586</v>
      </c>
      <c r="J257" s="76">
        <f t="shared" si="54"/>
        <v>173666.14426229507</v>
      </c>
      <c r="K257" s="43" t="s">
        <v>39</v>
      </c>
      <c r="L257" s="103">
        <v>44958</v>
      </c>
      <c r="M257" s="103"/>
      <c r="N257" s="75" t="s">
        <v>509</v>
      </c>
      <c r="O257" s="57"/>
      <c r="P257" s="75"/>
      <c r="Q257" s="77" t="s">
        <v>508</v>
      </c>
    </row>
    <row r="258" spans="1:17">
      <c r="A258" s="89" t="s">
        <v>648</v>
      </c>
      <c r="B258" s="89" t="s">
        <v>280</v>
      </c>
      <c r="C258" s="89" t="s">
        <v>643</v>
      </c>
      <c r="D258" s="89">
        <v>1.28</v>
      </c>
      <c r="E258" s="89">
        <f>3450-3450</f>
        <v>0</v>
      </c>
      <c r="F258" s="89">
        <f t="shared" ref="F258:F263" si="55">1-1</f>
        <v>0</v>
      </c>
      <c r="G258" s="89">
        <f>テーブル1[[#This Row],[長さ(m)]]</f>
        <v>0</v>
      </c>
      <c r="H258" s="89">
        <f t="shared" si="53"/>
        <v>0</v>
      </c>
      <c r="I258" s="94">
        <v>480</v>
      </c>
      <c r="J258" s="94">
        <f>テーブル1[[#This Row],[長さ合計(m)]]*I258</f>
        <v>0</v>
      </c>
      <c r="K258" s="89" t="s">
        <v>284</v>
      </c>
      <c r="L258" s="93" t="s">
        <v>530</v>
      </c>
      <c r="M258" s="93" t="s">
        <v>374</v>
      </c>
      <c r="N258" s="89" t="s">
        <v>638</v>
      </c>
      <c r="O258" s="93"/>
      <c r="P258" s="87"/>
      <c r="Q258" s="96" t="s">
        <v>511</v>
      </c>
    </row>
    <row r="259" spans="1:17">
      <c r="A259" s="89" t="s">
        <v>648</v>
      </c>
      <c r="B259" s="89" t="s">
        <v>280</v>
      </c>
      <c r="C259" s="89" t="s">
        <v>644</v>
      </c>
      <c r="D259" s="89">
        <v>1.28</v>
      </c>
      <c r="E259" s="89">
        <f>1610-1610</f>
        <v>0</v>
      </c>
      <c r="F259" s="89">
        <f t="shared" si="55"/>
        <v>0</v>
      </c>
      <c r="G259" s="89">
        <f>テーブル1[[#This Row],[長さ(m)]]</f>
        <v>0</v>
      </c>
      <c r="H259" s="89">
        <f t="shared" si="53"/>
        <v>0</v>
      </c>
      <c r="I259" s="94">
        <v>480</v>
      </c>
      <c r="J259" s="94">
        <f>テーブル1[[#This Row],[長さ合計(m)]]*I259</f>
        <v>0</v>
      </c>
      <c r="K259" s="89" t="s">
        <v>284</v>
      </c>
      <c r="L259" s="93" t="s">
        <v>531</v>
      </c>
      <c r="M259" s="93" t="s">
        <v>374</v>
      </c>
      <c r="N259" s="89" t="s">
        <v>639</v>
      </c>
      <c r="O259" s="93"/>
      <c r="P259" s="87"/>
      <c r="Q259" s="96" t="s">
        <v>511</v>
      </c>
    </row>
    <row r="260" spans="1:17">
      <c r="A260" s="89" t="s">
        <v>648</v>
      </c>
      <c r="B260" s="89" t="s">
        <v>280</v>
      </c>
      <c r="C260" s="89" t="s">
        <v>645</v>
      </c>
      <c r="D260" s="89">
        <v>1.28</v>
      </c>
      <c r="E260" s="89">
        <f>890-890</f>
        <v>0</v>
      </c>
      <c r="F260" s="89">
        <f t="shared" si="55"/>
        <v>0</v>
      </c>
      <c r="G260" s="89">
        <f>E260</f>
        <v>0</v>
      </c>
      <c r="H260" s="89">
        <f t="shared" si="53"/>
        <v>0</v>
      </c>
      <c r="I260" s="94">
        <v>480</v>
      </c>
      <c r="J260" s="94">
        <f>G260*I260</f>
        <v>0</v>
      </c>
      <c r="K260" s="89" t="s">
        <v>284</v>
      </c>
      <c r="L260" s="93" t="s">
        <v>531</v>
      </c>
      <c r="M260" s="93" t="s">
        <v>374</v>
      </c>
      <c r="N260" s="89" t="s">
        <v>640</v>
      </c>
      <c r="O260" s="93"/>
      <c r="P260" s="87"/>
      <c r="Q260" s="96" t="s">
        <v>511</v>
      </c>
    </row>
    <row r="261" spans="1:17">
      <c r="A261" s="43" t="s">
        <v>535</v>
      </c>
      <c r="B261" s="43"/>
      <c r="C261" s="75" t="s">
        <v>532</v>
      </c>
      <c r="D261" s="43">
        <v>1.29</v>
      </c>
      <c r="E261" s="43">
        <f>200-200+140</f>
        <v>140</v>
      </c>
      <c r="F261" s="43">
        <f>1-1+1</f>
        <v>1</v>
      </c>
      <c r="G261" s="43">
        <f>テーブル1[[#This Row],[長さ(m)]]</f>
        <v>140</v>
      </c>
      <c r="H261" s="43">
        <f t="shared" ref="H261:H280" si="56">D261*G261</f>
        <v>180.6</v>
      </c>
      <c r="I261" s="47">
        <v>705.10790851613797</v>
      </c>
      <c r="J261" s="47">
        <f t="shared" ref="J261:J280" si="57">H261*I261</f>
        <v>127342.48827801451</v>
      </c>
      <c r="K261" s="43" t="s">
        <v>39</v>
      </c>
      <c r="L261" s="48">
        <v>45017</v>
      </c>
      <c r="M261" s="48"/>
      <c r="N261" s="43" t="s">
        <v>538</v>
      </c>
      <c r="O261" s="46"/>
      <c r="P261" s="43"/>
      <c r="Q261" s="71" t="s">
        <v>543</v>
      </c>
    </row>
    <row r="262" spans="1:17">
      <c r="A262" s="43" t="s">
        <v>536</v>
      </c>
      <c r="B262" s="43" t="s">
        <v>13</v>
      </c>
      <c r="C262" s="75" t="s">
        <v>533</v>
      </c>
      <c r="D262" s="43">
        <v>1.29</v>
      </c>
      <c r="E262" s="43">
        <f>190-190</f>
        <v>0</v>
      </c>
      <c r="F262" s="43">
        <f t="shared" si="55"/>
        <v>0</v>
      </c>
      <c r="G262" s="43">
        <f>テーブル1[[#This Row],[長さ(m)]]</f>
        <v>0</v>
      </c>
      <c r="H262" s="43">
        <f t="shared" si="56"/>
        <v>0</v>
      </c>
      <c r="I262" s="47">
        <v>705.10790851613797</v>
      </c>
      <c r="J262" s="47">
        <f t="shared" si="57"/>
        <v>0</v>
      </c>
      <c r="K262" s="43" t="s">
        <v>39</v>
      </c>
      <c r="L262" s="48">
        <v>45017</v>
      </c>
      <c r="M262" s="48"/>
      <c r="N262" s="43" t="s">
        <v>539</v>
      </c>
      <c r="O262" s="46"/>
      <c r="P262" s="43"/>
      <c r="Q262" s="71" t="s">
        <v>543</v>
      </c>
    </row>
    <row r="263" spans="1:17">
      <c r="A263" s="43" t="s">
        <v>537</v>
      </c>
      <c r="B263" s="43" t="s">
        <v>35</v>
      </c>
      <c r="C263" s="75" t="s">
        <v>534</v>
      </c>
      <c r="D263" s="43">
        <v>1.29</v>
      </c>
      <c r="E263" s="43">
        <f>160-160+100-100</f>
        <v>0</v>
      </c>
      <c r="F263" s="43">
        <f t="shared" si="55"/>
        <v>0</v>
      </c>
      <c r="G263" s="43">
        <f>テーブル1[[#This Row],[長さ(m)]]</f>
        <v>0</v>
      </c>
      <c r="H263" s="43">
        <f t="shared" si="56"/>
        <v>0</v>
      </c>
      <c r="I263" s="47">
        <v>705.10790851613797</v>
      </c>
      <c r="J263" s="47">
        <f t="shared" si="57"/>
        <v>0</v>
      </c>
      <c r="K263" s="43" t="s">
        <v>39</v>
      </c>
      <c r="L263" s="48">
        <v>45017</v>
      </c>
      <c r="M263" s="48"/>
      <c r="N263" s="43"/>
      <c r="O263" s="46"/>
      <c r="P263" s="43"/>
      <c r="Q263" s="71" t="s">
        <v>543</v>
      </c>
    </row>
    <row r="264" spans="1:17">
      <c r="A264" s="43" t="s">
        <v>682</v>
      </c>
      <c r="B264" s="43" t="s">
        <v>35</v>
      </c>
      <c r="C264" s="75" t="s">
        <v>745</v>
      </c>
      <c r="D264" s="43">
        <v>1.02</v>
      </c>
      <c r="E264" s="43">
        <f>1-1</f>
        <v>0</v>
      </c>
      <c r="F264" s="43">
        <f>10-5-5</f>
        <v>0</v>
      </c>
      <c r="G264" s="43">
        <f>テーブル1[[#This Row],[長さ(m)]]*10</f>
        <v>0</v>
      </c>
      <c r="H264" s="43">
        <f t="shared" si="56"/>
        <v>0</v>
      </c>
      <c r="I264" s="47">
        <v>3533.8512763595995</v>
      </c>
      <c r="J264" s="47">
        <f t="shared" si="57"/>
        <v>0</v>
      </c>
      <c r="K264" s="43" t="s">
        <v>10</v>
      </c>
      <c r="L264" s="48">
        <v>45017</v>
      </c>
      <c r="M264" s="48"/>
      <c r="N264" s="43"/>
      <c r="O264" s="46"/>
      <c r="P264" s="43" t="s">
        <v>683</v>
      </c>
      <c r="Q264" s="71"/>
    </row>
    <row r="265" spans="1:17">
      <c r="A265" s="43" t="s">
        <v>682</v>
      </c>
      <c r="B265" s="43" t="s">
        <v>35</v>
      </c>
      <c r="C265" s="75" t="s">
        <v>746</v>
      </c>
      <c r="D265" s="43">
        <v>1.02</v>
      </c>
      <c r="E265" s="43">
        <f>10-10</f>
        <v>0</v>
      </c>
      <c r="F265" s="43">
        <f>1-1</f>
        <v>0</v>
      </c>
      <c r="G265" s="43">
        <f>テーブル1[[#This Row],[長さ(m)]]</f>
        <v>0</v>
      </c>
      <c r="H265" s="43">
        <f t="shared" si="56"/>
        <v>0</v>
      </c>
      <c r="I265" s="47">
        <v>3533.8512763595995</v>
      </c>
      <c r="J265" s="47">
        <f t="shared" si="57"/>
        <v>0</v>
      </c>
      <c r="K265" s="43" t="s">
        <v>39</v>
      </c>
      <c r="L265" s="48">
        <v>45017</v>
      </c>
      <c r="M265" s="48"/>
      <c r="N265" s="43"/>
      <c r="O265" s="46"/>
      <c r="P265" s="43" t="s">
        <v>684</v>
      </c>
      <c r="Q265" s="71" t="s">
        <v>543</v>
      </c>
    </row>
    <row r="266" spans="1:17">
      <c r="A266" s="43" t="s">
        <v>682</v>
      </c>
      <c r="B266" s="43" t="s">
        <v>35</v>
      </c>
      <c r="C266" s="75" t="s">
        <v>747</v>
      </c>
      <c r="D266" s="43">
        <v>1.02</v>
      </c>
      <c r="E266" s="43">
        <f t="shared" ref="E266:E268" si="58">10-10</f>
        <v>0</v>
      </c>
      <c r="F266" s="43">
        <f t="shared" ref="F266:F268" si="59">1-1</f>
        <v>0</v>
      </c>
      <c r="G266" s="43">
        <f>テーブル1[[#This Row],[長さ(m)]]</f>
        <v>0</v>
      </c>
      <c r="H266" s="43">
        <f t="shared" si="56"/>
        <v>0</v>
      </c>
      <c r="I266" s="47">
        <v>3533.8512763595995</v>
      </c>
      <c r="J266" s="47">
        <f t="shared" si="57"/>
        <v>0</v>
      </c>
      <c r="K266" s="43" t="s">
        <v>39</v>
      </c>
      <c r="L266" s="48">
        <v>45017</v>
      </c>
      <c r="M266" s="48"/>
      <c r="N266" s="43"/>
      <c r="O266" s="46"/>
      <c r="P266" s="43" t="s">
        <v>685</v>
      </c>
      <c r="Q266" s="71" t="s">
        <v>543</v>
      </c>
    </row>
    <row r="267" spans="1:17">
      <c r="A267" s="43" t="s">
        <v>682</v>
      </c>
      <c r="B267" s="43" t="s">
        <v>35</v>
      </c>
      <c r="C267" s="75" t="s">
        <v>748</v>
      </c>
      <c r="D267" s="43">
        <v>1.02</v>
      </c>
      <c r="E267" s="43">
        <f t="shared" si="58"/>
        <v>0</v>
      </c>
      <c r="F267" s="43">
        <f t="shared" si="59"/>
        <v>0</v>
      </c>
      <c r="G267" s="43">
        <f>テーブル1[[#This Row],[長さ(m)]]</f>
        <v>0</v>
      </c>
      <c r="H267" s="43">
        <f t="shared" si="56"/>
        <v>0</v>
      </c>
      <c r="I267" s="47">
        <v>3533.8512763595995</v>
      </c>
      <c r="J267" s="47">
        <f t="shared" si="57"/>
        <v>0</v>
      </c>
      <c r="K267" s="43" t="s">
        <v>39</v>
      </c>
      <c r="L267" s="48">
        <v>45017</v>
      </c>
      <c r="M267" s="48"/>
      <c r="N267" s="43"/>
      <c r="O267" s="46"/>
      <c r="P267" s="43" t="s">
        <v>686</v>
      </c>
      <c r="Q267" s="71" t="s">
        <v>543</v>
      </c>
    </row>
    <row r="268" spans="1:17">
      <c r="A268" s="43" t="s">
        <v>682</v>
      </c>
      <c r="B268" s="43" t="s">
        <v>35</v>
      </c>
      <c r="C268" s="75" t="s">
        <v>749</v>
      </c>
      <c r="D268" s="43">
        <v>1.02</v>
      </c>
      <c r="E268" s="43">
        <f t="shared" si="58"/>
        <v>0</v>
      </c>
      <c r="F268" s="43">
        <f t="shared" si="59"/>
        <v>0</v>
      </c>
      <c r="G268" s="43">
        <f>テーブル1[[#This Row],[長さ(m)]]</f>
        <v>0</v>
      </c>
      <c r="H268" s="43">
        <f t="shared" si="56"/>
        <v>0</v>
      </c>
      <c r="I268" s="47">
        <v>3533.8512763595995</v>
      </c>
      <c r="J268" s="47">
        <f t="shared" si="57"/>
        <v>0</v>
      </c>
      <c r="K268" s="43" t="s">
        <v>39</v>
      </c>
      <c r="L268" s="48">
        <v>45017</v>
      </c>
      <c r="M268" s="48"/>
      <c r="N268" s="43"/>
      <c r="O268" s="46"/>
      <c r="P268" s="43" t="s">
        <v>687</v>
      </c>
      <c r="Q268" s="71" t="s">
        <v>543</v>
      </c>
    </row>
    <row r="269" spans="1:17">
      <c r="A269" s="43" t="s">
        <v>682</v>
      </c>
      <c r="B269" s="43" t="s">
        <v>35</v>
      </c>
      <c r="C269" s="75" t="s">
        <v>750</v>
      </c>
      <c r="D269" s="43">
        <v>1.02</v>
      </c>
      <c r="E269" s="43">
        <f>10-5-5</f>
        <v>0</v>
      </c>
      <c r="F269" s="43">
        <f>1-1</f>
        <v>0</v>
      </c>
      <c r="G269" s="43">
        <f>テーブル1[[#This Row],[長さ(m)]]</f>
        <v>0</v>
      </c>
      <c r="H269" s="43">
        <f t="shared" si="56"/>
        <v>0</v>
      </c>
      <c r="I269" s="47">
        <v>3533.8512763595995</v>
      </c>
      <c r="J269" s="47">
        <f t="shared" si="57"/>
        <v>0</v>
      </c>
      <c r="K269" s="43" t="s">
        <v>10</v>
      </c>
      <c r="L269" s="48">
        <v>45017</v>
      </c>
      <c r="M269" s="48"/>
      <c r="N269" s="43"/>
      <c r="O269" s="46"/>
      <c r="P269" s="43" t="s">
        <v>688</v>
      </c>
      <c r="Q269" s="71"/>
    </row>
    <row r="270" spans="1:17">
      <c r="A270" s="43" t="s">
        <v>682</v>
      </c>
      <c r="B270" s="43" t="s">
        <v>35</v>
      </c>
      <c r="C270" s="75" t="s">
        <v>751</v>
      </c>
      <c r="D270" s="43">
        <v>1.02</v>
      </c>
      <c r="E270" s="43">
        <f>10-10</f>
        <v>0</v>
      </c>
      <c r="F270" s="43">
        <f t="shared" ref="F270:F271" si="60">1-1</f>
        <v>0</v>
      </c>
      <c r="G270" s="43">
        <f>テーブル1[[#This Row],[長さ(m)]]</f>
        <v>0</v>
      </c>
      <c r="H270" s="43">
        <f t="shared" si="56"/>
        <v>0</v>
      </c>
      <c r="I270" s="47">
        <v>3533.8512763595995</v>
      </c>
      <c r="J270" s="47">
        <f t="shared" si="57"/>
        <v>0</v>
      </c>
      <c r="K270" s="43" t="s">
        <v>39</v>
      </c>
      <c r="L270" s="48">
        <v>45017</v>
      </c>
      <c r="M270" s="48"/>
      <c r="N270" s="43"/>
      <c r="O270" s="46"/>
      <c r="P270" s="43" t="s">
        <v>689</v>
      </c>
      <c r="Q270" s="71" t="s">
        <v>543</v>
      </c>
    </row>
    <row r="271" spans="1:17">
      <c r="A271" s="43" t="s">
        <v>682</v>
      </c>
      <c r="B271" s="43" t="s">
        <v>35</v>
      </c>
      <c r="C271" s="75" t="s">
        <v>752</v>
      </c>
      <c r="D271" s="43">
        <v>1.02</v>
      </c>
      <c r="E271" s="43">
        <f>10-10</f>
        <v>0</v>
      </c>
      <c r="F271" s="43">
        <f t="shared" si="60"/>
        <v>0</v>
      </c>
      <c r="G271" s="43">
        <f>テーブル1[[#This Row],[長さ(m)]]</f>
        <v>0</v>
      </c>
      <c r="H271" s="43">
        <f t="shared" si="56"/>
        <v>0</v>
      </c>
      <c r="I271" s="47">
        <v>3533.8512763595995</v>
      </c>
      <c r="J271" s="47">
        <f t="shared" si="57"/>
        <v>0</v>
      </c>
      <c r="K271" s="43" t="s">
        <v>39</v>
      </c>
      <c r="L271" s="48">
        <v>45017</v>
      </c>
      <c r="M271" s="48"/>
      <c r="N271" s="43"/>
      <c r="O271" s="46"/>
      <c r="P271" s="43" t="s">
        <v>690</v>
      </c>
      <c r="Q271" s="71" t="s">
        <v>543</v>
      </c>
    </row>
    <row r="272" spans="1:17">
      <c r="A272" s="43" t="s">
        <v>682</v>
      </c>
      <c r="B272" s="43" t="s">
        <v>35</v>
      </c>
      <c r="C272" s="75" t="s">
        <v>753</v>
      </c>
      <c r="D272" s="43">
        <v>1.02</v>
      </c>
      <c r="E272" s="43">
        <f>1-1</f>
        <v>0</v>
      </c>
      <c r="F272" s="43">
        <f>8-1-2-1-3-1</f>
        <v>0</v>
      </c>
      <c r="G272" s="43">
        <f>テーブル1[[#This Row],[長さ(m)]]*テーブル1[[#This Row],[在庫(本)]]</f>
        <v>0</v>
      </c>
      <c r="H272" s="43">
        <f t="shared" si="56"/>
        <v>0</v>
      </c>
      <c r="I272" s="47">
        <v>3533.8512763595995</v>
      </c>
      <c r="J272" s="47">
        <f t="shared" si="57"/>
        <v>0</v>
      </c>
      <c r="K272" s="43" t="s">
        <v>10</v>
      </c>
      <c r="L272" s="48">
        <v>45017</v>
      </c>
      <c r="M272" s="48"/>
      <c r="N272" s="43"/>
      <c r="O272" s="46"/>
      <c r="P272" s="43" t="s">
        <v>691</v>
      </c>
      <c r="Q272" s="71"/>
    </row>
    <row r="273" spans="1:17">
      <c r="A273" s="43" t="s">
        <v>682</v>
      </c>
      <c r="B273" s="43" t="s">
        <v>35</v>
      </c>
      <c r="C273" s="75" t="s">
        <v>754</v>
      </c>
      <c r="D273" s="43">
        <v>1.02</v>
      </c>
      <c r="E273" s="43">
        <f>10-10</f>
        <v>0</v>
      </c>
      <c r="F273" s="43">
        <f t="shared" ref="F273:F279" si="61">1-1</f>
        <v>0</v>
      </c>
      <c r="G273" s="43">
        <f>テーブル1[[#This Row],[長さ(m)]]</f>
        <v>0</v>
      </c>
      <c r="H273" s="43">
        <f t="shared" si="56"/>
        <v>0</v>
      </c>
      <c r="I273" s="47">
        <v>3533.8512763595995</v>
      </c>
      <c r="J273" s="47">
        <f t="shared" si="57"/>
        <v>0</v>
      </c>
      <c r="K273" s="43" t="s">
        <v>39</v>
      </c>
      <c r="L273" s="48">
        <v>45017</v>
      </c>
      <c r="M273" s="48"/>
      <c r="N273" s="43"/>
      <c r="O273" s="46"/>
      <c r="P273" s="43" t="s">
        <v>692</v>
      </c>
      <c r="Q273" s="71" t="s">
        <v>543</v>
      </c>
    </row>
    <row r="274" spans="1:17">
      <c r="A274" s="43" t="s">
        <v>682</v>
      </c>
      <c r="B274" s="43" t="s">
        <v>35</v>
      </c>
      <c r="C274" s="75" t="s">
        <v>755</v>
      </c>
      <c r="D274" s="43">
        <v>1.02</v>
      </c>
      <c r="E274" s="43">
        <f>10-10</f>
        <v>0</v>
      </c>
      <c r="F274" s="43">
        <f t="shared" si="61"/>
        <v>0</v>
      </c>
      <c r="G274" s="43">
        <f>テーブル1[[#This Row],[長さ(m)]]</f>
        <v>0</v>
      </c>
      <c r="H274" s="43">
        <f t="shared" si="56"/>
        <v>0</v>
      </c>
      <c r="I274" s="47">
        <v>3533.8512763595995</v>
      </c>
      <c r="J274" s="47">
        <f t="shared" si="57"/>
        <v>0</v>
      </c>
      <c r="K274" s="43" t="s">
        <v>39</v>
      </c>
      <c r="L274" s="48">
        <v>45017</v>
      </c>
      <c r="M274" s="48"/>
      <c r="N274" s="43"/>
      <c r="O274" s="46"/>
      <c r="P274" s="43" t="s">
        <v>693</v>
      </c>
      <c r="Q274" s="71" t="s">
        <v>543</v>
      </c>
    </row>
    <row r="275" spans="1:17">
      <c r="A275" s="43" t="s">
        <v>682</v>
      </c>
      <c r="B275" s="43" t="s">
        <v>35</v>
      </c>
      <c r="C275" s="75" t="s">
        <v>756</v>
      </c>
      <c r="D275" s="43">
        <v>1.02</v>
      </c>
      <c r="E275" s="43">
        <f>10-10</f>
        <v>0</v>
      </c>
      <c r="F275" s="43">
        <f t="shared" si="61"/>
        <v>0</v>
      </c>
      <c r="G275" s="43">
        <f>テーブル1[[#This Row],[長さ(m)]]</f>
        <v>0</v>
      </c>
      <c r="H275" s="43">
        <f t="shared" si="56"/>
        <v>0</v>
      </c>
      <c r="I275" s="47">
        <v>3533.8512763595995</v>
      </c>
      <c r="J275" s="47">
        <f t="shared" si="57"/>
        <v>0</v>
      </c>
      <c r="K275" s="43" t="s">
        <v>39</v>
      </c>
      <c r="L275" s="48">
        <v>45017</v>
      </c>
      <c r="M275" s="48"/>
      <c r="N275" s="43"/>
      <c r="O275" s="46"/>
      <c r="P275" s="43" t="s">
        <v>694</v>
      </c>
      <c r="Q275" s="71" t="s">
        <v>543</v>
      </c>
    </row>
    <row r="276" spans="1:17" ht="16" customHeight="1">
      <c r="A276" s="43" t="s">
        <v>682</v>
      </c>
      <c r="B276" s="43" t="s">
        <v>35</v>
      </c>
      <c r="C276" s="75" t="s">
        <v>757</v>
      </c>
      <c r="D276" s="43">
        <v>1.02</v>
      </c>
      <c r="E276" s="43">
        <f>10-0.7-0.9-6.4-2</f>
        <v>0</v>
      </c>
      <c r="F276" s="43">
        <f t="shared" si="61"/>
        <v>0</v>
      </c>
      <c r="G276" s="43">
        <f>テーブル1[[#This Row],[長さ(m)]]</f>
        <v>0</v>
      </c>
      <c r="H276" s="43">
        <f t="shared" si="56"/>
        <v>0</v>
      </c>
      <c r="I276" s="47">
        <v>3533.8512763595995</v>
      </c>
      <c r="J276" s="47">
        <f t="shared" si="57"/>
        <v>0</v>
      </c>
      <c r="K276" s="43" t="s">
        <v>528</v>
      </c>
      <c r="L276" s="48">
        <v>45017</v>
      </c>
      <c r="M276" s="48"/>
      <c r="N276" s="43"/>
      <c r="O276" s="46"/>
      <c r="P276" s="43" t="s">
        <v>695</v>
      </c>
      <c r="Q276" s="71"/>
    </row>
    <row r="277" spans="1:17">
      <c r="A277" s="43" t="s">
        <v>682</v>
      </c>
      <c r="B277" s="43" t="s">
        <v>35</v>
      </c>
      <c r="C277" s="75" t="s">
        <v>758</v>
      </c>
      <c r="D277" s="43">
        <v>1.02</v>
      </c>
      <c r="E277" s="43">
        <f>10-9-1</f>
        <v>0</v>
      </c>
      <c r="F277" s="43">
        <f t="shared" si="61"/>
        <v>0</v>
      </c>
      <c r="G277" s="43">
        <f>テーブル1[[#This Row],[長さ(m)]]</f>
        <v>0</v>
      </c>
      <c r="H277" s="43">
        <f t="shared" si="56"/>
        <v>0</v>
      </c>
      <c r="I277" s="47">
        <v>3533.8512763595995</v>
      </c>
      <c r="J277" s="47">
        <f t="shared" si="57"/>
        <v>0</v>
      </c>
      <c r="K277" s="43" t="s">
        <v>528</v>
      </c>
      <c r="L277" s="48">
        <v>45017</v>
      </c>
      <c r="M277" s="48"/>
      <c r="N277" s="43"/>
      <c r="O277" s="46"/>
      <c r="P277" s="43" t="s">
        <v>696</v>
      </c>
      <c r="Q277" s="71"/>
    </row>
    <row r="278" spans="1:17">
      <c r="A278" s="43" t="s">
        <v>682</v>
      </c>
      <c r="B278" s="43" t="s">
        <v>35</v>
      </c>
      <c r="C278" s="75" t="s">
        <v>759</v>
      </c>
      <c r="D278" s="43">
        <v>1.02</v>
      </c>
      <c r="E278" s="43">
        <f>10-10</f>
        <v>0</v>
      </c>
      <c r="F278" s="43">
        <f t="shared" si="61"/>
        <v>0</v>
      </c>
      <c r="G278" s="43">
        <f>テーブル1[[#This Row],[長さ(m)]]</f>
        <v>0</v>
      </c>
      <c r="H278" s="43">
        <f t="shared" si="56"/>
        <v>0</v>
      </c>
      <c r="I278" s="47">
        <v>3533.8512763595995</v>
      </c>
      <c r="J278" s="47">
        <f t="shared" si="57"/>
        <v>0</v>
      </c>
      <c r="K278" s="43" t="s">
        <v>528</v>
      </c>
      <c r="L278" s="48">
        <v>45017</v>
      </c>
      <c r="M278" s="48"/>
      <c r="N278" s="43"/>
      <c r="O278" s="46"/>
      <c r="P278" s="43" t="s">
        <v>697</v>
      </c>
      <c r="Q278" s="71"/>
    </row>
    <row r="279" spans="1:17">
      <c r="A279" s="43" t="s">
        <v>682</v>
      </c>
      <c r="B279" s="43" t="s">
        <v>35</v>
      </c>
      <c r="C279" s="75" t="s">
        <v>760</v>
      </c>
      <c r="D279" s="43">
        <v>1.02</v>
      </c>
      <c r="E279" s="43">
        <f>10-10</f>
        <v>0</v>
      </c>
      <c r="F279" s="43">
        <f t="shared" si="61"/>
        <v>0</v>
      </c>
      <c r="G279" s="43">
        <f>テーブル1[[#This Row],[長さ(m)]]</f>
        <v>0</v>
      </c>
      <c r="H279" s="43">
        <f t="shared" si="56"/>
        <v>0</v>
      </c>
      <c r="I279" s="47">
        <v>3533.8512763595995</v>
      </c>
      <c r="J279" s="47">
        <f t="shared" si="57"/>
        <v>0</v>
      </c>
      <c r="K279" s="43" t="s">
        <v>528</v>
      </c>
      <c r="L279" s="48">
        <v>45017</v>
      </c>
      <c r="M279" s="48"/>
      <c r="N279" s="43"/>
      <c r="O279" s="46"/>
      <c r="P279" s="43" t="s">
        <v>698</v>
      </c>
      <c r="Q279" s="71"/>
    </row>
    <row r="280" spans="1:17">
      <c r="A280" s="43" t="s">
        <v>682</v>
      </c>
      <c r="B280" s="43" t="s">
        <v>35</v>
      </c>
      <c r="C280" s="75" t="s">
        <v>761</v>
      </c>
      <c r="D280" s="43">
        <v>1.02</v>
      </c>
      <c r="E280" s="43">
        <f>10-7-2-1</f>
        <v>0</v>
      </c>
      <c r="F280" s="43">
        <f>3-2-1</f>
        <v>0</v>
      </c>
      <c r="G280" s="43">
        <f>テーブル1[[#This Row],[長さ(m)]]</f>
        <v>0</v>
      </c>
      <c r="H280" s="43">
        <f t="shared" si="56"/>
        <v>0</v>
      </c>
      <c r="I280" s="47">
        <v>3533.8512763595995</v>
      </c>
      <c r="J280" s="47">
        <f t="shared" si="57"/>
        <v>0</v>
      </c>
      <c r="K280" s="43" t="s">
        <v>528</v>
      </c>
      <c r="L280" s="48">
        <v>45017</v>
      </c>
      <c r="M280" s="48"/>
      <c r="N280" s="43" t="s">
        <v>601</v>
      </c>
      <c r="O280" s="46"/>
      <c r="P280" s="43" t="s">
        <v>699</v>
      </c>
      <c r="Q280" s="71"/>
    </row>
    <row r="281" spans="1:17">
      <c r="A281" s="89" t="s">
        <v>648</v>
      </c>
      <c r="B281" s="89" t="s">
        <v>280</v>
      </c>
      <c r="C281" s="89" t="s">
        <v>646</v>
      </c>
      <c r="D281" s="87">
        <v>1.28</v>
      </c>
      <c r="E281" s="87">
        <f>2000-1000-1000</f>
        <v>0</v>
      </c>
      <c r="F281" s="87">
        <f>1-1</f>
        <v>0</v>
      </c>
      <c r="G281" s="87">
        <f>テーブル1[[#This Row],[長さ(m)]]</f>
        <v>0</v>
      </c>
      <c r="H281" s="87">
        <f t="shared" ref="H281:H282" si="62">D281*G281</f>
        <v>0</v>
      </c>
      <c r="I281" s="90">
        <v>440</v>
      </c>
      <c r="J281" s="90">
        <f t="shared" ref="J281:J282" si="63">H281*I281</f>
        <v>0</v>
      </c>
      <c r="K281" s="87" t="s">
        <v>540</v>
      </c>
      <c r="L281" s="91">
        <v>45017</v>
      </c>
      <c r="M281" s="93" t="s">
        <v>374</v>
      </c>
      <c r="N281" s="89" t="s">
        <v>538</v>
      </c>
      <c r="O281" s="92" t="s">
        <v>541</v>
      </c>
      <c r="P281" s="87"/>
      <c r="Q281" s="95" t="s">
        <v>542</v>
      </c>
    </row>
    <row r="282" spans="1:17">
      <c r="A282" s="89" t="s">
        <v>648</v>
      </c>
      <c r="B282" s="89" t="s">
        <v>280</v>
      </c>
      <c r="C282" s="89" t="s">
        <v>647</v>
      </c>
      <c r="D282" s="87">
        <v>1.28</v>
      </c>
      <c r="E282" s="87">
        <f>1570-270-1300+230-230</f>
        <v>0</v>
      </c>
      <c r="F282" s="87">
        <f>1-1</f>
        <v>0</v>
      </c>
      <c r="G282" s="87">
        <f>テーブル1[[#This Row],[長さ(m)]]</f>
        <v>0</v>
      </c>
      <c r="H282" s="87">
        <f t="shared" si="62"/>
        <v>0</v>
      </c>
      <c r="I282" s="90">
        <v>440</v>
      </c>
      <c r="J282" s="90">
        <f t="shared" si="63"/>
        <v>0</v>
      </c>
      <c r="K282" s="87" t="s">
        <v>540</v>
      </c>
      <c r="L282" s="91">
        <v>45017</v>
      </c>
      <c r="M282" s="93" t="s">
        <v>374</v>
      </c>
      <c r="N282" s="89" t="s">
        <v>539</v>
      </c>
      <c r="O282" s="92" t="s">
        <v>541</v>
      </c>
      <c r="P282" s="87"/>
      <c r="Q282" s="95" t="s">
        <v>542</v>
      </c>
    </row>
    <row r="283" spans="1:17">
      <c r="A283" s="87" t="s">
        <v>34</v>
      </c>
      <c r="B283" s="87" t="s">
        <v>35</v>
      </c>
      <c r="C283" s="87" t="s">
        <v>544</v>
      </c>
      <c r="D283" s="87">
        <v>1.29</v>
      </c>
      <c r="E283" s="87">
        <f>1060-130</f>
        <v>930</v>
      </c>
      <c r="F283" s="87">
        <v>1</v>
      </c>
      <c r="G283" s="87">
        <f>テーブル1[[#This Row],[長さ(m)]]</f>
        <v>930</v>
      </c>
      <c r="H283" s="87">
        <f t="shared" ref="H283:H289" si="64">D283*G283</f>
        <v>1199.7</v>
      </c>
      <c r="I283" s="90">
        <v>701.83333398883292</v>
      </c>
      <c r="J283" s="90">
        <f t="shared" ref="J283:J289" si="65">H283*I283</f>
        <v>841989.45078640291</v>
      </c>
      <c r="K283" s="87" t="s">
        <v>39</v>
      </c>
      <c r="L283" s="91">
        <v>45017</v>
      </c>
      <c r="M283" s="91"/>
      <c r="N283" s="87" t="s">
        <v>510</v>
      </c>
      <c r="O283" s="92"/>
      <c r="P283" s="87"/>
      <c r="Q283" s="95" t="s">
        <v>551</v>
      </c>
    </row>
    <row r="284" spans="1:17">
      <c r="A284" s="87" t="s">
        <v>34</v>
      </c>
      <c r="B284" s="87" t="s">
        <v>35</v>
      </c>
      <c r="C284" s="87" t="s">
        <v>545</v>
      </c>
      <c r="D284" s="87">
        <v>1.29</v>
      </c>
      <c r="E284" s="87">
        <v>1056</v>
      </c>
      <c r="F284" s="87">
        <f>1-1</f>
        <v>0</v>
      </c>
      <c r="G284" s="87">
        <f>テーブル1[[#This Row],[長さ(m)]]</f>
        <v>1056</v>
      </c>
      <c r="H284" s="87">
        <f t="shared" si="64"/>
        <v>1362.24</v>
      </c>
      <c r="I284" s="90">
        <v>701.83333398883292</v>
      </c>
      <c r="J284" s="90">
        <f t="shared" si="65"/>
        <v>956065.44089294772</v>
      </c>
      <c r="K284" s="87" t="s">
        <v>39</v>
      </c>
      <c r="L284" s="91">
        <v>45017</v>
      </c>
      <c r="M284" s="91"/>
      <c r="N284" s="87" t="s">
        <v>510</v>
      </c>
      <c r="O284" s="92"/>
      <c r="P284" s="87"/>
      <c r="Q284" s="95" t="s">
        <v>551</v>
      </c>
    </row>
    <row r="285" spans="1:17">
      <c r="A285" s="87" t="s">
        <v>34</v>
      </c>
      <c r="B285" s="87" t="s">
        <v>35</v>
      </c>
      <c r="C285" s="87" t="s">
        <v>546</v>
      </c>
      <c r="D285" s="87">
        <v>1.29</v>
      </c>
      <c r="E285" s="87">
        <f>1012-1012+500</f>
        <v>500</v>
      </c>
      <c r="F285" s="87">
        <f>1-1+1</f>
        <v>1</v>
      </c>
      <c r="G285" s="87">
        <f>テーブル1[[#This Row],[長さ(m)]]</f>
        <v>500</v>
      </c>
      <c r="H285" s="87">
        <f t="shared" si="64"/>
        <v>645</v>
      </c>
      <c r="I285" s="90">
        <v>701.83333398883292</v>
      </c>
      <c r="J285" s="90">
        <f t="shared" si="65"/>
        <v>452682.50042279722</v>
      </c>
      <c r="K285" s="87" t="s">
        <v>39</v>
      </c>
      <c r="L285" s="91">
        <v>45017</v>
      </c>
      <c r="M285" s="91"/>
      <c r="N285" s="87" t="s">
        <v>510</v>
      </c>
      <c r="O285" s="92"/>
      <c r="P285" s="87"/>
      <c r="Q285" s="95" t="s">
        <v>552</v>
      </c>
    </row>
    <row r="286" spans="1:17">
      <c r="A286" s="87" t="s">
        <v>34</v>
      </c>
      <c r="B286" s="87" t="s">
        <v>35</v>
      </c>
      <c r="C286" s="87" t="s">
        <v>547</v>
      </c>
      <c r="D286" s="87">
        <v>1.29</v>
      </c>
      <c r="E286" s="87">
        <f>1060-1060</f>
        <v>0</v>
      </c>
      <c r="F286" s="87">
        <f>1-1</f>
        <v>0</v>
      </c>
      <c r="G286" s="87">
        <f>テーブル1[[#This Row],[長さ(m)]]</f>
        <v>0</v>
      </c>
      <c r="H286" s="87">
        <f t="shared" si="64"/>
        <v>0</v>
      </c>
      <c r="I286" s="90">
        <v>701.83333398883292</v>
      </c>
      <c r="J286" s="90">
        <f t="shared" si="65"/>
        <v>0</v>
      </c>
      <c r="K286" s="87" t="s">
        <v>39</v>
      </c>
      <c r="L286" s="91">
        <v>45017</v>
      </c>
      <c r="M286" s="91"/>
      <c r="N286" s="87" t="s">
        <v>510</v>
      </c>
      <c r="O286" s="92"/>
      <c r="P286" s="87"/>
      <c r="Q286" s="95" t="s">
        <v>552</v>
      </c>
    </row>
    <row r="287" spans="1:17">
      <c r="A287" s="87" t="s">
        <v>34</v>
      </c>
      <c r="B287" s="87" t="s">
        <v>35</v>
      </c>
      <c r="C287" s="87" t="s">
        <v>548</v>
      </c>
      <c r="D287" s="87">
        <v>1.29</v>
      </c>
      <c r="E287" s="87">
        <f>1060-1060</f>
        <v>0</v>
      </c>
      <c r="F287" s="87">
        <f>1-1</f>
        <v>0</v>
      </c>
      <c r="G287" s="87">
        <f>テーブル1[[#This Row],[長さ(m)]]</f>
        <v>0</v>
      </c>
      <c r="H287" s="87">
        <f t="shared" si="64"/>
        <v>0</v>
      </c>
      <c r="I287" s="90">
        <v>701.83333398883292</v>
      </c>
      <c r="J287" s="90">
        <f t="shared" si="65"/>
        <v>0</v>
      </c>
      <c r="K287" s="87" t="s">
        <v>39</v>
      </c>
      <c r="L287" s="91">
        <v>45017</v>
      </c>
      <c r="M287" s="91"/>
      <c r="N287" s="87" t="s">
        <v>510</v>
      </c>
      <c r="O287" s="92"/>
      <c r="P287" s="87"/>
      <c r="Q287" s="95" t="s">
        <v>554</v>
      </c>
    </row>
    <row r="288" spans="1:17">
      <c r="A288" s="87" t="s">
        <v>34</v>
      </c>
      <c r="B288" s="87" t="s">
        <v>35</v>
      </c>
      <c r="C288" s="87" t="s">
        <v>581</v>
      </c>
      <c r="D288" s="87">
        <v>1.29</v>
      </c>
      <c r="E288" s="87">
        <f>665-665</f>
        <v>0</v>
      </c>
      <c r="F288" s="87">
        <f>1-1</f>
        <v>0</v>
      </c>
      <c r="G288" s="87">
        <f>テーブル1[[#This Row],[長さ(m)]]</f>
        <v>0</v>
      </c>
      <c r="H288" s="87">
        <f t="shared" si="64"/>
        <v>0</v>
      </c>
      <c r="I288" s="90">
        <v>701.83333398883292</v>
      </c>
      <c r="J288" s="90">
        <f t="shared" si="65"/>
        <v>0</v>
      </c>
      <c r="K288" s="87" t="s">
        <v>39</v>
      </c>
      <c r="L288" s="91">
        <v>45017</v>
      </c>
      <c r="M288" s="91"/>
      <c r="N288" s="87" t="s">
        <v>510</v>
      </c>
      <c r="O288" s="92"/>
      <c r="P288" s="87"/>
      <c r="Q288" s="95" t="s">
        <v>554</v>
      </c>
    </row>
    <row r="289" spans="1:17">
      <c r="A289" s="75" t="s">
        <v>536</v>
      </c>
      <c r="B289" s="75"/>
      <c r="C289" s="75" t="s">
        <v>549</v>
      </c>
      <c r="D289" s="43">
        <v>1.29</v>
      </c>
      <c r="E289" s="75">
        <f>265-265</f>
        <v>0</v>
      </c>
      <c r="F289" s="75">
        <f>1-1</f>
        <v>0</v>
      </c>
      <c r="G289" s="43">
        <f>テーブル1[[#This Row],[長さ(m)]]</f>
        <v>0</v>
      </c>
      <c r="H289" s="75">
        <f t="shared" si="64"/>
        <v>0</v>
      </c>
      <c r="I289" s="76">
        <v>262.39578762615179</v>
      </c>
      <c r="J289" s="76">
        <f t="shared" si="65"/>
        <v>0</v>
      </c>
      <c r="K289" s="43" t="s">
        <v>39</v>
      </c>
      <c r="L289" s="48">
        <v>45017</v>
      </c>
      <c r="M289" s="79"/>
      <c r="N289" s="75" t="s">
        <v>550</v>
      </c>
      <c r="O289" s="57"/>
      <c r="P289" s="75"/>
      <c r="Q289" s="77" t="s">
        <v>555</v>
      </c>
    </row>
    <row r="290" spans="1:17">
      <c r="A290" s="87" t="s">
        <v>613</v>
      </c>
      <c r="B290" s="87" t="s">
        <v>9</v>
      </c>
      <c r="C290" s="87" t="s">
        <v>556</v>
      </c>
      <c r="D290" s="87">
        <v>1.29</v>
      </c>
      <c r="E290" s="87">
        <f>1000-1000</f>
        <v>0</v>
      </c>
      <c r="F290" s="87">
        <f>1-1</f>
        <v>0</v>
      </c>
      <c r="G290" s="87">
        <f>テーブル1[[#This Row],[長さ(m)]]</f>
        <v>0</v>
      </c>
      <c r="H290" s="87">
        <f t="shared" ref="H290:H299" si="66">D290*G290</f>
        <v>0</v>
      </c>
      <c r="I290" s="90">
        <v>189</v>
      </c>
      <c r="J290" s="90">
        <f t="shared" ref="J290:J299" si="67">H290*I290</f>
        <v>0</v>
      </c>
      <c r="K290" s="87" t="s">
        <v>39</v>
      </c>
      <c r="L290" s="91">
        <v>45017</v>
      </c>
      <c r="M290" s="91" t="s">
        <v>40</v>
      </c>
      <c r="N290" s="87" t="s">
        <v>616</v>
      </c>
      <c r="O290" s="92"/>
      <c r="P290" s="87"/>
      <c r="Q290" s="95" t="s">
        <v>576</v>
      </c>
    </row>
    <row r="291" spans="1:17">
      <c r="A291" s="87" t="s">
        <v>613</v>
      </c>
      <c r="B291" s="87" t="s">
        <v>9</v>
      </c>
      <c r="C291" s="87" t="s">
        <v>557</v>
      </c>
      <c r="D291" s="87">
        <v>1.29</v>
      </c>
      <c r="E291" s="87">
        <f>1000-1000+220-220</f>
        <v>0</v>
      </c>
      <c r="F291" s="87">
        <f t="shared" ref="F291:F294" si="68">1-1</f>
        <v>0</v>
      </c>
      <c r="G291" s="87">
        <f>テーブル1[[#This Row],[長さ(m)]]</f>
        <v>0</v>
      </c>
      <c r="H291" s="87">
        <f t="shared" si="66"/>
        <v>0</v>
      </c>
      <c r="I291" s="90">
        <v>189</v>
      </c>
      <c r="J291" s="90">
        <f t="shared" si="67"/>
        <v>0</v>
      </c>
      <c r="K291" s="87" t="s">
        <v>39</v>
      </c>
      <c r="L291" s="91">
        <v>45017</v>
      </c>
      <c r="M291" s="91" t="s">
        <v>40</v>
      </c>
      <c r="N291" s="87" t="s">
        <v>617</v>
      </c>
      <c r="O291" s="92"/>
      <c r="P291" s="87"/>
      <c r="Q291" s="95" t="s">
        <v>576</v>
      </c>
    </row>
    <row r="292" spans="1:17">
      <c r="A292" s="87" t="s">
        <v>613</v>
      </c>
      <c r="B292" s="87" t="s">
        <v>9</v>
      </c>
      <c r="C292" s="87" t="s">
        <v>558</v>
      </c>
      <c r="D292" s="87">
        <v>1.29</v>
      </c>
      <c r="E292" s="87">
        <f>1000-1000</f>
        <v>0</v>
      </c>
      <c r="F292" s="87">
        <f t="shared" si="68"/>
        <v>0</v>
      </c>
      <c r="G292" s="87">
        <f>テーブル1[[#This Row],[長さ(m)]]</f>
        <v>0</v>
      </c>
      <c r="H292" s="87">
        <f t="shared" si="66"/>
        <v>0</v>
      </c>
      <c r="I292" s="90">
        <v>189</v>
      </c>
      <c r="J292" s="90">
        <f t="shared" si="67"/>
        <v>0</v>
      </c>
      <c r="K292" s="87" t="s">
        <v>39</v>
      </c>
      <c r="L292" s="91">
        <v>45017</v>
      </c>
      <c r="M292" s="91" t="s">
        <v>40</v>
      </c>
      <c r="N292" s="87" t="s">
        <v>618</v>
      </c>
      <c r="O292" s="92"/>
      <c r="P292" s="87"/>
      <c r="Q292" s="95" t="s">
        <v>576</v>
      </c>
    </row>
    <row r="293" spans="1:17">
      <c r="A293" s="87" t="s">
        <v>613</v>
      </c>
      <c r="B293" s="87" t="s">
        <v>9</v>
      </c>
      <c r="C293" s="87" t="s">
        <v>559</v>
      </c>
      <c r="D293" s="87">
        <v>1.29</v>
      </c>
      <c r="E293" s="87">
        <f>1000-1000</f>
        <v>0</v>
      </c>
      <c r="F293" s="87">
        <f t="shared" si="68"/>
        <v>0</v>
      </c>
      <c r="G293" s="87">
        <f>テーブル1[[#This Row],[長さ(m)]]</f>
        <v>0</v>
      </c>
      <c r="H293" s="87">
        <f t="shared" si="66"/>
        <v>0</v>
      </c>
      <c r="I293" s="90">
        <v>189</v>
      </c>
      <c r="J293" s="90">
        <f t="shared" si="67"/>
        <v>0</v>
      </c>
      <c r="K293" s="87" t="s">
        <v>39</v>
      </c>
      <c r="L293" s="91">
        <v>45017</v>
      </c>
      <c r="M293" s="91" t="s">
        <v>40</v>
      </c>
      <c r="N293" s="87" t="s">
        <v>619</v>
      </c>
      <c r="O293" s="92"/>
      <c r="P293" s="87"/>
      <c r="Q293" s="95" t="s">
        <v>576</v>
      </c>
    </row>
    <row r="294" spans="1:17">
      <c r="A294" s="87" t="s">
        <v>613</v>
      </c>
      <c r="B294" s="87" t="s">
        <v>9</v>
      </c>
      <c r="C294" s="87" t="s">
        <v>560</v>
      </c>
      <c r="D294" s="87">
        <v>1.29</v>
      </c>
      <c r="E294" s="87">
        <f>1000-1000</f>
        <v>0</v>
      </c>
      <c r="F294" s="87">
        <f t="shared" si="68"/>
        <v>0</v>
      </c>
      <c r="G294" s="87">
        <f>テーブル1[[#This Row],[長さ(m)]]</f>
        <v>0</v>
      </c>
      <c r="H294" s="87">
        <f t="shared" si="66"/>
        <v>0</v>
      </c>
      <c r="I294" s="90">
        <v>189</v>
      </c>
      <c r="J294" s="90">
        <f t="shared" si="67"/>
        <v>0</v>
      </c>
      <c r="K294" s="87" t="s">
        <v>39</v>
      </c>
      <c r="L294" s="91">
        <v>45017</v>
      </c>
      <c r="M294" s="91" t="s">
        <v>40</v>
      </c>
      <c r="N294" s="87" t="s">
        <v>620</v>
      </c>
      <c r="O294" s="92"/>
      <c r="P294" s="87"/>
      <c r="Q294" s="95" t="s">
        <v>576</v>
      </c>
    </row>
    <row r="295" spans="1:17">
      <c r="A295" s="87" t="s">
        <v>613</v>
      </c>
      <c r="B295" s="87" t="s">
        <v>9</v>
      </c>
      <c r="C295" s="87" t="s">
        <v>561</v>
      </c>
      <c r="D295" s="87">
        <v>1.29</v>
      </c>
      <c r="E295" s="87">
        <f>1000-1000</f>
        <v>0</v>
      </c>
      <c r="F295" s="87">
        <f>1-1</f>
        <v>0</v>
      </c>
      <c r="G295" s="87">
        <f>テーブル1[[#This Row],[長さ(m)]]</f>
        <v>0</v>
      </c>
      <c r="H295" s="87">
        <f t="shared" si="66"/>
        <v>0</v>
      </c>
      <c r="I295" s="90">
        <v>189</v>
      </c>
      <c r="J295" s="90">
        <f t="shared" si="67"/>
        <v>0</v>
      </c>
      <c r="K295" s="87" t="s">
        <v>39</v>
      </c>
      <c r="L295" s="91">
        <v>45017</v>
      </c>
      <c r="M295" s="91" t="s">
        <v>40</v>
      </c>
      <c r="N295" s="87" t="s">
        <v>621</v>
      </c>
      <c r="O295" s="92"/>
      <c r="P295" s="87"/>
      <c r="Q295" s="95" t="s">
        <v>577</v>
      </c>
    </row>
    <row r="296" spans="1:17">
      <c r="A296" s="87" t="s">
        <v>613</v>
      </c>
      <c r="B296" s="87" t="s">
        <v>9</v>
      </c>
      <c r="C296" s="87" t="s">
        <v>562</v>
      </c>
      <c r="D296" s="87">
        <v>1.29</v>
      </c>
      <c r="E296" s="87">
        <f>1000-1000+500</f>
        <v>500</v>
      </c>
      <c r="F296" s="87">
        <f>1</f>
        <v>1</v>
      </c>
      <c r="G296" s="87">
        <f>テーブル1[[#This Row],[長さ(m)]]</f>
        <v>500</v>
      </c>
      <c r="H296" s="87">
        <f t="shared" si="66"/>
        <v>645</v>
      </c>
      <c r="I296" s="90">
        <v>189</v>
      </c>
      <c r="J296" s="90">
        <f t="shared" si="67"/>
        <v>121905</v>
      </c>
      <c r="K296" s="87" t="s">
        <v>39</v>
      </c>
      <c r="L296" s="91">
        <v>45017</v>
      </c>
      <c r="M296" s="91" t="s">
        <v>40</v>
      </c>
      <c r="N296" s="87" t="s">
        <v>622</v>
      </c>
      <c r="O296" s="92"/>
      <c r="P296" s="87"/>
      <c r="Q296" s="95" t="s">
        <v>577</v>
      </c>
    </row>
    <row r="297" spans="1:17">
      <c r="A297" s="87" t="s">
        <v>613</v>
      </c>
      <c r="B297" s="87" t="s">
        <v>9</v>
      </c>
      <c r="C297" s="87" t="s">
        <v>563</v>
      </c>
      <c r="D297" s="87">
        <v>1.29</v>
      </c>
      <c r="E297" s="87">
        <f>1000</f>
        <v>1000</v>
      </c>
      <c r="F297" s="87">
        <f>1</f>
        <v>1</v>
      </c>
      <c r="G297" s="87">
        <f>テーブル1[[#This Row],[長さ(m)]]</f>
        <v>1000</v>
      </c>
      <c r="H297" s="87">
        <f t="shared" si="66"/>
        <v>1290</v>
      </c>
      <c r="I297" s="90">
        <v>189</v>
      </c>
      <c r="J297" s="90">
        <f t="shared" si="67"/>
        <v>243810</v>
      </c>
      <c r="K297" s="87" t="s">
        <v>39</v>
      </c>
      <c r="L297" s="91">
        <v>45017</v>
      </c>
      <c r="M297" s="91" t="s">
        <v>40</v>
      </c>
      <c r="N297" s="87" t="s">
        <v>623</v>
      </c>
      <c r="O297" s="92"/>
      <c r="P297" s="87"/>
      <c r="Q297" s="95" t="s">
        <v>577</v>
      </c>
    </row>
    <row r="298" spans="1:17">
      <c r="A298" s="87" t="s">
        <v>613</v>
      </c>
      <c r="B298" s="87" t="s">
        <v>9</v>
      </c>
      <c r="C298" s="87" t="s">
        <v>564</v>
      </c>
      <c r="D298" s="87">
        <v>1.29</v>
      </c>
      <c r="E298" s="87">
        <v>1000</v>
      </c>
      <c r="F298" s="87">
        <v>1</v>
      </c>
      <c r="G298" s="87">
        <f>テーブル1[[#This Row],[長さ(m)]]</f>
        <v>1000</v>
      </c>
      <c r="H298" s="87">
        <f t="shared" si="66"/>
        <v>1290</v>
      </c>
      <c r="I298" s="90">
        <v>189</v>
      </c>
      <c r="J298" s="90">
        <f t="shared" si="67"/>
        <v>243810</v>
      </c>
      <c r="K298" s="87" t="s">
        <v>39</v>
      </c>
      <c r="L298" s="91">
        <v>45017</v>
      </c>
      <c r="M298" s="91" t="s">
        <v>40</v>
      </c>
      <c r="N298" s="87" t="s">
        <v>624</v>
      </c>
      <c r="O298" s="92"/>
      <c r="P298" s="87"/>
      <c r="Q298" s="95" t="s">
        <v>577</v>
      </c>
    </row>
    <row r="299" spans="1:17">
      <c r="A299" s="87" t="s">
        <v>613</v>
      </c>
      <c r="B299" s="87" t="s">
        <v>9</v>
      </c>
      <c r="C299" s="89" t="s">
        <v>565</v>
      </c>
      <c r="D299" s="87">
        <v>1.29</v>
      </c>
      <c r="E299" s="87">
        <v>1000</v>
      </c>
      <c r="F299" s="89">
        <v>1</v>
      </c>
      <c r="G299" s="87">
        <f>テーブル1[[#This Row],[長さ(m)]]</f>
        <v>1000</v>
      </c>
      <c r="H299" s="89">
        <f t="shared" si="66"/>
        <v>1290</v>
      </c>
      <c r="I299" s="94">
        <v>189</v>
      </c>
      <c r="J299" s="94">
        <f t="shared" si="67"/>
        <v>243810</v>
      </c>
      <c r="K299" s="89" t="s">
        <v>39</v>
      </c>
      <c r="L299" s="91">
        <v>45017</v>
      </c>
      <c r="M299" s="91" t="s">
        <v>40</v>
      </c>
      <c r="N299" s="87" t="s">
        <v>625</v>
      </c>
      <c r="O299" s="93"/>
      <c r="P299" s="89"/>
      <c r="Q299" s="96" t="s">
        <v>577</v>
      </c>
    </row>
    <row r="300" spans="1:17">
      <c r="A300" s="43" t="s">
        <v>615</v>
      </c>
      <c r="B300" s="43" t="s">
        <v>480</v>
      </c>
      <c r="C300" s="43" t="s">
        <v>566</v>
      </c>
      <c r="D300" s="43">
        <v>1.29</v>
      </c>
      <c r="E300" s="43">
        <f>1000-1000</f>
        <v>0</v>
      </c>
      <c r="F300" s="43">
        <f>1-1</f>
        <v>0</v>
      </c>
      <c r="G300" s="43">
        <f>テーブル1[[#This Row],[長さ(m)]]</f>
        <v>0</v>
      </c>
      <c r="H300" s="43">
        <f t="shared" ref="H300:H309" si="69">D300*G300</f>
        <v>0</v>
      </c>
      <c r="I300" s="47">
        <v>179</v>
      </c>
      <c r="J300" s="47">
        <f t="shared" ref="J300:J310" si="70">H300*I300</f>
        <v>0</v>
      </c>
      <c r="K300" s="43" t="s">
        <v>39</v>
      </c>
      <c r="L300" s="91">
        <v>45017</v>
      </c>
      <c r="M300" s="48" t="s">
        <v>40</v>
      </c>
      <c r="N300" s="43" t="s">
        <v>626</v>
      </c>
      <c r="O300" s="46"/>
      <c r="P300" s="43"/>
      <c r="Q300" s="71" t="s">
        <v>578</v>
      </c>
    </row>
    <row r="301" spans="1:17">
      <c r="A301" s="43" t="s">
        <v>615</v>
      </c>
      <c r="B301" s="43" t="s">
        <v>480</v>
      </c>
      <c r="C301" s="43" t="s">
        <v>567</v>
      </c>
      <c r="D301" s="43">
        <v>1.29</v>
      </c>
      <c r="E301" s="43">
        <f>1000-1000</f>
        <v>0</v>
      </c>
      <c r="F301" s="43">
        <f>1-1</f>
        <v>0</v>
      </c>
      <c r="G301" s="43">
        <f>テーブル1[[#This Row],[長さ(m)]]</f>
        <v>0</v>
      </c>
      <c r="H301" s="43">
        <f t="shared" si="69"/>
        <v>0</v>
      </c>
      <c r="I301" s="47">
        <v>179</v>
      </c>
      <c r="J301" s="47">
        <f t="shared" si="70"/>
        <v>0</v>
      </c>
      <c r="K301" s="43" t="s">
        <v>39</v>
      </c>
      <c r="L301" s="91">
        <v>45017</v>
      </c>
      <c r="M301" s="48" t="s">
        <v>40</v>
      </c>
      <c r="N301" s="43" t="s">
        <v>627</v>
      </c>
      <c r="O301" s="46"/>
      <c r="P301" s="43"/>
      <c r="Q301" s="71" t="s">
        <v>578</v>
      </c>
    </row>
    <row r="302" spans="1:17">
      <c r="A302" s="43" t="s">
        <v>615</v>
      </c>
      <c r="B302" s="43" t="s">
        <v>480</v>
      </c>
      <c r="C302" s="43" t="s">
        <v>568</v>
      </c>
      <c r="D302" s="43">
        <v>1.29</v>
      </c>
      <c r="E302" s="43">
        <f>1000-1000</f>
        <v>0</v>
      </c>
      <c r="F302" s="43">
        <f>1-1</f>
        <v>0</v>
      </c>
      <c r="G302" s="43">
        <f>テーブル1[[#This Row],[長さ(m)]]</f>
        <v>0</v>
      </c>
      <c r="H302" s="43">
        <f t="shared" si="69"/>
        <v>0</v>
      </c>
      <c r="I302" s="47">
        <v>179</v>
      </c>
      <c r="J302" s="47">
        <f t="shared" si="70"/>
        <v>0</v>
      </c>
      <c r="K302" s="43" t="s">
        <v>39</v>
      </c>
      <c r="L302" s="91">
        <v>45017</v>
      </c>
      <c r="M302" s="48" t="s">
        <v>40</v>
      </c>
      <c r="N302" s="43" t="s">
        <v>628</v>
      </c>
      <c r="O302" s="46"/>
      <c r="P302" s="43"/>
      <c r="Q302" s="71" t="s">
        <v>578</v>
      </c>
    </row>
    <row r="303" spans="1:17">
      <c r="A303" s="43" t="s">
        <v>615</v>
      </c>
      <c r="B303" s="43" t="s">
        <v>480</v>
      </c>
      <c r="C303" s="43" t="s">
        <v>569</v>
      </c>
      <c r="D303" s="43">
        <v>1.29</v>
      </c>
      <c r="E303" s="43">
        <f>1000-1000</f>
        <v>0</v>
      </c>
      <c r="F303" s="43">
        <f>1-1</f>
        <v>0</v>
      </c>
      <c r="G303" s="43">
        <f>テーブル1[[#This Row],[長さ(m)]]</f>
        <v>0</v>
      </c>
      <c r="H303" s="43">
        <f t="shared" si="69"/>
        <v>0</v>
      </c>
      <c r="I303" s="47">
        <v>179</v>
      </c>
      <c r="J303" s="47">
        <f t="shared" si="70"/>
        <v>0</v>
      </c>
      <c r="K303" s="43" t="s">
        <v>39</v>
      </c>
      <c r="L303" s="91">
        <v>45017</v>
      </c>
      <c r="M303" s="48" t="s">
        <v>40</v>
      </c>
      <c r="N303" s="43" t="s">
        <v>629</v>
      </c>
      <c r="O303" s="46"/>
      <c r="P303" s="43"/>
      <c r="Q303" s="71" t="s">
        <v>578</v>
      </c>
    </row>
    <row r="304" spans="1:17">
      <c r="A304" s="43" t="s">
        <v>615</v>
      </c>
      <c r="B304" s="43" t="s">
        <v>480</v>
      </c>
      <c r="C304" s="43" t="s">
        <v>570</v>
      </c>
      <c r="D304" s="43">
        <v>1.29</v>
      </c>
      <c r="E304" s="43">
        <f t="shared" ref="E304:E306" si="71">1000-1000</f>
        <v>0</v>
      </c>
      <c r="F304" s="43">
        <f t="shared" ref="F304:F307" si="72">1-1</f>
        <v>0</v>
      </c>
      <c r="G304" s="43">
        <f>テーブル1[[#This Row],[長さ(m)]]</f>
        <v>0</v>
      </c>
      <c r="H304" s="43">
        <f t="shared" si="69"/>
        <v>0</v>
      </c>
      <c r="I304" s="47">
        <v>179</v>
      </c>
      <c r="J304" s="47">
        <f t="shared" si="70"/>
        <v>0</v>
      </c>
      <c r="K304" s="43" t="s">
        <v>39</v>
      </c>
      <c r="L304" s="91">
        <v>45017</v>
      </c>
      <c r="M304" s="48" t="s">
        <v>40</v>
      </c>
      <c r="N304" s="43" t="s">
        <v>630</v>
      </c>
      <c r="O304" s="46"/>
      <c r="P304" s="43"/>
      <c r="Q304" s="71" t="s">
        <v>578</v>
      </c>
    </row>
    <row r="305" spans="1:17">
      <c r="A305" s="43" t="s">
        <v>615</v>
      </c>
      <c r="B305" s="43" t="s">
        <v>480</v>
      </c>
      <c r="C305" s="43" t="s">
        <v>571</v>
      </c>
      <c r="D305" s="43">
        <v>1.29</v>
      </c>
      <c r="E305" s="43">
        <f t="shared" si="71"/>
        <v>0</v>
      </c>
      <c r="F305" s="43">
        <f t="shared" si="72"/>
        <v>0</v>
      </c>
      <c r="G305" s="43">
        <f>テーブル1[[#This Row],[長さ(m)]]</f>
        <v>0</v>
      </c>
      <c r="H305" s="43">
        <f t="shared" si="69"/>
        <v>0</v>
      </c>
      <c r="I305" s="47">
        <v>179</v>
      </c>
      <c r="J305" s="47">
        <f t="shared" si="70"/>
        <v>0</v>
      </c>
      <c r="K305" s="43" t="s">
        <v>39</v>
      </c>
      <c r="L305" s="91">
        <v>45017</v>
      </c>
      <c r="M305" s="48" t="s">
        <v>40</v>
      </c>
      <c r="N305" s="43" t="s">
        <v>631</v>
      </c>
      <c r="O305" s="46"/>
      <c r="P305" s="43"/>
      <c r="Q305" s="71" t="s">
        <v>579</v>
      </c>
    </row>
    <row r="306" spans="1:17">
      <c r="A306" s="43" t="s">
        <v>615</v>
      </c>
      <c r="B306" s="43" t="s">
        <v>480</v>
      </c>
      <c r="C306" s="43" t="s">
        <v>572</v>
      </c>
      <c r="D306" s="43">
        <v>1.29</v>
      </c>
      <c r="E306" s="43">
        <f t="shared" si="71"/>
        <v>0</v>
      </c>
      <c r="F306" s="43">
        <f t="shared" si="72"/>
        <v>0</v>
      </c>
      <c r="G306" s="43">
        <f>テーブル1[[#This Row],[長さ(m)]]</f>
        <v>0</v>
      </c>
      <c r="H306" s="43">
        <f t="shared" si="69"/>
        <v>0</v>
      </c>
      <c r="I306" s="47">
        <v>179</v>
      </c>
      <c r="J306" s="47">
        <f t="shared" si="70"/>
        <v>0</v>
      </c>
      <c r="K306" s="43" t="s">
        <v>39</v>
      </c>
      <c r="L306" s="91">
        <v>45017</v>
      </c>
      <c r="M306" s="48" t="s">
        <v>40</v>
      </c>
      <c r="N306" s="43" t="s">
        <v>632</v>
      </c>
      <c r="O306" s="46"/>
      <c r="P306" s="43"/>
      <c r="Q306" s="71" t="s">
        <v>579</v>
      </c>
    </row>
    <row r="307" spans="1:17">
      <c r="A307" s="43" t="s">
        <v>615</v>
      </c>
      <c r="B307" s="43" t="s">
        <v>480</v>
      </c>
      <c r="C307" s="43" t="s">
        <v>573</v>
      </c>
      <c r="D307" s="43">
        <v>1.29</v>
      </c>
      <c r="E307" s="43">
        <f>1000-1000+840-840</f>
        <v>0</v>
      </c>
      <c r="F307" s="43">
        <f t="shared" si="72"/>
        <v>0</v>
      </c>
      <c r="G307" s="43">
        <f>テーブル1[[#This Row],[長さ(m)]]</f>
        <v>0</v>
      </c>
      <c r="H307" s="43">
        <f t="shared" si="69"/>
        <v>0</v>
      </c>
      <c r="I307" s="47">
        <v>179</v>
      </c>
      <c r="J307" s="47">
        <f t="shared" si="70"/>
        <v>0</v>
      </c>
      <c r="K307" s="43" t="s">
        <v>39</v>
      </c>
      <c r="L307" s="91">
        <v>45017</v>
      </c>
      <c r="M307" s="48" t="s">
        <v>40</v>
      </c>
      <c r="N307" s="43" t="s">
        <v>633</v>
      </c>
      <c r="O307" s="46"/>
      <c r="P307" s="43"/>
      <c r="Q307" s="71" t="s">
        <v>579</v>
      </c>
    </row>
    <row r="308" spans="1:17">
      <c r="A308" s="43" t="s">
        <v>615</v>
      </c>
      <c r="B308" s="43" t="s">
        <v>480</v>
      </c>
      <c r="C308" s="43" t="s">
        <v>574</v>
      </c>
      <c r="D308" s="43">
        <v>1.29</v>
      </c>
      <c r="E308" s="43">
        <f>1000-1000</f>
        <v>0</v>
      </c>
      <c r="F308" s="43">
        <f>1-1</f>
        <v>0</v>
      </c>
      <c r="G308" s="43">
        <f>テーブル1[[#This Row],[長さ(m)]]</f>
        <v>0</v>
      </c>
      <c r="H308" s="43">
        <f t="shared" si="69"/>
        <v>0</v>
      </c>
      <c r="I308" s="47">
        <v>179</v>
      </c>
      <c r="J308" s="47">
        <f t="shared" si="70"/>
        <v>0</v>
      </c>
      <c r="K308" s="43" t="s">
        <v>39</v>
      </c>
      <c r="L308" s="91">
        <v>45017</v>
      </c>
      <c r="M308" s="48" t="s">
        <v>40</v>
      </c>
      <c r="N308" s="43" t="s">
        <v>634</v>
      </c>
      <c r="O308" s="46"/>
      <c r="P308" s="43"/>
      <c r="Q308" s="71" t="s">
        <v>579</v>
      </c>
    </row>
    <row r="309" spans="1:17">
      <c r="A309" s="43" t="s">
        <v>615</v>
      </c>
      <c r="B309" s="43" t="s">
        <v>480</v>
      </c>
      <c r="C309" s="75" t="s">
        <v>575</v>
      </c>
      <c r="D309" s="43">
        <v>1.29</v>
      </c>
      <c r="E309" s="75">
        <v>1000</v>
      </c>
      <c r="F309" s="75">
        <v>1</v>
      </c>
      <c r="G309" s="43">
        <f>テーブル1[[#This Row],[長さ(m)]]</f>
        <v>1000</v>
      </c>
      <c r="H309" s="75">
        <f t="shared" si="69"/>
        <v>1290</v>
      </c>
      <c r="I309" s="76">
        <v>179</v>
      </c>
      <c r="J309" s="76">
        <f t="shared" si="70"/>
        <v>230910</v>
      </c>
      <c r="K309" s="75" t="s">
        <v>39</v>
      </c>
      <c r="L309" s="91">
        <v>45017</v>
      </c>
      <c r="M309" s="48" t="s">
        <v>40</v>
      </c>
      <c r="N309" s="43" t="s">
        <v>635</v>
      </c>
      <c r="O309" s="57"/>
      <c r="P309" s="75"/>
      <c r="Q309" s="77" t="s">
        <v>579</v>
      </c>
    </row>
    <row r="310" spans="1:17">
      <c r="A310" s="43" t="s">
        <v>230</v>
      </c>
      <c r="B310" s="43" t="s">
        <v>35</v>
      </c>
      <c r="C310" s="43" t="s">
        <v>263</v>
      </c>
      <c r="D310" s="43">
        <v>1.0329999999999999</v>
      </c>
      <c r="E310" s="43">
        <f>5-0.3</f>
        <v>4.7</v>
      </c>
      <c r="F310" s="43">
        <v>1</v>
      </c>
      <c r="G310" s="43">
        <f>テーブル1[[#This Row],[長さ(m)]]</f>
        <v>4.7</v>
      </c>
      <c r="H310" s="75">
        <f t="shared" ref="H310" si="73">D310*G310</f>
        <v>4.8551000000000002</v>
      </c>
      <c r="I310" s="47">
        <v>2027.9655087612023</v>
      </c>
      <c r="J310" s="76">
        <f t="shared" si="70"/>
        <v>9845.9753415865143</v>
      </c>
      <c r="K310" s="43" t="s">
        <v>528</v>
      </c>
      <c r="L310" s="48">
        <v>44774</v>
      </c>
      <c r="M310" s="48"/>
      <c r="N310" s="43" t="s">
        <v>580</v>
      </c>
      <c r="O310" s="46" t="s">
        <v>429</v>
      </c>
      <c r="P310" s="43" t="s">
        <v>810</v>
      </c>
      <c r="Q310" s="71"/>
    </row>
    <row r="311" spans="1:17">
      <c r="A311" s="49" t="s">
        <v>598</v>
      </c>
      <c r="B311" s="49" t="s">
        <v>38</v>
      </c>
      <c r="C311" s="49" t="s">
        <v>582</v>
      </c>
      <c r="D311" s="49">
        <v>1.29</v>
      </c>
      <c r="E311" s="49">
        <v>1005</v>
      </c>
      <c r="F311" s="49">
        <v>1</v>
      </c>
      <c r="G311" s="49">
        <f>テーブル1[[#This Row],[長さ(m)]]</f>
        <v>1005</v>
      </c>
      <c r="H311" s="49">
        <f t="shared" ref="H311:H320" si="74">D311*G311</f>
        <v>1296.45</v>
      </c>
      <c r="I311" s="53">
        <v>660.99092840881406</v>
      </c>
      <c r="J311" s="53">
        <f t="shared" ref="J311:J320" si="75">H311*I311</f>
        <v>856941.68913560698</v>
      </c>
      <c r="K311" s="80" t="s">
        <v>39</v>
      </c>
      <c r="L311" s="55">
        <v>45047</v>
      </c>
      <c r="M311" s="55"/>
      <c r="N311" s="49" t="s">
        <v>510</v>
      </c>
      <c r="O311" s="52"/>
      <c r="P311" s="49"/>
      <c r="Q311" s="101" t="s">
        <v>591</v>
      </c>
    </row>
    <row r="312" spans="1:17">
      <c r="A312" s="49" t="s">
        <v>598</v>
      </c>
      <c r="B312" s="49" t="s">
        <v>38</v>
      </c>
      <c r="C312" s="49" t="s">
        <v>583</v>
      </c>
      <c r="D312" s="49">
        <v>1.29</v>
      </c>
      <c r="E312" s="49">
        <v>1004</v>
      </c>
      <c r="F312" s="49">
        <v>1</v>
      </c>
      <c r="G312" s="49">
        <f>テーブル1[[#This Row],[長さ(m)]]</f>
        <v>1004</v>
      </c>
      <c r="H312" s="49">
        <f t="shared" si="74"/>
        <v>1295.1600000000001</v>
      </c>
      <c r="I312" s="53">
        <v>660.99092840881383</v>
      </c>
      <c r="J312" s="53">
        <f t="shared" si="75"/>
        <v>856089.01083795936</v>
      </c>
      <c r="K312" s="80" t="s">
        <v>39</v>
      </c>
      <c r="L312" s="55">
        <v>45047</v>
      </c>
      <c r="M312" s="55"/>
      <c r="N312" s="49" t="s">
        <v>510</v>
      </c>
      <c r="O312" s="52"/>
      <c r="P312" s="49"/>
      <c r="Q312" s="101" t="s">
        <v>591</v>
      </c>
    </row>
    <row r="313" spans="1:17">
      <c r="A313" s="49" t="s">
        <v>598</v>
      </c>
      <c r="B313" s="49" t="s">
        <v>38</v>
      </c>
      <c r="C313" s="49" t="s">
        <v>584</v>
      </c>
      <c r="D313" s="49">
        <v>1.29</v>
      </c>
      <c r="E313" s="49">
        <v>500</v>
      </c>
      <c r="F313" s="49">
        <v>1</v>
      </c>
      <c r="G313" s="49">
        <f>テーブル1[[#This Row],[長さ(m)]]</f>
        <v>500</v>
      </c>
      <c r="H313" s="49">
        <f t="shared" si="74"/>
        <v>645</v>
      </c>
      <c r="I313" s="53">
        <v>660.99092840881383</v>
      </c>
      <c r="J313" s="53">
        <f t="shared" si="75"/>
        <v>426339.1488236849</v>
      </c>
      <c r="K313" s="80" t="s">
        <v>39</v>
      </c>
      <c r="L313" s="55">
        <v>45047</v>
      </c>
      <c r="M313" s="55"/>
      <c r="N313" s="49" t="s">
        <v>510</v>
      </c>
      <c r="O313" s="52"/>
      <c r="P313" s="49"/>
      <c r="Q313" s="101" t="s">
        <v>592</v>
      </c>
    </row>
    <row r="314" spans="1:17">
      <c r="A314" s="87" t="s">
        <v>34</v>
      </c>
      <c r="B314" s="87" t="s">
        <v>35</v>
      </c>
      <c r="C314" s="87" t="s">
        <v>585</v>
      </c>
      <c r="D314" s="87">
        <v>1.29</v>
      </c>
      <c r="E314" s="87">
        <f>1023-1023+500</f>
        <v>500</v>
      </c>
      <c r="F314" s="87">
        <f>1</f>
        <v>1</v>
      </c>
      <c r="G314" s="87">
        <f>テーブル1[[#This Row],[長さ(m)]]</f>
        <v>500</v>
      </c>
      <c r="H314" s="87">
        <f t="shared" si="74"/>
        <v>645</v>
      </c>
      <c r="I314" s="90">
        <v>660.99092840881383</v>
      </c>
      <c r="J314" s="90">
        <f t="shared" si="75"/>
        <v>426339.1488236849</v>
      </c>
      <c r="K314" s="89" t="s">
        <v>39</v>
      </c>
      <c r="L314" s="91">
        <v>45047</v>
      </c>
      <c r="M314" s="91"/>
      <c r="N314" s="87" t="s">
        <v>510</v>
      </c>
      <c r="O314" s="92"/>
      <c r="P314" s="87"/>
      <c r="Q314" s="95" t="s">
        <v>592</v>
      </c>
    </row>
    <row r="315" spans="1:17">
      <c r="A315" s="87" t="s">
        <v>34</v>
      </c>
      <c r="B315" s="87" t="s">
        <v>35</v>
      </c>
      <c r="C315" s="87" t="s">
        <v>586</v>
      </c>
      <c r="D315" s="87">
        <v>1.29</v>
      </c>
      <c r="E315" s="87">
        <v>1021</v>
      </c>
      <c r="F315" s="87">
        <v>1</v>
      </c>
      <c r="G315" s="87">
        <f>テーブル1[[#This Row],[長さ(m)]]</f>
        <v>1021</v>
      </c>
      <c r="H315" s="87">
        <f t="shared" si="74"/>
        <v>1317.0900000000001</v>
      </c>
      <c r="I315" s="90">
        <v>660.99092840881383</v>
      </c>
      <c r="J315" s="90">
        <f t="shared" si="75"/>
        <v>870584.54189796466</v>
      </c>
      <c r="K315" s="89" t="s">
        <v>39</v>
      </c>
      <c r="L315" s="91">
        <v>45047</v>
      </c>
      <c r="M315" s="91"/>
      <c r="N315" s="87" t="s">
        <v>510</v>
      </c>
      <c r="O315" s="92"/>
      <c r="P315" s="87"/>
      <c r="Q315" s="95" t="s">
        <v>593</v>
      </c>
    </row>
    <row r="316" spans="1:17">
      <c r="A316" s="87" t="s">
        <v>34</v>
      </c>
      <c r="B316" s="87" t="s">
        <v>35</v>
      </c>
      <c r="C316" s="87" t="s">
        <v>587</v>
      </c>
      <c r="D316" s="87">
        <v>1.29</v>
      </c>
      <c r="E316" s="87">
        <v>1005</v>
      </c>
      <c r="F316" s="87">
        <v>1</v>
      </c>
      <c r="G316" s="87">
        <f>テーブル1[[#This Row],[長さ(m)]]</f>
        <v>1005</v>
      </c>
      <c r="H316" s="87">
        <f t="shared" si="74"/>
        <v>1296.45</v>
      </c>
      <c r="I316" s="90">
        <v>660.99092840881383</v>
      </c>
      <c r="J316" s="90">
        <f t="shared" si="75"/>
        <v>856941.68913560675</v>
      </c>
      <c r="K316" s="89" t="s">
        <v>39</v>
      </c>
      <c r="L316" s="91">
        <v>45047</v>
      </c>
      <c r="M316" s="91"/>
      <c r="N316" s="87" t="s">
        <v>510</v>
      </c>
      <c r="O316" s="92"/>
      <c r="P316" s="87"/>
      <c r="Q316" s="95" t="s">
        <v>593</v>
      </c>
    </row>
    <row r="317" spans="1:17">
      <c r="A317" s="43" t="s">
        <v>596</v>
      </c>
      <c r="B317" s="43"/>
      <c r="C317" s="43" t="s">
        <v>588</v>
      </c>
      <c r="D317" s="43">
        <v>1.29</v>
      </c>
      <c r="E317" s="43">
        <v>200</v>
      </c>
      <c r="F317" s="43">
        <v>1</v>
      </c>
      <c r="G317" s="43">
        <f>テーブル1[[#This Row],[長さ(m)]]</f>
        <v>200</v>
      </c>
      <c r="H317" s="43">
        <f>D317*G317</f>
        <v>258</v>
      </c>
      <c r="I317" s="47">
        <v>1022.0215190728154</v>
      </c>
      <c r="J317" s="47">
        <f t="shared" si="75"/>
        <v>263681.55192078638</v>
      </c>
      <c r="K317" s="75" t="s">
        <v>39</v>
      </c>
      <c r="L317" s="48">
        <v>45047</v>
      </c>
      <c r="M317" s="48"/>
      <c r="N317" s="43"/>
      <c r="O317" s="46"/>
      <c r="P317" s="43"/>
      <c r="Q317" s="71" t="s">
        <v>594</v>
      </c>
    </row>
    <row r="318" spans="1:17">
      <c r="A318" s="121" t="s">
        <v>596</v>
      </c>
      <c r="B318" s="121"/>
      <c r="C318" s="121" t="s">
        <v>589</v>
      </c>
      <c r="D318" s="121">
        <v>1.29</v>
      </c>
      <c r="E318" s="121">
        <f>385-385</f>
        <v>0</v>
      </c>
      <c r="F318" s="121">
        <f>1-1</f>
        <v>0</v>
      </c>
      <c r="G318" s="121">
        <f>テーブル1[[#This Row],[長さ(m)]]</f>
        <v>0</v>
      </c>
      <c r="H318" s="121">
        <f>D318*G318</f>
        <v>0</v>
      </c>
      <c r="I318" s="123">
        <v>1022.0215190728153</v>
      </c>
      <c r="J318" s="123">
        <f t="shared" si="75"/>
        <v>0</v>
      </c>
      <c r="K318" s="122" t="s">
        <v>39</v>
      </c>
      <c r="L318" s="124">
        <v>45047</v>
      </c>
      <c r="M318" s="124"/>
      <c r="N318" s="121"/>
      <c r="O318" s="125"/>
      <c r="P318" s="121"/>
      <c r="Q318" s="126" t="s">
        <v>594</v>
      </c>
    </row>
    <row r="319" spans="1:17">
      <c r="A319" s="75" t="s">
        <v>597</v>
      </c>
      <c r="B319" s="75"/>
      <c r="C319" s="75" t="s">
        <v>590</v>
      </c>
      <c r="D319" s="75">
        <v>1.28</v>
      </c>
      <c r="E319" s="75">
        <v>55</v>
      </c>
      <c r="F319" s="43">
        <v>1</v>
      </c>
      <c r="G319" s="43">
        <f>テーブル1[[#This Row],[長さ(m)]]</f>
        <v>55</v>
      </c>
      <c r="H319" s="75">
        <f t="shared" si="74"/>
        <v>70.400000000000006</v>
      </c>
      <c r="I319" s="76">
        <v>302.32015154128953</v>
      </c>
      <c r="J319" s="76">
        <f t="shared" si="75"/>
        <v>21283.338668506785</v>
      </c>
      <c r="K319" s="75" t="s">
        <v>39</v>
      </c>
      <c r="L319" s="48">
        <v>45047</v>
      </c>
      <c r="M319" s="79"/>
      <c r="N319" s="75"/>
      <c r="O319" s="57"/>
      <c r="P319" s="75"/>
      <c r="Q319" s="77" t="s">
        <v>595</v>
      </c>
    </row>
    <row r="320" spans="1:17">
      <c r="A320" s="49" t="s">
        <v>8</v>
      </c>
      <c r="B320" s="49" t="s">
        <v>38</v>
      </c>
      <c r="C320" s="49" t="s">
        <v>649</v>
      </c>
      <c r="D320" s="49">
        <v>1.25</v>
      </c>
      <c r="E320" s="49">
        <f>25-5-4-10.6-4.8-0.6</f>
        <v>0</v>
      </c>
      <c r="F320" s="49">
        <f>1-1</f>
        <v>0</v>
      </c>
      <c r="G320" s="49">
        <f>テーブル1[[#This Row],[長さ(m)]]*テーブル1[[#This Row],[在庫(本)]]</f>
        <v>0</v>
      </c>
      <c r="H320" s="49">
        <f t="shared" si="74"/>
        <v>0</v>
      </c>
      <c r="I320" s="53">
        <v>1099.5225721795628</v>
      </c>
      <c r="J320" s="53">
        <f t="shared" si="75"/>
        <v>0</v>
      </c>
      <c r="K320" s="49" t="s">
        <v>528</v>
      </c>
      <c r="L320" s="55">
        <v>44652</v>
      </c>
      <c r="M320" s="55"/>
      <c r="N320" s="43" t="s">
        <v>199</v>
      </c>
      <c r="O320" s="46" t="s">
        <v>159</v>
      </c>
      <c r="P320" s="43"/>
      <c r="Q320" s="43"/>
    </row>
    <row r="321" spans="1:17">
      <c r="A321" s="49" t="s">
        <v>21</v>
      </c>
      <c r="B321" s="50" t="s">
        <v>13</v>
      </c>
      <c r="C321" s="49" t="s">
        <v>274</v>
      </c>
      <c r="D321" s="49">
        <v>1.042</v>
      </c>
      <c r="E321" s="49">
        <f>5-0.6</f>
        <v>4.4000000000000004</v>
      </c>
      <c r="F321" s="49">
        <v>1</v>
      </c>
      <c r="G321" s="49">
        <f>テーブル1[[#This Row],[長さ(m)]]</f>
        <v>4.4000000000000004</v>
      </c>
      <c r="H321" s="49">
        <f t="shared" ref="H321" si="76">D321*G321</f>
        <v>4.5848000000000004</v>
      </c>
      <c r="I321" s="53">
        <v>3456.3979167913685</v>
      </c>
      <c r="J321" s="53">
        <f t="shared" ref="J321" si="77">H321*I321</f>
        <v>15846.893168905068</v>
      </c>
      <c r="K321" s="49" t="s">
        <v>528</v>
      </c>
      <c r="L321" s="55">
        <v>44805</v>
      </c>
      <c r="M321" s="55"/>
      <c r="N321" s="43" t="s">
        <v>434</v>
      </c>
      <c r="O321" s="46" t="s">
        <v>431</v>
      </c>
      <c r="P321" s="43"/>
      <c r="Q321" s="43"/>
    </row>
    <row r="322" spans="1:17">
      <c r="A322" s="43" t="s">
        <v>682</v>
      </c>
      <c r="B322" s="75" t="s">
        <v>35</v>
      </c>
      <c r="C322" s="75" t="s">
        <v>762</v>
      </c>
      <c r="D322" s="75">
        <v>1.02</v>
      </c>
      <c r="E322" s="75">
        <v>10</v>
      </c>
      <c r="F322" s="75">
        <v>1</v>
      </c>
      <c r="G322" s="75">
        <f>テーブル1[[#This Row],[長さ(m)]]</f>
        <v>10</v>
      </c>
      <c r="H322" s="75">
        <f>D322*G322</f>
        <v>10.199999999999999</v>
      </c>
      <c r="I322" s="76">
        <v>2958.228374931648</v>
      </c>
      <c r="J322" s="76">
        <f>H322*I322</f>
        <v>30173.929424302809</v>
      </c>
      <c r="K322" s="75" t="s">
        <v>528</v>
      </c>
      <c r="L322" s="57"/>
      <c r="M322" s="57"/>
      <c r="N322" s="75"/>
      <c r="O322" s="57"/>
      <c r="P322" s="75" t="s">
        <v>700</v>
      </c>
      <c r="Q322" s="77"/>
    </row>
    <row r="323" spans="1:17">
      <c r="A323" s="43" t="s">
        <v>682</v>
      </c>
      <c r="B323" s="43" t="s">
        <v>35</v>
      </c>
      <c r="C323" s="75" t="s">
        <v>763</v>
      </c>
      <c r="D323" s="43">
        <v>1.02</v>
      </c>
      <c r="E323" s="43">
        <f>10-10</f>
        <v>0</v>
      </c>
      <c r="F323" s="43">
        <f>1-1</f>
        <v>0</v>
      </c>
      <c r="G323" s="43">
        <f>10-10</f>
        <v>0</v>
      </c>
      <c r="H323" s="43">
        <f t="shared" ref="H323:H376" si="78">D323*G323</f>
        <v>0</v>
      </c>
      <c r="I323" s="47">
        <v>2958.228374931648</v>
      </c>
      <c r="J323" s="47">
        <f t="shared" ref="J323:J376" si="79">H323*I323</f>
        <v>0</v>
      </c>
      <c r="K323" s="43"/>
      <c r="L323" s="46"/>
      <c r="M323" s="46"/>
      <c r="N323" s="43"/>
      <c r="O323" s="46"/>
      <c r="P323" s="43" t="s">
        <v>701</v>
      </c>
      <c r="Q323" s="71"/>
    </row>
    <row r="324" spans="1:17">
      <c r="A324" s="43" t="s">
        <v>682</v>
      </c>
      <c r="B324" s="43" t="s">
        <v>35</v>
      </c>
      <c r="C324" s="75" t="s">
        <v>764</v>
      </c>
      <c r="D324" s="43">
        <v>1.02</v>
      </c>
      <c r="E324" s="43">
        <f t="shared" ref="E324:E325" si="80">10-10</f>
        <v>0</v>
      </c>
      <c r="F324" s="43">
        <f t="shared" ref="F324:F325" si="81">1-1</f>
        <v>0</v>
      </c>
      <c r="G324" s="75">
        <f>テーブル1[[#This Row],[長さ(m)]]</f>
        <v>0</v>
      </c>
      <c r="H324" s="43">
        <f t="shared" si="78"/>
        <v>0</v>
      </c>
      <c r="I324" s="47">
        <v>2958.228374931648</v>
      </c>
      <c r="J324" s="47">
        <f t="shared" si="79"/>
        <v>0</v>
      </c>
      <c r="K324" s="43"/>
      <c r="L324" s="46"/>
      <c r="M324" s="46"/>
      <c r="N324" s="43"/>
      <c r="O324" s="46"/>
      <c r="P324" s="43" t="s">
        <v>702</v>
      </c>
      <c r="Q324" s="71"/>
    </row>
    <row r="325" spans="1:17">
      <c r="A325" s="43" t="s">
        <v>682</v>
      </c>
      <c r="B325" s="43" t="s">
        <v>35</v>
      </c>
      <c r="C325" s="75" t="s">
        <v>765</v>
      </c>
      <c r="D325" s="43">
        <v>1.02</v>
      </c>
      <c r="E325" s="43">
        <f t="shared" si="80"/>
        <v>0</v>
      </c>
      <c r="F325" s="43">
        <f t="shared" si="81"/>
        <v>0</v>
      </c>
      <c r="G325" s="75">
        <f>テーブル1[[#This Row],[長さ(m)]]</f>
        <v>0</v>
      </c>
      <c r="H325" s="43">
        <f t="shared" si="78"/>
        <v>0</v>
      </c>
      <c r="I325" s="47">
        <v>2958.228374931648</v>
      </c>
      <c r="J325" s="47">
        <f t="shared" si="79"/>
        <v>0</v>
      </c>
      <c r="K325" s="43"/>
      <c r="L325" s="46"/>
      <c r="M325" s="46"/>
      <c r="N325" s="43"/>
      <c r="O325" s="46"/>
      <c r="P325" s="43" t="s">
        <v>703</v>
      </c>
      <c r="Q325" s="71"/>
    </row>
    <row r="326" spans="1:17">
      <c r="A326" s="43" t="s">
        <v>682</v>
      </c>
      <c r="B326" s="43" t="s">
        <v>35</v>
      </c>
      <c r="C326" s="75" t="s">
        <v>766</v>
      </c>
      <c r="D326" s="43">
        <v>1.02</v>
      </c>
      <c r="E326" s="43">
        <f>10-10</f>
        <v>0</v>
      </c>
      <c r="F326" s="43">
        <f>1-1</f>
        <v>0</v>
      </c>
      <c r="G326" s="75">
        <f>テーブル1[[#This Row],[長さ(m)]]</f>
        <v>0</v>
      </c>
      <c r="H326" s="43">
        <f t="shared" si="78"/>
        <v>0</v>
      </c>
      <c r="I326" s="47">
        <v>2958.228374931648</v>
      </c>
      <c r="J326" s="47">
        <f t="shared" si="79"/>
        <v>0</v>
      </c>
      <c r="K326" s="43" t="s">
        <v>39</v>
      </c>
      <c r="L326" s="46"/>
      <c r="M326" s="46"/>
      <c r="N326" s="43"/>
      <c r="O326" s="46"/>
      <c r="P326" s="43" t="s">
        <v>704</v>
      </c>
      <c r="Q326" s="71" t="s">
        <v>600</v>
      </c>
    </row>
    <row r="327" spans="1:17">
      <c r="A327" s="43" t="s">
        <v>682</v>
      </c>
      <c r="B327" s="43" t="s">
        <v>35</v>
      </c>
      <c r="C327" s="75" t="s">
        <v>767</v>
      </c>
      <c r="D327" s="43">
        <v>1.02</v>
      </c>
      <c r="E327" s="43">
        <f t="shared" ref="E327:E331" si="82">10-10</f>
        <v>0</v>
      </c>
      <c r="F327" s="43">
        <f t="shared" ref="F327:F331" si="83">1-1</f>
        <v>0</v>
      </c>
      <c r="G327" s="75">
        <f>テーブル1[[#This Row],[長さ(m)]]</f>
        <v>0</v>
      </c>
      <c r="H327" s="43">
        <f t="shared" si="78"/>
        <v>0</v>
      </c>
      <c r="I327" s="47">
        <v>2958.228374931648</v>
      </c>
      <c r="J327" s="47">
        <f t="shared" si="79"/>
        <v>0</v>
      </c>
      <c r="K327" s="43" t="s">
        <v>528</v>
      </c>
      <c r="L327" s="46"/>
      <c r="M327" s="46"/>
      <c r="N327" s="43"/>
      <c r="O327" s="46"/>
      <c r="P327" s="43" t="s">
        <v>705</v>
      </c>
      <c r="Q327" s="71" t="s">
        <v>599</v>
      </c>
    </row>
    <row r="328" spans="1:17">
      <c r="A328" s="43" t="s">
        <v>682</v>
      </c>
      <c r="B328" s="43" t="s">
        <v>35</v>
      </c>
      <c r="C328" s="75" t="s">
        <v>768</v>
      </c>
      <c r="D328" s="43">
        <v>1.02</v>
      </c>
      <c r="E328" s="43">
        <f>5.4-1.8-1</f>
        <v>2.6000000000000005</v>
      </c>
      <c r="F328" s="43">
        <v>1</v>
      </c>
      <c r="G328" s="75">
        <f>テーブル1[[#This Row],[長さ(m)]]</f>
        <v>2.6000000000000005</v>
      </c>
      <c r="H328" s="43">
        <f t="shared" si="78"/>
        <v>2.6520000000000006</v>
      </c>
      <c r="I328" s="47">
        <v>2958.228374931648</v>
      </c>
      <c r="J328" s="47">
        <f t="shared" si="79"/>
        <v>7845.2216503187319</v>
      </c>
      <c r="K328" s="43" t="s">
        <v>528</v>
      </c>
      <c r="L328" s="46"/>
      <c r="M328" s="46"/>
      <c r="N328" s="43" t="s">
        <v>812</v>
      </c>
      <c r="O328" s="46"/>
      <c r="P328" s="43" t="s">
        <v>706</v>
      </c>
      <c r="Q328" s="71" t="s">
        <v>599</v>
      </c>
    </row>
    <row r="329" spans="1:17">
      <c r="A329" s="43" t="s">
        <v>682</v>
      </c>
      <c r="B329" s="43" t="s">
        <v>35</v>
      </c>
      <c r="C329" s="75" t="s">
        <v>769</v>
      </c>
      <c r="D329" s="43">
        <v>1.02</v>
      </c>
      <c r="E329" s="43">
        <f t="shared" si="82"/>
        <v>0</v>
      </c>
      <c r="F329" s="43">
        <f t="shared" si="83"/>
        <v>0</v>
      </c>
      <c r="G329" s="75">
        <f>テーブル1[[#This Row],[長さ(m)]]</f>
        <v>0</v>
      </c>
      <c r="H329" s="43">
        <f t="shared" si="78"/>
        <v>0</v>
      </c>
      <c r="I329" s="47">
        <v>2958.228374931648</v>
      </c>
      <c r="J329" s="47">
        <f t="shared" si="79"/>
        <v>0</v>
      </c>
      <c r="K329" s="43" t="s">
        <v>528</v>
      </c>
      <c r="L329" s="46"/>
      <c r="M329" s="46"/>
      <c r="N329" s="43"/>
      <c r="O329" s="46"/>
      <c r="P329" s="43" t="s">
        <v>707</v>
      </c>
      <c r="Q329" s="71" t="s">
        <v>599</v>
      </c>
    </row>
    <row r="330" spans="1:17">
      <c r="A330" s="43" t="s">
        <v>682</v>
      </c>
      <c r="B330" s="43" t="s">
        <v>35</v>
      </c>
      <c r="C330" s="75" t="s">
        <v>770</v>
      </c>
      <c r="D330" s="43">
        <v>1.02</v>
      </c>
      <c r="E330" s="43">
        <f t="shared" si="82"/>
        <v>0</v>
      </c>
      <c r="F330" s="43">
        <f t="shared" si="83"/>
        <v>0</v>
      </c>
      <c r="G330" s="75">
        <f>テーブル1[[#This Row],[長さ(m)]]</f>
        <v>0</v>
      </c>
      <c r="H330" s="43">
        <f t="shared" si="78"/>
        <v>0</v>
      </c>
      <c r="I330" s="47">
        <v>2958.228374931648</v>
      </c>
      <c r="J330" s="47">
        <f t="shared" si="79"/>
        <v>0</v>
      </c>
      <c r="K330" s="43" t="s">
        <v>528</v>
      </c>
      <c r="L330" s="46"/>
      <c r="M330" s="46"/>
      <c r="N330" s="43"/>
      <c r="O330" s="46"/>
      <c r="P330" s="43" t="s">
        <v>708</v>
      </c>
      <c r="Q330" s="71" t="s">
        <v>599</v>
      </c>
    </row>
    <row r="331" spans="1:17">
      <c r="A331" s="43" t="s">
        <v>682</v>
      </c>
      <c r="B331" s="43" t="s">
        <v>35</v>
      </c>
      <c r="C331" s="75" t="s">
        <v>771</v>
      </c>
      <c r="D331" s="43">
        <v>1.02</v>
      </c>
      <c r="E331" s="43">
        <f t="shared" si="82"/>
        <v>0</v>
      </c>
      <c r="F331" s="43">
        <f t="shared" si="83"/>
        <v>0</v>
      </c>
      <c r="G331" s="75">
        <f>テーブル1[[#This Row],[長さ(m)]]</f>
        <v>0</v>
      </c>
      <c r="H331" s="43">
        <f t="shared" si="78"/>
        <v>0</v>
      </c>
      <c r="I331" s="47">
        <v>2958.228374931648</v>
      </c>
      <c r="J331" s="47">
        <f t="shared" si="79"/>
        <v>0</v>
      </c>
      <c r="K331" s="43" t="s">
        <v>39</v>
      </c>
      <c r="L331" s="46"/>
      <c r="M331" s="46"/>
      <c r="N331" s="43"/>
      <c r="O331" s="46"/>
      <c r="P331" s="43" t="s">
        <v>709</v>
      </c>
      <c r="Q331" s="71" t="s">
        <v>599</v>
      </c>
    </row>
    <row r="332" spans="1:17">
      <c r="A332" s="43" t="s">
        <v>682</v>
      </c>
      <c r="B332" s="43" t="s">
        <v>35</v>
      </c>
      <c r="C332" s="75" t="s">
        <v>772</v>
      </c>
      <c r="D332" s="43">
        <v>1.02</v>
      </c>
      <c r="E332" s="43">
        <f>10-10</f>
        <v>0</v>
      </c>
      <c r="F332" s="43">
        <f>1-1</f>
        <v>0</v>
      </c>
      <c r="G332" s="75">
        <f>テーブル1[[#This Row],[長さ(m)]]</f>
        <v>0</v>
      </c>
      <c r="H332" s="43">
        <f t="shared" si="78"/>
        <v>0</v>
      </c>
      <c r="I332" s="47">
        <v>2958.228374931648</v>
      </c>
      <c r="J332" s="47">
        <f t="shared" si="79"/>
        <v>0</v>
      </c>
      <c r="K332" s="43" t="s">
        <v>39</v>
      </c>
      <c r="L332" s="46"/>
      <c r="M332" s="46"/>
      <c r="N332" s="43"/>
      <c r="O332" s="46"/>
      <c r="P332" s="43" t="s">
        <v>710</v>
      </c>
      <c r="Q332" s="71" t="s">
        <v>600</v>
      </c>
    </row>
    <row r="333" spans="1:17">
      <c r="A333" s="43" t="s">
        <v>682</v>
      </c>
      <c r="B333" s="43" t="s">
        <v>35</v>
      </c>
      <c r="C333" s="75" t="s">
        <v>773</v>
      </c>
      <c r="D333" s="43">
        <v>1.02</v>
      </c>
      <c r="E333" s="43">
        <f>10-10</f>
        <v>0</v>
      </c>
      <c r="F333" s="43">
        <f>1-1</f>
        <v>0</v>
      </c>
      <c r="G333" s="75">
        <f>テーブル1[[#This Row],[長さ(m)]]</f>
        <v>0</v>
      </c>
      <c r="H333" s="43">
        <f t="shared" si="78"/>
        <v>0</v>
      </c>
      <c r="I333" s="47">
        <v>2958.228374931648</v>
      </c>
      <c r="J333" s="47">
        <f t="shared" si="79"/>
        <v>0</v>
      </c>
      <c r="K333" s="43" t="s">
        <v>39</v>
      </c>
      <c r="L333" s="46"/>
      <c r="M333" s="46"/>
      <c r="N333" s="43"/>
      <c r="O333" s="46"/>
      <c r="P333" s="43" t="s">
        <v>711</v>
      </c>
      <c r="Q333" s="71" t="s">
        <v>599</v>
      </c>
    </row>
    <row r="334" spans="1:17">
      <c r="A334" s="43" t="s">
        <v>682</v>
      </c>
      <c r="B334" s="43" t="s">
        <v>35</v>
      </c>
      <c r="C334" s="75" t="s">
        <v>774</v>
      </c>
      <c r="D334" s="43">
        <v>1.02</v>
      </c>
      <c r="E334" s="43">
        <f t="shared" ref="E334:E336" si="84">10-10</f>
        <v>0</v>
      </c>
      <c r="F334" s="43">
        <f t="shared" ref="F334:F336" si="85">1-1</f>
        <v>0</v>
      </c>
      <c r="G334" s="75">
        <f>テーブル1[[#This Row],[長さ(m)]]</f>
        <v>0</v>
      </c>
      <c r="H334" s="43">
        <f t="shared" si="78"/>
        <v>0</v>
      </c>
      <c r="I334" s="47">
        <v>2958.228374931648</v>
      </c>
      <c r="J334" s="47">
        <f t="shared" si="79"/>
        <v>0</v>
      </c>
      <c r="K334" s="43" t="s">
        <v>39</v>
      </c>
      <c r="L334" s="46"/>
      <c r="M334" s="46"/>
      <c r="N334" s="43"/>
      <c r="O334" s="46"/>
      <c r="P334" s="43" t="s">
        <v>712</v>
      </c>
      <c r="Q334" s="71" t="s">
        <v>599</v>
      </c>
    </row>
    <row r="335" spans="1:17">
      <c r="A335" s="43" t="s">
        <v>682</v>
      </c>
      <c r="B335" s="43" t="s">
        <v>35</v>
      </c>
      <c r="C335" s="75" t="s">
        <v>775</v>
      </c>
      <c r="D335" s="43">
        <v>1.02</v>
      </c>
      <c r="E335" s="43">
        <f t="shared" si="84"/>
        <v>0</v>
      </c>
      <c r="F335" s="43">
        <f t="shared" si="85"/>
        <v>0</v>
      </c>
      <c r="G335" s="75">
        <f>テーブル1[[#This Row],[長さ(m)]]</f>
        <v>0</v>
      </c>
      <c r="H335" s="43">
        <f t="shared" si="78"/>
        <v>0</v>
      </c>
      <c r="I335" s="47">
        <v>2958.228374931648</v>
      </c>
      <c r="J335" s="47">
        <f t="shared" si="79"/>
        <v>0</v>
      </c>
      <c r="K335" s="43" t="s">
        <v>39</v>
      </c>
      <c r="L335" s="46"/>
      <c r="M335" s="46"/>
      <c r="N335" s="43"/>
      <c r="O335" s="46"/>
      <c r="P335" s="43" t="s">
        <v>713</v>
      </c>
      <c r="Q335" s="71" t="s">
        <v>599</v>
      </c>
    </row>
    <row r="336" spans="1:17">
      <c r="A336" s="43" t="s">
        <v>682</v>
      </c>
      <c r="B336" s="43" t="s">
        <v>35</v>
      </c>
      <c r="C336" s="75" t="s">
        <v>776</v>
      </c>
      <c r="D336" s="43">
        <v>1.02</v>
      </c>
      <c r="E336" s="43">
        <f t="shared" si="84"/>
        <v>0</v>
      </c>
      <c r="F336" s="43">
        <f t="shared" si="85"/>
        <v>0</v>
      </c>
      <c r="G336" s="75">
        <f>テーブル1[[#This Row],[長さ(m)]]</f>
        <v>0</v>
      </c>
      <c r="H336" s="43">
        <f t="shared" si="78"/>
        <v>0</v>
      </c>
      <c r="I336" s="47">
        <v>2958.228374931648</v>
      </c>
      <c r="J336" s="47">
        <f t="shared" si="79"/>
        <v>0</v>
      </c>
      <c r="K336" s="43" t="s">
        <v>39</v>
      </c>
      <c r="L336" s="46"/>
      <c r="M336" s="46"/>
      <c r="N336" s="43"/>
      <c r="O336" s="46"/>
      <c r="P336" s="43" t="s">
        <v>714</v>
      </c>
      <c r="Q336" s="71" t="s">
        <v>599</v>
      </c>
    </row>
    <row r="337" spans="1:17">
      <c r="A337" s="43" t="s">
        <v>682</v>
      </c>
      <c r="B337" s="43" t="s">
        <v>35</v>
      </c>
      <c r="C337" s="75" t="s">
        <v>777</v>
      </c>
      <c r="D337" s="43">
        <v>1.02</v>
      </c>
      <c r="E337" s="43">
        <f>1-1</f>
        <v>0</v>
      </c>
      <c r="F337" s="43">
        <f>10-1-1-2-5-1</f>
        <v>0</v>
      </c>
      <c r="G337" s="75">
        <f>テーブル1[[#This Row],[長さ(m)]]</f>
        <v>0</v>
      </c>
      <c r="H337" s="43">
        <f t="shared" si="78"/>
        <v>0</v>
      </c>
      <c r="I337" s="47">
        <v>2958.228374931648</v>
      </c>
      <c r="J337" s="47">
        <f t="shared" si="79"/>
        <v>0</v>
      </c>
      <c r="K337" s="43" t="s">
        <v>10</v>
      </c>
      <c r="L337" s="46"/>
      <c r="M337" s="46"/>
      <c r="N337" s="43"/>
      <c r="O337" s="46"/>
      <c r="P337" s="43" t="s">
        <v>715</v>
      </c>
      <c r="Q337" s="71"/>
    </row>
    <row r="338" spans="1:17">
      <c r="A338" s="43" t="s">
        <v>682</v>
      </c>
      <c r="B338" s="43" t="s">
        <v>35</v>
      </c>
      <c r="C338" s="75" t="s">
        <v>778</v>
      </c>
      <c r="D338" s="43">
        <v>1.02</v>
      </c>
      <c r="E338" s="43">
        <v>0</v>
      </c>
      <c r="F338" s="43">
        <f>10-1-3-1-1-4</f>
        <v>0</v>
      </c>
      <c r="G338" s="75">
        <f>テーブル1[[#This Row],[長さ(m)]]</f>
        <v>0</v>
      </c>
      <c r="H338" s="43">
        <f t="shared" si="78"/>
        <v>0</v>
      </c>
      <c r="I338" s="47">
        <v>2958.228374931648</v>
      </c>
      <c r="J338" s="47">
        <f t="shared" si="79"/>
        <v>0</v>
      </c>
      <c r="K338" s="43" t="s">
        <v>10</v>
      </c>
      <c r="L338" s="46"/>
      <c r="M338" s="46"/>
      <c r="N338" s="43"/>
      <c r="O338" s="46"/>
      <c r="P338" s="43" t="s">
        <v>716</v>
      </c>
      <c r="Q338" s="71"/>
    </row>
    <row r="339" spans="1:17">
      <c r="A339" s="43" t="s">
        <v>682</v>
      </c>
      <c r="B339" s="43" t="s">
        <v>35</v>
      </c>
      <c r="C339" s="75" t="s">
        <v>779</v>
      </c>
      <c r="D339" s="43">
        <v>1.02</v>
      </c>
      <c r="E339" s="43">
        <f>10-10</f>
        <v>0</v>
      </c>
      <c r="F339" s="43">
        <f>1-1</f>
        <v>0</v>
      </c>
      <c r="G339" s="75">
        <f>テーブル1[[#This Row],[長さ(m)]]</f>
        <v>0</v>
      </c>
      <c r="H339" s="43">
        <f t="shared" si="78"/>
        <v>0</v>
      </c>
      <c r="I339" s="47">
        <v>2958.228374931648</v>
      </c>
      <c r="J339" s="47">
        <f t="shared" si="79"/>
        <v>0</v>
      </c>
      <c r="K339" s="43" t="s">
        <v>39</v>
      </c>
      <c r="L339" s="46"/>
      <c r="M339" s="46"/>
      <c r="N339" s="43"/>
      <c r="O339" s="46"/>
      <c r="P339" s="43" t="s">
        <v>717</v>
      </c>
      <c r="Q339" s="71" t="s">
        <v>599</v>
      </c>
    </row>
    <row r="340" spans="1:17">
      <c r="A340" s="43" t="s">
        <v>682</v>
      </c>
      <c r="B340" s="43" t="s">
        <v>35</v>
      </c>
      <c r="C340" s="75" t="s">
        <v>780</v>
      </c>
      <c r="D340" s="43">
        <v>1.02</v>
      </c>
      <c r="E340" s="43">
        <f>10-10</f>
        <v>0</v>
      </c>
      <c r="F340" s="43">
        <f>1-1</f>
        <v>0</v>
      </c>
      <c r="G340" s="75">
        <f>テーブル1[[#This Row],[長さ(m)]]</f>
        <v>0</v>
      </c>
      <c r="H340" s="43">
        <f t="shared" ref="H340" si="86">D340*G340</f>
        <v>0</v>
      </c>
      <c r="I340" s="47">
        <v>2958.228374931648</v>
      </c>
      <c r="J340" s="47">
        <f t="shared" ref="J340" si="87">H340*I340</f>
        <v>0</v>
      </c>
      <c r="K340" s="43" t="s">
        <v>39</v>
      </c>
      <c r="L340" s="46"/>
      <c r="M340" s="46"/>
      <c r="N340" s="43"/>
      <c r="O340" s="46"/>
      <c r="P340" s="43" t="s">
        <v>718</v>
      </c>
      <c r="Q340" s="71" t="s">
        <v>599</v>
      </c>
    </row>
    <row r="341" spans="1:17">
      <c r="A341" s="43" t="s">
        <v>682</v>
      </c>
      <c r="B341" s="43" t="s">
        <v>35</v>
      </c>
      <c r="C341" s="75" t="s">
        <v>781</v>
      </c>
      <c r="D341" s="43">
        <v>1.02</v>
      </c>
      <c r="E341" s="43">
        <f>10-10</f>
        <v>0</v>
      </c>
      <c r="F341" s="43">
        <f>1-1</f>
        <v>0</v>
      </c>
      <c r="G341" s="75">
        <f>テーブル1[[#This Row],[長さ(m)]]</f>
        <v>0</v>
      </c>
      <c r="H341" s="43">
        <f t="shared" si="78"/>
        <v>0</v>
      </c>
      <c r="I341" s="47">
        <v>2958.228374931648</v>
      </c>
      <c r="J341" s="47">
        <f t="shared" si="79"/>
        <v>0</v>
      </c>
      <c r="K341" s="43" t="s">
        <v>39</v>
      </c>
      <c r="L341" s="46"/>
      <c r="M341" s="46"/>
      <c r="N341" s="43"/>
      <c r="O341" s="46"/>
      <c r="P341" s="43" t="s">
        <v>719</v>
      </c>
      <c r="Q341" s="71" t="s">
        <v>599</v>
      </c>
    </row>
    <row r="342" spans="1:17">
      <c r="A342" s="43" t="s">
        <v>682</v>
      </c>
      <c r="B342" s="43" t="s">
        <v>35</v>
      </c>
      <c r="C342" s="75" t="s">
        <v>782</v>
      </c>
      <c r="D342" s="43">
        <v>1.02</v>
      </c>
      <c r="E342" s="43">
        <f t="shared" ref="E342:E363" si="88">10-10</f>
        <v>0</v>
      </c>
      <c r="F342" s="43">
        <f t="shared" ref="F342:F363" si="89">1-1</f>
        <v>0</v>
      </c>
      <c r="G342" s="75">
        <f>テーブル1[[#This Row],[長さ(m)]]</f>
        <v>0</v>
      </c>
      <c r="H342" s="43">
        <f t="shared" si="78"/>
        <v>0</v>
      </c>
      <c r="I342" s="47">
        <v>2958.228374931648</v>
      </c>
      <c r="J342" s="47">
        <f t="shared" si="79"/>
        <v>0</v>
      </c>
      <c r="K342" s="43" t="s">
        <v>39</v>
      </c>
      <c r="L342" s="46"/>
      <c r="M342" s="46"/>
      <c r="N342" s="43"/>
      <c r="O342" s="46"/>
      <c r="P342" s="43" t="s">
        <v>720</v>
      </c>
      <c r="Q342" s="71" t="s">
        <v>599</v>
      </c>
    </row>
    <row r="343" spans="1:17">
      <c r="A343" s="43" t="s">
        <v>682</v>
      </c>
      <c r="B343" s="43" t="s">
        <v>35</v>
      </c>
      <c r="C343" s="75" t="s">
        <v>783</v>
      </c>
      <c r="D343" s="43">
        <v>1.02</v>
      </c>
      <c r="E343" s="43">
        <f t="shared" si="88"/>
        <v>0</v>
      </c>
      <c r="F343" s="43">
        <f t="shared" si="89"/>
        <v>0</v>
      </c>
      <c r="G343" s="75">
        <f>テーブル1[[#This Row],[長さ(m)]]</f>
        <v>0</v>
      </c>
      <c r="H343" s="43">
        <f t="shared" si="78"/>
        <v>0</v>
      </c>
      <c r="I343" s="47">
        <v>2958.228374931648</v>
      </c>
      <c r="J343" s="47">
        <f t="shared" si="79"/>
        <v>0</v>
      </c>
      <c r="K343" s="43" t="s">
        <v>39</v>
      </c>
      <c r="L343" s="46"/>
      <c r="M343" s="46"/>
      <c r="N343" s="43"/>
      <c r="O343" s="46"/>
      <c r="P343" s="43" t="s">
        <v>721</v>
      </c>
      <c r="Q343" s="71" t="s">
        <v>599</v>
      </c>
    </row>
    <row r="344" spans="1:17">
      <c r="A344" s="43" t="s">
        <v>682</v>
      </c>
      <c r="B344" s="43" t="s">
        <v>35</v>
      </c>
      <c r="C344" s="75" t="s">
        <v>784</v>
      </c>
      <c r="D344" s="43">
        <v>1.02</v>
      </c>
      <c r="E344" s="43">
        <f t="shared" si="88"/>
        <v>0</v>
      </c>
      <c r="F344" s="43">
        <f t="shared" si="89"/>
        <v>0</v>
      </c>
      <c r="G344" s="75">
        <f>テーブル1[[#This Row],[長さ(m)]]</f>
        <v>0</v>
      </c>
      <c r="H344" s="43">
        <f t="shared" si="78"/>
        <v>0</v>
      </c>
      <c r="I344" s="47">
        <v>2958.228374931648</v>
      </c>
      <c r="J344" s="47">
        <f t="shared" si="79"/>
        <v>0</v>
      </c>
      <c r="K344" s="43" t="s">
        <v>39</v>
      </c>
      <c r="L344" s="46"/>
      <c r="M344" s="46"/>
      <c r="N344" s="43"/>
      <c r="O344" s="46"/>
      <c r="P344" s="43" t="s">
        <v>722</v>
      </c>
      <c r="Q344" s="71" t="s">
        <v>599</v>
      </c>
    </row>
    <row r="345" spans="1:17">
      <c r="A345" s="43" t="s">
        <v>682</v>
      </c>
      <c r="B345" s="43" t="s">
        <v>35</v>
      </c>
      <c r="C345" s="75" t="s">
        <v>785</v>
      </c>
      <c r="D345" s="43">
        <v>1.02</v>
      </c>
      <c r="E345" s="43">
        <f t="shared" si="88"/>
        <v>0</v>
      </c>
      <c r="F345" s="43">
        <f t="shared" si="89"/>
        <v>0</v>
      </c>
      <c r="G345" s="75">
        <f>テーブル1[[#This Row],[長さ(m)]]</f>
        <v>0</v>
      </c>
      <c r="H345" s="43">
        <f t="shared" si="78"/>
        <v>0</v>
      </c>
      <c r="I345" s="47">
        <v>2958.228374931648</v>
      </c>
      <c r="J345" s="47">
        <f t="shared" si="79"/>
        <v>0</v>
      </c>
      <c r="K345" s="43" t="s">
        <v>39</v>
      </c>
      <c r="L345" s="46"/>
      <c r="M345" s="46"/>
      <c r="N345" s="43"/>
      <c r="O345" s="46"/>
      <c r="P345" s="43" t="s">
        <v>723</v>
      </c>
      <c r="Q345" s="71" t="s">
        <v>599</v>
      </c>
    </row>
    <row r="346" spans="1:17">
      <c r="A346" s="43" t="s">
        <v>682</v>
      </c>
      <c r="B346" s="43" t="s">
        <v>35</v>
      </c>
      <c r="C346" s="75" t="s">
        <v>786</v>
      </c>
      <c r="D346" s="43">
        <v>1.02</v>
      </c>
      <c r="E346" s="43">
        <f t="shared" si="88"/>
        <v>0</v>
      </c>
      <c r="F346" s="43">
        <f t="shared" si="89"/>
        <v>0</v>
      </c>
      <c r="G346" s="75">
        <f>テーブル1[[#This Row],[長さ(m)]]</f>
        <v>0</v>
      </c>
      <c r="H346" s="43">
        <f t="shared" si="78"/>
        <v>0</v>
      </c>
      <c r="I346" s="47">
        <v>2958.228374931648</v>
      </c>
      <c r="J346" s="47">
        <f t="shared" si="79"/>
        <v>0</v>
      </c>
      <c r="K346" s="43" t="s">
        <v>39</v>
      </c>
      <c r="L346" s="46"/>
      <c r="M346" s="46"/>
      <c r="N346" s="43"/>
      <c r="O346" s="46"/>
      <c r="P346" s="43" t="s">
        <v>724</v>
      </c>
      <c r="Q346" s="71" t="s">
        <v>599</v>
      </c>
    </row>
    <row r="347" spans="1:17">
      <c r="A347" s="43" t="s">
        <v>682</v>
      </c>
      <c r="B347" s="43" t="s">
        <v>35</v>
      </c>
      <c r="C347" s="75" t="s">
        <v>787</v>
      </c>
      <c r="D347" s="43">
        <v>1.02</v>
      </c>
      <c r="E347" s="43">
        <f t="shared" si="88"/>
        <v>0</v>
      </c>
      <c r="F347" s="43">
        <f t="shared" si="89"/>
        <v>0</v>
      </c>
      <c r="G347" s="75">
        <f>テーブル1[[#This Row],[長さ(m)]]</f>
        <v>0</v>
      </c>
      <c r="H347" s="43">
        <f t="shared" si="78"/>
        <v>0</v>
      </c>
      <c r="I347" s="47">
        <v>2958.228374931648</v>
      </c>
      <c r="J347" s="47">
        <f t="shared" si="79"/>
        <v>0</v>
      </c>
      <c r="K347" s="43" t="s">
        <v>39</v>
      </c>
      <c r="L347" s="46"/>
      <c r="M347" s="46"/>
      <c r="N347" s="43"/>
      <c r="O347" s="46"/>
      <c r="P347" s="43" t="s">
        <v>725</v>
      </c>
      <c r="Q347" s="71" t="s">
        <v>599</v>
      </c>
    </row>
    <row r="348" spans="1:17">
      <c r="A348" s="43" t="s">
        <v>682</v>
      </c>
      <c r="B348" s="43" t="s">
        <v>35</v>
      </c>
      <c r="C348" s="75" t="s">
        <v>788</v>
      </c>
      <c r="D348" s="43">
        <v>1.02</v>
      </c>
      <c r="E348" s="43">
        <f t="shared" si="88"/>
        <v>0</v>
      </c>
      <c r="F348" s="43">
        <f t="shared" si="89"/>
        <v>0</v>
      </c>
      <c r="G348" s="75">
        <f>テーブル1[[#This Row],[長さ(m)]]</f>
        <v>0</v>
      </c>
      <c r="H348" s="43">
        <f t="shared" si="78"/>
        <v>0</v>
      </c>
      <c r="I348" s="47">
        <v>2958.228374931648</v>
      </c>
      <c r="J348" s="47">
        <f t="shared" si="79"/>
        <v>0</v>
      </c>
      <c r="K348" s="43" t="s">
        <v>39</v>
      </c>
      <c r="L348" s="46"/>
      <c r="M348" s="46"/>
      <c r="N348" s="43"/>
      <c r="O348" s="46"/>
      <c r="P348" s="43" t="s">
        <v>726</v>
      </c>
      <c r="Q348" s="71" t="s">
        <v>599</v>
      </c>
    </row>
    <row r="349" spans="1:17">
      <c r="A349" s="43" t="s">
        <v>682</v>
      </c>
      <c r="B349" s="43" t="s">
        <v>35</v>
      </c>
      <c r="C349" s="75" t="s">
        <v>789</v>
      </c>
      <c r="D349" s="43">
        <v>1.02</v>
      </c>
      <c r="E349" s="43">
        <f t="shared" si="88"/>
        <v>0</v>
      </c>
      <c r="F349" s="43">
        <f t="shared" si="89"/>
        <v>0</v>
      </c>
      <c r="G349" s="75">
        <f>テーブル1[[#This Row],[長さ(m)]]</f>
        <v>0</v>
      </c>
      <c r="H349" s="43">
        <f t="shared" si="78"/>
        <v>0</v>
      </c>
      <c r="I349" s="47">
        <v>2958.228374931648</v>
      </c>
      <c r="J349" s="47">
        <f t="shared" si="79"/>
        <v>0</v>
      </c>
      <c r="K349" s="43" t="s">
        <v>39</v>
      </c>
      <c r="L349" s="46"/>
      <c r="M349" s="46"/>
      <c r="N349" s="43"/>
      <c r="O349" s="46"/>
      <c r="P349" s="43" t="s">
        <v>727</v>
      </c>
      <c r="Q349" s="71" t="s">
        <v>599</v>
      </c>
    </row>
    <row r="350" spans="1:17">
      <c r="A350" s="43" t="s">
        <v>682</v>
      </c>
      <c r="B350" s="43" t="s">
        <v>35</v>
      </c>
      <c r="C350" s="75" t="s">
        <v>790</v>
      </c>
      <c r="D350" s="43">
        <v>1.02</v>
      </c>
      <c r="E350" s="43">
        <f t="shared" si="88"/>
        <v>0</v>
      </c>
      <c r="F350" s="43">
        <f t="shared" si="89"/>
        <v>0</v>
      </c>
      <c r="G350" s="75">
        <f>テーブル1[[#This Row],[長さ(m)]]</f>
        <v>0</v>
      </c>
      <c r="H350" s="43">
        <f t="shared" si="78"/>
        <v>0</v>
      </c>
      <c r="I350" s="47">
        <v>2958.228374931648</v>
      </c>
      <c r="J350" s="47">
        <f t="shared" si="79"/>
        <v>0</v>
      </c>
      <c r="K350" s="43" t="s">
        <v>39</v>
      </c>
      <c r="L350" s="46"/>
      <c r="M350" s="46"/>
      <c r="N350" s="43"/>
      <c r="O350" s="46"/>
      <c r="P350" s="43" t="s">
        <v>728</v>
      </c>
      <c r="Q350" s="71" t="s">
        <v>599</v>
      </c>
    </row>
    <row r="351" spans="1:17">
      <c r="A351" s="43" t="s">
        <v>682</v>
      </c>
      <c r="B351" s="43" t="s">
        <v>35</v>
      </c>
      <c r="C351" s="75" t="s">
        <v>791</v>
      </c>
      <c r="D351" s="43">
        <v>1.02</v>
      </c>
      <c r="E351" s="43">
        <f t="shared" si="88"/>
        <v>0</v>
      </c>
      <c r="F351" s="43">
        <f t="shared" si="89"/>
        <v>0</v>
      </c>
      <c r="G351" s="75">
        <f>テーブル1[[#This Row],[長さ(m)]]</f>
        <v>0</v>
      </c>
      <c r="H351" s="43">
        <f t="shared" si="78"/>
        <v>0</v>
      </c>
      <c r="I351" s="47">
        <v>2958.228374931648</v>
      </c>
      <c r="J351" s="47">
        <f t="shared" si="79"/>
        <v>0</v>
      </c>
      <c r="K351" s="43" t="s">
        <v>39</v>
      </c>
      <c r="L351" s="46"/>
      <c r="M351" s="46"/>
      <c r="N351" s="43"/>
      <c r="O351" s="46"/>
      <c r="P351" s="43" t="s">
        <v>729</v>
      </c>
      <c r="Q351" s="71" t="s">
        <v>599</v>
      </c>
    </row>
    <row r="352" spans="1:17">
      <c r="A352" s="43" t="s">
        <v>682</v>
      </c>
      <c r="B352" s="43" t="s">
        <v>35</v>
      </c>
      <c r="C352" s="75" t="s">
        <v>792</v>
      </c>
      <c r="D352" s="43">
        <v>1.02</v>
      </c>
      <c r="E352" s="43">
        <f t="shared" si="88"/>
        <v>0</v>
      </c>
      <c r="F352" s="43">
        <f t="shared" si="89"/>
        <v>0</v>
      </c>
      <c r="G352" s="75">
        <f>テーブル1[[#This Row],[長さ(m)]]</f>
        <v>0</v>
      </c>
      <c r="H352" s="43">
        <f t="shared" si="78"/>
        <v>0</v>
      </c>
      <c r="I352" s="47">
        <v>2958.228374931648</v>
      </c>
      <c r="J352" s="47">
        <f t="shared" si="79"/>
        <v>0</v>
      </c>
      <c r="K352" s="43" t="s">
        <v>39</v>
      </c>
      <c r="L352" s="46"/>
      <c r="M352" s="46"/>
      <c r="N352" s="43"/>
      <c r="O352" s="46"/>
      <c r="P352" s="43" t="s">
        <v>730</v>
      </c>
      <c r="Q352" s="71" t="s">
        <v>599</v>
      </c>
    </row>
    <row r="353" spans="1:17">
      <c r="A353" s="43" t="s">
        <v>682</v>
      </c>
      <c r="B353" s="43" t="s">
        <v>35</v>
      </c>
      <c r="C353" s="75" t="s">
        <v>793</v>
      </c>
      <c r="D353" s="43">
        <v>1.02</v>
      </c>
      <c r="E353" s="43">
        <f t="shared" si="88"/>
        <v>0</v>
      </c>
      <c r="F353" s="43">
        <f t="shared" si="89"/>
        <v>0</v>
      </c>
      <c r="G353" s="75">
        <f>テーブル1[[#This Row],[長さ(m)]]</f>
        <v>0</v>
      </c>
      <c r="H353" s="43">
        <f t="shared" si="78"/>
        <v>0</v>
      </c>
      <c r="I353" s="47">
        <v>2958.228374931648</v>
      </c>
      <c r="J353" s="47">
        <f t="shared" si="79"/>
        <v>0</v>
      </c>
      <c r="K353" s="43" t="s">
        <v>39</v>
      </c>
      <c r="L353" s="46"/>
      <c r="M353" s="46"/>
      <c r="N353" s="43"/>
      <c r="O353" s="46"/>
      <c r="P353" s="43" t="s">
        <v>731</v>
      </c>
      <c r="Q353" s="71" t="s">
        <v>599</v>
      </c>
    </row>
    <row r="354" spans="1:17">
      <c r="A354" s="43" t="s">
        <v>682</v>
      </c>
      <c r="B354" s="43" t="s">
        <v>35</v>
      </c>
      <c r="C354" s="75" t="s">
        <v>794</v>
      </c>
      <c r="D354" s="43">
        <v>1.02</v>
      </c>
      <c r="E354" s="43">
        <f t="shared" si="88"/>
        <v>0</v>
      </c>
      <c r="F354" s="43">
        <f t="shared" si="89"/>
        <v>0</v>
      </c>
      <c r="G354" s="75">
        <f>テーブル1[[#This Row],[長さ(m)]]</f>
        <v>0</v>
      </c>
      <c r="H354" s="43">
        <f t="shared" si="78"/>
        <v>0</v>
      </c>
      <c r="I354" s="47">
        <v>2958.228374931648</v>
      </c>
      <c r="J354" s="47">
        <f t="shared" si="79"/>
        <v>0</v>
      </c>
      <c r="K354" s="43" t="s">
        <v>39</v>
      </c>
      <c r="L354" s="46"/>
      <c r="M354" s="46"/>
      <c r="N354" s="43"/>
      <c r="O354" s="46"/>
      <c r="P354" s="43" t="s">
        <v>732</v>
      </c>
      <c r="Q354" s="71" t="s">
        <v>599</v>
      </c>
    </row>
    <row r="355" spans="1:17">
      <c r="A355" s="43" t="s">
        <v>682</v>
      </c>
      <c r="B355" s="43" t="s">
        <v>35</v>
      </c>
      <c r="C355" s="75" t="s">
        <v>795</v>
      </c>
      <c r="D355" s="43">
        <v>1.02</v>
      </c>
      <c r="E355" s="43">
        <f t="shared" si="88"/>
        <v>0</v>
      </c>
      <c r="F355" s="43">
        <f t="shared" si="89"/>
        <v>0</v>
      </c>
      <c r="G355" s="75">
        <f>テーブル1[[#This Row],[長さ(m)]]</f>
        <v>0</v>
      </c>
      <c r="H355" s="43">
        <f t="shared" si="78"/>
        <v>0</v>
      </c>
      <c r="I355" s="47">
        <v>2958.228374931648</v>
      </c>
      <c r="J355" s="47">
        <f t="shared" si="79"/>
        <v>0</v>
      </c>
      <c r="K355" s="43" t="s">
        <v>39</v>
      </c>
      <c r="L355" s="46"/>
      <c r="M355" s="46"/>
      <c r="N355" s="43"/>
      <c r="O355" s="46"/>
      <c r="P355" s="43" t="s">
        <v>733</v>
      </c>
      <c r="Q355" s="71" t="s">
        <v>599</v>
      </c>
    </row>
    <row r="356" spans="1:17">
      <c r="A356" s="43" t="s">
        <v>682</v>
      </c>
      <c r="B356" s="43" t="s">
        <v>35</v>
      </c>
      <c r="C356" s="75" t="s">
        <v>796</v>
      </c>
      <c r="D356" s="43">
        <v>1.02</v>
      </c>
      <c r="E356" s="43">
        <f t="shared" si="88"/>
        <v>0</v>
      </c>
      <c r="F356" s="43">
        <f t="shared" si="89"/>
        <v>0</v>
      </c>
      <c r="G356" s="75">
        <f>テーブル1[[#This Row],[長さ(m)]]</f>
        <v>0</v>
      </c>
      <c r="H356" s="43">
        <f t="shared" si="78"/>
        <v>0</v>
      </c>
      <c r="I356" s="47">
        <v>2958.228374931648</v>
      </c>
      <c r="J356" s="47">
        <f t="shared" si="79"/>
        <v>0</v>
      </c>
      <c r="K356" s="43" t="s">
        <v>39</v>
      </c>
      <c r="L356" s="46"/>
      <c r="M356" s="46"/>
      <c r="N356" s="43"/>
      <c r="O356" s="46"/>
      <c r="P356" s="43" t="s">
        <v>734</v>
      </c>
      <c r="Q356" s="71" t="s">
        <v>599</v>
      </c>
    </row>
    <row r="357" spans="1:17">
      <c r="A357" s="43" t="s">
        <v>682</v>
      </c>
      <c r="B357" s="43" t="s">
        <v>35</v>
      </c>
      <c r="C357" s="75" t="s">
        <v>797</v>
      </c>
      <c r="D357" s="43">
        <v>1.02</v>
      </c>
      <c r="E357" s="43">
        <f t="shared" si="88"/>
        <v>0</v>
      </c>
      <c r="F357" s="43">
        <f t="shared" si="89"/>
        <v>0</v>
      </c>
      <c r="G357" s="75">
        <f>テーブル1[[#This Row],[長さ(m)]]</f>
        <v>0</v>
      </c>
      <c r="H357" s="43">
        <f t="shared" si="78"/>
        <v>0</v>
      </c>
      <c r="I357" s="47">
        <v>2958.228374931648</v>
      </c>
      <c r="J357" s="47">
        <f t="shared" si="79"/>
        <v>0</v>
      </c>
      <c r="K357" s="43" t="s">
        <v>39</v>
      </c>
      <c r="L357" s="46"/>
      <c r="M357" s="46"/>
      <c r="N357" s="43"/>
      <c r="O357" s="46"/>
      <c r="P357" s="43" t="s">
        <v>735</v>
      </c>
      <c r="Q357" s="71" t="s">
        <v>599</v>
      </c>
    </row>
    <row r="358" spans="1:17">
      <c r="A358" s="43" t="s">
        <v>682</v>
      </c>
      <c r="B358" s="43" t="s">
        <v>35</v>
      </c>
      <c r="C358" s="75" t="s">
        <v>798</v>
      </c>
      <c r="D358" s="43">
        <v>1.02</v>
      </c>
      <c r="E358" s="43">
        <f t="shared" si="88"/>
        <v>0</v>
      </c>
      <c r="F358" s="43">
        <f t="shared" si="89"/>
        <v>0</v>
      </c>
      <c r="G358" s="75">
        <f>テーブル1[[#This Row],[長さ(m)]]</f>
        <v>0</v>
      </c>
      <c r="H358" s="43">
        <f t="shared" si="78"/>
        <v>0</v>
      </c>
      <c r="I358" s="47">
        <v>2958.228374931648</v>
      </c>
      <c r="J358" s="47">
        <f t="shared" si="79"/>
        <v>0</v>
      </c>
      <c r="K358" s="43" t="s">
        <v>39</v>
      </c>
      <c r="L358" s="46"/>
      <c r="M358" s="46"/>
      <c r="N358" s="43"/>
      <c r="O358" s="46"/>
      <c r="P358" s="43" t="s">
        <v>736</v>
      </c>
      <c r="Q358" s="71" t="s">
        <v>599</v>
      </c>
    </row>
    <row r="359" spans="1:17">
      <c r="A359" s="43" t="s">
        <v>682</v>
      </c>
      <c r="B359" s="43" t="s">
        <v>35</v>
      </c>
      <c r="C359" s="75" t="s">
        <v>799</v>
      </c>
      <c r="D359" s="43">
        <v>1.02</v>
      </c>
      <c r="E359" s="43">
        <f t="shared" si="88"/>
        <v>0</v>
      </c>
      <c r="F359" s="43">
        <f t="shared" si="89"/>
        <v>0</v>
      </c>
      <c r="G359" s="75">
        <f>テーブル1[[#This Row],[長さ(m)]]</f>
        <v>0</v>
      </c>
      <c r="H359" s="43">
        <f t="shared" si="78"/>
        <v>0</v>
      </c>
      <c r="I359" s="47">
        <v>2958.228374931648</v>
      </c>
      <c r="J359" s="47">
        <f t="shared" si="79"/>
        <v>0</v>
      </c>
      <c r="K359" s="43" t="s">
        <v>39</v>
      </c>
      <c r="L359" s="46"/>
      <c r="M359" s="46"/>
      <c r="N359" s="43"/>
      <c r="O359" s="46"/>
      <c r="P359" s="43" t="s">
        <v>737</v>
      </c>
      <c r="Q359" s="71" t="s">
        <v>599</v>
      </c>
    </row>
    <row r="360" spans="1:17">
      <c r="A360" s="43" t="s">
        <v>682</v>
      </c>
      <c r="B360" s="43" t="s">
        <v>35</v>
      </c>
      <c r="C360" s="75" t="s">
        <v>800</v>
      </c>
      <c r="D360" s="43">
        <v>1.02</v>
      </c>
      <c r="E360" s="43">
        <f t="shared" si="88"/>
        <v>0</v>
      </c>
      <c r="F360" s="43">
        <f t="shared" si="89"/>
        <v>0</v>
      </c>
      <c r="G360" s="75">
        <f>テーブル1[[#This Row],[長さ(m)]]</f>
        <v>0</v>
      </c>
      <c r="H360" s="43">
        <f t="shared" si="78"/>
        <v>0</v>
      </c>
      <c r="I360" s="47">
        <v>2958.228374931648</v>
      </c>
      <c r="J360" s="47">
        <f t="shared" si="79"/>
        <v>0</v>
      </c>
      <c r="K360" s="43" t="s">
        <v>39</v>
      </c>
      <c r="L360" s="46"/>
      <c r="M360" s="46"/>
      <c r="N360" s="43"/>
      <c r="O360" s="46"/>
      <c r="P360" s="43" t="s">
        <v>738</v>
      </c>
      <c r="Q360" s="71" t="s">
        <v>599</v>
      </c>
    </row>
    <row r="361" spans="1:17">
      <c r="A361" s="43" t="s">
        <v>682</v>
      </c>
      <c r="B361" s="43" t="s">
        <v>35</v>
      </c>
      <c r="C361" s="75" t="s">
        <v>801</v>
      </c>
      <c r="D361" s="43">
        <v>1.02</v>
      </c>
      <c r="E361" s="43">
        <f t="shared" si="88"/>
        <v>0</v>
      </c>
      <c r="F361" s="43">
        <f t="shared" si="89"/>
        <v>0</v>
      </c>
      <c r="G361" s="75">
        <f>テーブル1[[#This Row],[長さ(m)]]</f>
        <v>0</v>
      </c>
      <c r="H361" s="43">
        <f t="shared" si="78"/>
        <v>0</v>
      </c>
      <c r="I361" s="47">
        <v>2958.228374931648</v>
      </c>
      <c r="J361" s="47">
        <f t="shared" si="79"/>
        <v>0</v>
      </c>
      <c r="K361" s="43" t="s">
        <v>39</v>
      </c>
      <c r="L361" s="46"/>
      <c r="M361" s="46"/>
      <c r="N361" s="43"/>
      <c r="O361" s="46"/>
      <c r="P361" s="43" t="s">
        <v>739</v>
      </c>
      <c r="Q361" s="71" t="s">
        <v>599</v>
      </c>
    </row>
    <row r="362" spans="1:17">
      <c r="A362" s="43" t="s">
        <v>682</v>
      </c>
      <c r="B362" s="43" t="s">
        <v>35</v>
      </c>
      <c r="C362" s="75" t="s">
        <v>802</v>
      </c>
      <c r="D362" s="43">
        <v>1.02</v>
      </c>
      <c r="E362" s="43">
        <f t="shared" si="88"/>
        <v>0</v>
      </c>
      <c r="F362" s="43">
        <f t="shared" si="89"/>
        <v>0</v>
      </c>
      <c r="G362" s="75">
        <f>テーブル1[[#This Row],[長さ(m)]]</f>
        <v>0</v>
      </c>
      <c r="H362" s="43">
        <f t="shared" si="78"/>
        <v>0</v>
      </c>
      <c r="I362" s="47">
        <v>2958.228374931648</v>
      </c>
      <c r="J362" s="47">
        <f t="shared" si="79"/>
        <v>0</v>
      </c>
      <c r="K362" s="43" t="s">
        <v>39</v>
      </c>
      <c r="L362" s="46"/>
      <c r="M362" s="46"/>
      <c r="N362" s="43"/>
      <c r="O362" s="46"/>
      <c r="P362" s="43" t="s">
        <v>740</v>
      </c>
      <c r="Q362" s="71" t="s">
        <v>599</v>
      </c>
    </row>
    <row r="363" spans="1:17">
      <c r="A363" s="43" t="s">
        <v>682</v>
      </c>
      <c r="B363" s="43" t="s">
        <v>35</v>
      </c>
      <c r="C363" s="75" t="s">
        <v>803</v>
      </c>
      <c r="D363" s="43">
        <v>1.02</v>
      </c>
      <c r="E363" s="43">
        <f t="shared" si="88"/>
        <v>0</v>
      </c>
      <c r="F363" s="43">
        <f t="shared" si="89"/>
        <v>0</v>
      </c>
      <c r="G363" s="75">
        <f>テーブル1[[#This Row],[長さ(m)]]</f>
        <v>0</v>
      </c>
      <c r="H363" s="43">
        <f t="shared" si="78"/>
        <v>0</v>
      </c>
      <c r="I363" s="47">
        <v>2958.228374931648</v>
      </c>
      <c r="J363" s="47">
        <f t="shared" si="79"/>
        <v>0</v>
      </c>
      <c r="K363" s="43" t="s">
        <v>39</v>
      </c>
      <c r="L363" s="46"/>
      <c r="M363" s="46"/>
      <c r="N363" s="43"/>
      <c r="O363" s="46"/>
      <c r="P363" s="43" t="s">
        <v>741</v>
      </c>
      <c r="Q363" s="71" t="s">
        <v>599</v>
      </c>
    </row>
    <row r="364" spans="1:17">
      <c r="A364" s="43" t="s">
        <v>682</v>
      </c>
      <c r="B364" s="43" t="s">
        <v>35</v>
      </c>
      <c r="C364" s="75" t="s">
        <v>804</v>
      </c>
      <c r="D364" s="43">
        <v>1.02</v>
      </c>
      <c r="E364" s="43">
        <v>10</v>
      </c>
      <c r="F364" s="43">
        <v>1</v>
      </c>
      <c r="G364" s="75">
        <f>テーブル1[[#This Row],[長さ(m)]]</f>
        <v>10</v>
      </c>
      <c r="H364" s="43">
        <f t="shared" si="78"/>
        <v>10.199999999999999</v>
      </c>
      <c r="I364" s="47">
        <v>2958.228374931648</v>
      </c>
      <c r="J364" s="47">
        <f t="shared" si="79"/>
        <v>30173.929424302809</v>
      </c>
      <c r="K364" s="43" t="s">
        <v>39</v>
      </c>
      <c r="L364" s="46"/>
      <c r="M364" s="46"/>
      <c r="N364" s="43"/>
      <c r="O364" s="46"/>
      <c r="P364" s="43" t="s">
        <v>742</v>
      </c>
      <c r="Q364" s="71" t="s">
        <v>599</v>
      </c>
    </row>
    <row r="365" spans="1:17">
      <c r="A365" s="43" t="s">
        <v>682</v>
      </c>
      <c r="B365" s="43" t="s">
        <v>35</v>
      </c>
      <c r="C365" s="75" t="s">
        <v>805</v>
      </c>
      <c r="D365" s="43">
        <v>1.02</v>
      </c>
      <c r="E365" s="43">
        <v>10</v>
      </c>
      <c r="F365" s="43">
        <v>1</v>
      </c>
      <c r="G365" s="75">
        <f>テーブル1[[#This Row],[長さ(m)]]</f>
        <v>10</v>
      </c>
      <c r="H365" s="43">
        <f t="shared" si="78"/>
        <v>10.199999999999999</v>
      </c>
      <c r="I365" s="47">
        <v>2958.228374931648</v>
      </c>
      <c r="J365" s="47">
        <f t="shared" si="79"/>
        <v>30173.929424302809</v>
      </c>
      <c r="K365" s="43" t="s">
        <v>39</v>
      </c>
      <c r="L365" s="46"/>
      <c r="M365" s="46"/>
      <c r="N365" s="43"/>
      <c r="O365" s="46"/>
      <c r="P365" s="43" t="s">
        <v>743</v>
      </c>
      <c r="Q365" s="71" t="s">
        <v>599</v>
      </c>
    </row>
    <row r="366" spans="1:17">
      <c r="A366" s="43" t="s">
        <v>682</v>
      </c>
      <c r="B366" s="43" t="s">
        <v>35</v>
      </c>
      <c r="C366" s="75" t="s">
        <v>806</v>
      </c>
      <c r="D366" s="43">
        <v>1.02</v>
      </c>
      <c r="E366" s="43">
        <v>10</v>
      </c>
      <c r="F366" s="43">
        <v>1</v>
      </c>
      <c r="G366" s="75">
        <f>テーブル1[[#This Row],[長さ(m)]]</f>
        <v>10</v>
      </c>
      <c r="H366" s="43">
        <f>D366*G366</f>
        <v>10.199999999999999</v>
      </c>
      <c r="I366" s="47">
        <v>2958.228374931648</v>
      </c>
      <c r="J366" s="47">
        <f t="shared" si="79"/>
        <v>30173.929424302809</v>
      </c>
      <c r="K366" s="43" t="s">
        <v>39</v>
      </c>
      <c r="L366" s="46"/>
      <c r="M366" s="46"/>
      <c r="N366" s="43"/>
      <c r="O366" s="46"/>
      <c r="P366" s="43" t="s">
        <v>744</v>
      </c>
      <c r="Q366" s="71" t="s">
        <v>600</v>
      </c>
    </row>
    <row r="367" spans="1:17">
      <c r="A367" s="43" t="s">
        <v>144</v>
      </c>
      <c r="B367" s="43" t="s">
        <v>35</v>
      </c>
      <c r="C367" s="43" t="s">
        <v>813</v>
      </c>
      <c r="D367" s="43">
        <v>1.25</v>
      </c>
      <c r="E367" s="43">
        <v>25</v>
      </c>
      <c r="F367" s="43">
        <v>41</v>
      </c>
      <c r="G367" s="75">
        <f>テーブル1[[#This Row],[長さ(m)]]*テーブル1[[#This Row],[在庫(本)]]</f>
        <v>1025</v>
      </c>
      <c r="H367" s="43">
        <f>D367*G367</f>
        <v>1281.25</v>
      </c>
      <c r="I367" s="47">
        <v>1117.8712612236397</v>
      </c>
      <c r="J367" s="47">
        <f t="shared" si="79"/>
        <v>1432272.5534427885</v>
      </c>
      <c r="K367" s="43" t="s">
        <v>25</v>
      </c>
      <c r="L367" s="48">
        <v>45078</v>
      </c>
      <c r="M367" s="43"/>
      <c r="N367" s="46"/>
      <c r="O367" s="43"/>
      <c r="P367" s="71"/>
      <c r="Q367" s="43"/>
    </row>
    <row r="368" spans="1:17">
      <c r="A368" s="43" t="s">
        <v>144</v>
      </c>
      <c r="B368" s="43" t="s">
        <v>35</v>
      </c>
      <c r="C368" s="43" t="s">
        <v>814</v>
      </c>
      <c r="D368" s="43">
        <v>1.25</v>
      </c>
      <c r="E368" s="43">
        <v>9</v>
      </c>
      <c r="F368" s="43">
        <v>1</v>
      </c>
      <c r="G368" s="75">
        <f>テーブル1[[#This Row],[長さ(m)]]*テーブル1[[#This Row],[在庫(本)]]</f>
        <v>9</v>
      </c>
      <c r="H368" s="43">
        <f t="shared" ref="H368:H375" si="90">D368*G368</f>
        <v>11.25</v>
      </c>
      <c r="I368" s="47">
        <v>1117.8712612236397</v>
      </c>
      <c r="J368" s="47">
        <f t="shared" si="79"/>
        <v>12576.051688765947</v>
      </c>
      <c r="K368" s="43" t="s">
        <v>25</v>
      </c>
      <c r="L368" s="48">
        <v>45078</v>
      </c>
      <c r="M368" s="43"/>
      <c r="N368" s="46"/>
      <c r="O368" s="43"/>
      <c r="P368" s="71"/>
      <c r="Q368" s="43"/>
    </row>
    <row r="369" spans="1:17">
      <c r="A369" s="43" t="s">
        <v>144</v>
      </c>
      <c r="B369" s="43" t="s">
        <v>35</v>
      </c>
      <c r="C369" s="43" t="s">
        <v>815</v>
      </c>
      <c r="D369" s="43">
        <v>1.25</v>
      </c>
      <c r="E369" s="43">
        <v>11</v>
      </c>
      <c r="F369" s="43">
        <v>1</v>
      </c>
      <c r="G369" s="75">
        <f>テーブル1[[#This Row],[長さ(m)]]*テーブル1[[#This Row],[在庫(本)]]</f>
        <v>11</v>
      </c>
      <c r="H369" s="43">
        <f t="shared" si="90"/>
        <v>13.75</v>
      </c>
      <c r="I369" s="47">
        <v>1117.8712612236395</v>
      </c>
      <c r="J369" s="47">
        <f t="shared" si="79"/>
        <v>15370.729841825043</v>
      </c>
      <c r="K369" s="43" t="s">
        <v>25</v>
      </c>
      <c r="L369" s="48">
        <v>45078</v>
      </c>
      <c r="M369" s="43"/>
      <c r="N369" s="46"/>
      <c r="O369" s="43"/>
      <c r="P369" s="71"/>
      <c r="Q369" s="43"/>
    </row>
    <row r="370" spans="1:17">
      <c r="A370" s="43" t="s">
        <v>144</v>
      </c>
      <c r="B370" s="43" t="s">
        <v>35</v>
      </c>
      <c r="C370" s="43" t="s">
        <v>816</v>
      </c>
      <c r="D370" s="43">
        <v>1.25</v>
      </c>
      <c r="E370" s="43">
        <v>23</v>
      </c>
      <c r="F370" s="43">
        <v>1</v>
      </c>
      <c r="G370" s="75">
        <f>テーブル1[[#This Row],[長さ(m)]]*テーブル1[[#This Row],[在庫(本)]]</f>
        <v>23</v>
      </c>
      <c r="H370" s="43">
        <f t="shared" si="90"/>
        <v>28.75</v>
      </c>
      <c r="I370" s="47">
        <v>1117.8712612236395</v>
      </c>
      <c r="J370" s="47">
        <f t="shared" si="79"/>
        <v>32138.798760179638</v>
      </c>
      <c r="K370" s="43" t="s">
        <v>25</v>
      </c>
      <c r="L370" s="48">
        <v>45078</v>
      </c>
      <c r="M370" s="43"/>
      <c r="N370" s="46"/>
      <c r="O370" s="43"/>
      <c r="P370" s="71"/>
      <c r="Q370" s="43"/>
    </row>
    <row r="371" spans="1:17">
      <c r="A371" s="43" t="s">
        <v>144</v>
      </c>
      <c r="B371" s="43" t="s">
        <v>35</v>
      </c>
      <c r="C371" s="43" t="s">
        <v>817</v>
      </c>
      <c r="D371" s="43">
        <v>1.25</v>
      </c>
      <c r="E371" s="43">
        <v>21</v>
      </c>
      <c r="F371" s="43">
        <v>1</v>
      </c>
      <c r="G371" s="75">
        <f>テーブル1[[#This Row],[長さ(m)]]*テーブル1[[#This Row],[在庫(本)]]</f>
        <v>21</v>
      </c>
      <c r="H371" s="43">
        <f t="shared" si="90"/>
        <v>26.25</v>
      </c>
      <c r="I371" s="47">
        <v>1117.8712612236397</v>
      </c>
      <c r="J371" s="47">
        <f t="shared" si="79"/>
        <v>29344.120607120545</v>
      </c>
      <c r="K371" s="43" t="s">
        <v>25</v>
      </c>
      <c r="L371" s="48">
        <v>45078</v>
      </c>
      <c r="M371" s="43"/>
      <c r="N371" s="46"/>
      <c r="O371" s="43"/>
      <c r="P371" s="71"/>
      <c r="Q371" s="43"/>
    </row>
    <row r="372" spans="1:17">
      <c r="A372" s="49" t="s">
        <v>144</v>
      </c>
      <c r="B372" s="49" t="s">
        <v>38</v>
      </c>
      <c r="C372" s="49" t="s">
        <v>818</v>
      </c>
      <c r="D372" s="49">
        <v>1.25</v>
      </c>
      <c r="E372" s="49">
        <v>25</v>
      </c>
      <c r="F372" s="49">
        <v>42</v>
      </c>
      <c r="G372" s="49">
        <f>テーブル1[[#This Row],[長さ(m)]]*テーブル1[[#This Row],[在庫(本)]]</f>
        <v>1050</v>
      </c>
      <c r="H372" s="49">
        <f t="shared" si="90"/>
        <v>1312.5</v>
      </c>
      <c r="I372" s="53">
        <v>1117.8712612236395</v>
      </c>
      <c r="J372" s="53">
        <f t="shared" si="79"/>
        <v>1467206.030356027</v>
      </c>
      <c r="K372" s="49" t="s">
        <v>25</v>
      </c>
      <c r="L372" s="55">
        <v>45078</v>
      </c>
      <c r="M372" s="43"/>
      <c r="N372" s="46"/>
      <c r="O372" s="43"/>
      <c r="P372" s="43"/>
      <c r="Q372" s="43"/>
    </row>
    <row r="373" spans="1:17">
      <c r="A373" s="49" t="s">
        <v>144</v>
      </c>
      <c r="B373" s="49" t="s">
        <v>38</v>
      </c>
      <c r="C373" s="49" t="s">
        <v>819</v>
      </c>
      <c r="D373" s="49">
        <v>1.25</v>
      </c>
      <c r="E373" s="49">
        <v>25</v>
      </c>
      <c r="F373" s="49">
        <v>36</v>
      </c>
      <c r="G373" s="49">
        <f>テーブル1[[#This Row],[長さ(m)]]*テーブル1[[#This Row],[在庫(本)]]</f>
        <v>900</v>
      </c>
      <c r="H373" s="49">
        <f t="shared" si="90"/>
        <v>1125</v>
      </c>
      <c r="I373" s="53">
        <v>1117.8712612236395</v>
      </c>
      <c r="J373" s="53">
        <f t="shared" si="79"/>
        <v>1257605.1688765944</v>
      </c>
      <c r="K373" s="49" t="s">
        <v>25</v>
      </c>
      <c r="L373" s="55">
        <v>45078</v>
      </c>
      <c r="M373" s="43"/>
      <c r="N373" s="46"/>
      <c r="O373" s="43"/>
      <c r="P373" s="43"/>
      <c r="Q373" s="43"/>
    </row>
    <row r="374" spans="1:17">
      <c r="A374" s="49" t="s">
        <v>144</v>
      </c>
      <c r="B374" s="49" t="s">
        <v>38</v>
      </c>
      <c r="C374" s="49" t="s">
        <v>823</v>
      </c>
      <c r="D374" s="49">
        <v>1.25</v>
      </c>
      <c r="E374" s="49">
        <v>19</v>
      </c>
      <c r="F374" s="49">
        <v>1</v>
      </c>
      <c r="G374" s="49">
        <f>テーブル1[[#This Row],[長さ(m)]]*テーブル1[[#This Row],[在庫(本)]]</f>
        <v>19</v>
      </c>
      <c r="H374" s="49">
        <f t="shared" si="90"/>
        <v>23.75</v>
      </c>
      <c r="I374" s="53">
        <v>1117.8712612236397</v>
      </c>
      <c r="J374" s="53">
        <f t="shared" si="79"/>
        <v>26549.442454061445</v>
      </c>
      <c r="K374" s="49" t="s">
        <v>25</v>
      </c>
      <c r="L374" s="55">
        <v>45078</v>
      </c>
      <c r="M374" s="43"/>
      <c r="N374" s="46"/>
      <c r="O374" s="43"/>
      <c r="P374" s="43"/>
      <c r="Q374" s="43"/>
    </row>
    <row r="375" spans="1:17">
      <c r="A375" s="49" t="s">
        <v>144</v>
      </c>
      <c r="B375" s="49" t="s">
        <v>38</v>
      </c>
      <c r="C375" s="49" t="s">
        <v>824</v>
      </c>
      <c r="D375" s="49">
        <v>1.25</v>
      </c>
      <c r="E375" s="49">
        <v>14</v>
      </c>
      <c r="F375" s="49">
        <v>1</v>
      </c>
      <c r="G375" s="49">
        <f>テーブル1[[#This Row],[長さ(m)]]*テーブル1[[#This Row],[在庫(本)]]</f>
        <v>14</v>
      </c>
      <c r="H375" s="49">
        <f t="shared" si="90"/>
        <v>17.5</v>
      </c>
      <c r="I375" s="53">
        <v>1117.8712612236397</v>
      </c>
      <c r="J375" s="53">
        <f t="shared" si="79"/>
        <v>19562.747071413694</v>
      </c>
      <c r="K375" s="49" t="s">
        <v>25</v>
      </c>
      <c r="L375" s="55">
        <v>45078</v>
      </c>
      <c r="M375" s="43"/>
      <c r="N375" s="46"/>
      <c r="O375" s="43"/>
      <c r="P375" s="43"/>
      <c r="Q375" s="43"/>
    </row>
    <row r="376" spans="1:17">
      <c r="A376" s="49" t="s">
        <v>8</v>
      </c>
      <c r="B376" s="49" t="s">
        <v>38</v>
      </c>
      <c r="C376" s="49" t="s">
        <v>650</v>
      </c>
      <c r="D376" s="49">
        <v>1.25</v>
      </c>
      <c r="E376" s="49">
        <f>25-7-2-1-1.9-13.1</f>
        <v>0</v>
      </c>
      <c r="F376" s="49">
        <f>1-1</f>
        <v>0</v>
      </c>
      <c r="G376" s="49">
        <f>テーブル1[[#This Row],[長さ(m)]]*テーブル1[[#This Row],[在庫(本)]]</f>
        <v>0</v>
      </c>
      <c r="H376" s="49">
        <f t="shared" si="78"/>
        <v>0</v>
      </c>
      <c r="I376" s="53">
        <v>1099.5225721795628</v>
      </c>
      <c r="J376" s="53">
        <f t="shared" si="79"/>
        <v>0</v>
      </c>
      <c r="K376" s="49" t="s">
        <v>528</v>
      </c>
      <c r="L376" s="55">
        <v>44652</v>
      </c>
      <c r="M376" s="55"/>
      <c r="N376" s="43" t="s">
        <v>199</v>
      </c>
      <c r="O376" s="46" t="s">
        <v>159</v>
      </c>
      <c r="P376" s="43"/>
      <c r="Q376" s="43"/>
    </row>
    <row r="377" spans="1:17">
      <c r="A377" s="49" t="s">
        <v>8</v>
      </c>
      <c r="B377" s="49" t="s">
        <v>38</v>
      </c>
      <c r="C377" s="49" t="s">
        <v>651</v>
      </c>
      <c r="D377" s="49">
        <v>1.25</v>
      </c>
      <c r="E377" s="49">
        <f>25-25</f>
        <v>0</v>
      </c>
      <c r="F377" s="49">
        <f>1-1</f>
        <v>0</v>
      </c>
      <c r="G377" s="49">
        <f>テーブル1[[#This Row],[長さ(m)]]*テーブル1[[#This Row],[在庫(本)]]</f>
        <v>0</v>
      </c>
      <c r="H377" s="49">
        <f>D377*G377</f>
        <v>0</v>
      </c>
      <c r="I377" s="53">
        <v>1099.5225721795628</v>
      </c>
      <c r="J377" s="53">
        <f>H377*I377</f>
        <v>0</v>
      </c>
      <c r="K377" s="49" t="s">
        <v>528</v>
      </c>
      <c r="L377" s="55">
        <v>44652</v>
      </c>
      <c r="M377" s="55"/>
      <c r="N377" s="43" t="s">
        <v>199</v>
      </c>
      <c r="O377" s="46" t="s">
        <v>159</v>
      </c>
      <c r="P377" s="43"/>
      <c r="Q377" s="43"/>
    </row>
    <row r="378" spans="1:17">
      <c r="A378" s="49" t="s">
        <v>8</v>
      </c>
      <c r="B378" s="49" t="s">
        <v>38</v>
      </c>
      <c r="C378" s="49" t="s">
        <v>652</v>
      </c>
      <c r="D378" s="49">
        <v>1.25</v>
      </c>
      <c r="E378" s="49">
        <f>25-0.8-4-0.6</f>
        <v>19.599999999999998</v>
      </c>
      <c r="F378" s="49">
        <v>1</v>
      </c>
      <c r="G378" s="49">
        <f>テーブル1[[#This Row],[長さ(m)]]*テーブル1[[#This Row],[在庫(本)]]</f>
        <v>19.599999999999998</v>
      </c>
      <c r="H378" s="49">
        <f>D378*G378</f>
        <v>24.499999999999996</v>
      </c>
      <c r="I378" s="53">
        <v>1099.5225721795628</v>
      </c>
      <c r="J378" s="53">
        <f>H378*I378</f>
        <v>26938.303018399285</v>
      </c>
      <c r="K378" s="49" t="s">
        <v>528</v>
      </c>
      <c r="L378" s="55">
        <v>44652</v>
      </c>
      <c r="M378" s="55"/>
      <c r="N378" s="43" t="s">
        <v>199</v>
      </c>
      <c r="O378" s="46" t="s">
        <v>159</v>
      </c>
      <c r="P378" s="43"/>
      <c r="Q378" s="43"/>
    </row>
    <row r="379" spans="1:17">
      <c r="A379" s="43" t="s">
        <v>8</v>
      </c>
      <c r="B379" s="44" t="s">
        <v>9</v>
      </c>
      <c r="C379" s="43" t="s">
        <v>653</v>
      </c>
      <c r="D379" s="43">
        <v>1.25</v>
      </c>
      <c r="E379" s="43">
        <f>25-5-4-10-2-1-1-1-1</f>
        <v>0</v>
      </c>
      <c r="F379" s="43">
        <f>1-1</f>
        <v>0</v>
      </c>
      <c r="G379" s="43">
        <f>テーブル1[[#This Row],[長さ(m)]]*テーブル1[[#This Row],[在庫(本)]]</f>
        <v>0</v>
      </c>
      <c r="H379" s="43">
        <f t="shared" ref="H379:H380" si="91">D379*G379</f>
        <v>0</v>
      </c>
      <c r="I379" s="47">
        <v>1086.1813388965465</v>
      </c>
      <c r="J379" s="47">
        <f t="shared" ref="J379:J380" si="92">H379*I379</f>
        <v>0</v>
      </c>
      <c r="K379" s="43" t="s">
        <v>16</v>
      </c>
      <c r="L379" s="48">
        <v>44652</v>
      </c>
      <c r="M379" s="48"/>
      <c r="N379" s="43"/>
      <c r="O379" s="46"/>
      <c r="P379" s="43"/>
      <c r="Q379" s="43"/>
    </row>
    <row r="380" spans="1:17">
      <c r="A380" s="43" t="s">
        <v>8</v>
      </c>
      <c r="B380" s="44" t="s">
        <v>9</v>
      </c>
      <c r="C380" s="43" t="s">
        <v>654</v>
      </c>
      <c r="D380" s="43">
        <v>1.25</v>
      </c>
      <c r="E380" s="43">
        <f>25-5-10-5-5</f>
        <v>0</v>
      </c>
      <c r="F380" s="43">
        <f>1-1</f>
        <v>0</v>
      </c>
      <c r="G380" s="43">
        <f>テーブル1[[#This Row],[長さ(m)]]*テーブル1[[#This Row],[在庫(本)]]</f>
        <v>0</v>
      </c>
      <c r="H380" s="43">
        <f t="shared" si="91"/>
        <v>0</v>
      </c>
      <c r="I380" s="47">
        <v>1086.1813388965465</v>
      </c>
      <c r="J380" s="47">
        <f t="shared" si="92"/>
        <v>0</v>
      </c>
      <c r="K380" s="43" t="s">
        <v>16</v>
      </c>
      <c r="L380" s="48">
        <v>44652</v>
      </c>
      <c r="M380" s="48"/>
      <c r="N380" s="43"/>
      <c r="O380" s="46"/>
      <c r="P380" s="43"/>
      <c r="Q380" s="43"/>
    </row>
    <row r="381" spans="1:17">
      <c r="A381" s="87" t="s">
        <v>679</v>
      </c>
      <c r="B381" s="87" t="s">
        <v>35</v>
      </c>
      <c r="C381" s="87" t="s">
        <v>662</v>
      </c>
      <c r="D381" s="87">
        <v>1.29</v>
      </c>
      <c r="E381" s="118">
        <f>1053-1053</f>
        <v>0</v>
      </c>
      <c r="F381" s="87">
        <f>1-1</f>
        <v>0</v>
      </c>
      <c r="G381" s="87">
        <f>テーブル1[[#This Row],[長さ(m)]]*テーブル1[[#This Row],[在庫(本)]]</f>
        <v>0</v>
      </c>
      <c r="H381" s="87">
        <f t="shared" ref="H381:H395" si="93">D381*G381</f>
        <v>0</v>
      </c>
      <c r="I381" s="90">
        <v>677.89437608343826</v>
      </c>
      <c r="J381" s="90">
        <f t="shared" ref="J381:J392" si="94">H381*I381</f>
        <v>0</v>
      </c>
      <c r="K381" s="87" t="s">
        <v>39</v>
      </c>
      <c r="L381" s="91">
        <v>45108</v>
      </c>
      <c r="M381" s="92"/>
      <c r="N381" s="87" t="s">
        <v>510</v>
      </c>
      <c r="O381" s="92"/>
      <c r="P381" s="87"/>
      <c r="Q381" s="95" t="s">
        <v>674</v>
      </c>
    </row>
    <row r="382" spans="1:17">
      <c r="A382" s="87" t="s">
        <v>680</v>
      </c>
      <c r="B382" s="87" t="s">
        <v>35</v>
      </c>
      <c r="C382" s="87" t="s">
        <v>663</v>
      </c>
      <c r="D382" s="87">
        <v>1.29</v>
      </c>
      <c r="E382" s="118">
        <f>357-357</f>
        <v>0</v>
      </c>
      <c r="F382" s="87">
        <f>1-1</f>
        <v>0</v>
      </c>
      <c r="G382" s="87">
        <f>テーブル1[[#This Row],[長さ(m)]]*テーブル1[[#This Row],[在庫(本)]]</f>
        <v>0</v>
      </c>
      <c r="H382" s="87">
        <f t="shared" si="93"/>
        <v>0</v>
      </c>
      <c r="I382" s="90">
        <v>677.89437608343837</v>
      </c>
      <c r="J382" s="90">
        <f t="shared" si="94"/>
        <v>0</v>
      </c>
      <c r="K382" s="87" t="s">
        <v>39</v>
      </c>
      <c r="L382" s="91">
        <v>45108</v>
      </c>
      <c r="M382" s="92"/>
      <c r="N382" s="87" t="s">
        <v>510</v>
      </c>
      <c r="O382" s="92"/>
      <c r="P382" s="87"/>
      <c r="Q382" s="95" t="s">
        <v>674</v>
      </c>
    </row>
    <row r="383" spans="1:17">
      <c r="A383" s="87" t="s">
        <v>680</v>
      </c>
      <c r="B383" s="87" t="s">
        <v>35</v>
      </c>
      <c r="C383" s="87" t="s">
        <v>664</v>
      </c>
      <c r="D383" s="87">
        <v>1.29</v>
      </c>
      <c r="E383" s="118">
        <v>145</v>
      </c>
      <c r="F383" s="87">
        <v>1</v>
      </c>
      <c r="G383" s="87">
        <f>テーブル1[[#This Row],[長さ(m)]]*テーブル1[[#This Row],[在庫(本)]]</f>
        <v>145</v>
      </c>
      <c r="H383" s="87">
        <f t="shared" si="93"/>
        <v>187.05</v>
      </c>
      <c r="I383" s="90">
        <v>677.89437608343837</v>
      </c>
      <c r="J383" s="90">
        <f t="shared" si="94"/>
        <v>126800.14304640716</v>
      </c>
      <c r="K383" s="87" t="s">
        <v>39</v>
      </c>
      <c r="L383" s="91">
        <v>45108</v>
      </c>
      <c r="M383" s="92"/>
      <c r="N383" s="87" t="s">
        <v>510</v>
      </c>
      <c r="O383" s="92"/>
      <c r="P383" s="87"/>
      <c r="Q383" s="95" t="s">
        <v>674</v>
      </c>
    </row>
    <row r="384" spans="1:17">
      <c r="A384" s="87" t="s">
        <v>680</v>
      </c>
      <c r="B384" s="87" t="s">
        <v>35</v>
      </c>
      <c r="C384" s="87" t="s">
        <v>665</v>
      </c>
      <c r="D384" s="87">
        <v>1.29</v>
      </c>
      <c r="E384" s="118">
        <v>272</v>
      </c>
      <c r="F384" s="87">
        <v>1</v>
      </c>
      <c r="G384" s="87">
        <f>テーブル1[[#This Row],[長さ(m)]]*テーブル1[[#This Row],[在庫(本)]]</f>
        <v>272</v>
      </c>
      <c r="H384" s="87">
        <f t="shared" si="93"/>
        <v>350.88</v>
      </c>
      <c r="I384" s="90">
        <v>677.89437608343837</v>
      </c>
      <c r="J384" s="90">
        <f t="shared" si="94"/>
        <v>237859.57868015685</v>
      </c>
      <c r="K384" s="87" t="s">
        <v>39</v>
      </c>
      <c r="L384" s="91">
        <v>45108</v>
      </c>
      <c r="M384" s="92"/>
      <c r="N384" s="87" t="s">
        <v>510</v>
      </c>
      <c r="O384" s="92"/>
      <c r="P384" s="87"/>
      <c r="Q384" s="95" t="s">
        <v>674</v>
      </c>
    </row>
    <row r="385" spans="1:17">
      <c r="A385" s="87" t="s">
        <v>680</v>
      </c>
      <c r="B385" s="87" t="s">
        <v>35</v>
      </c>
      <c r="C385" s="87" t="s">
        <v>666</v>
      </c>
      <c r="D385" s="87">
        <v>1.29</v>
      </c>
      <c r="E385" s="118">
        <f>1038-1038+20</f>
        <v>20</v>
      </c>
      <c r="F385" s="87">
        <f>1</f>
        <v>1</v>
      </c>
      <c r="G385" s="87">
        <f>テーブル1[[#This Row],[長さ(m)]]*テーブル1[[#This Row],[在庫(本)]]</f>
        <v>20</v>
      </c>
      <c r="H385" s="87">
        <f t="shared" si="93"/>
        <v>25.8</v>
      </c>
      <c r="I385" s="90">
        <v>677.89437608343826</v>
      </c>
      <c r="J385" s="90">
        <f t="shared" si="94"/>
        <v>17489.674902952709</v>
      </c>
      <c r="K385" s="87" t="s">
        <v>39</v>
      </c>
      <c r="L385" s="91">
        <v>45108</v>
      </c>
      <c r="M385" s="92"/>
      <c r="N385" s="87" t="s">
        <v>510</v>
      </c>
      <c r="O385" s="92"/>
      <c r="P385" s="87"/>
      <c r="Q385" s="95" t="s">
        <v>675</v>
      </c>
    </row>
    <row r="386" spans="1:17">
      <c r="A386" s="87" t="s">
        <v>680</v>
      </c>
      <c r="B386" s="87" t="s">
        <v>35</v>
      </c>
      <c r="C386" s="87" t="s">
        <v>667</v>
      </c>
      <c r="D386" s="87">
        <v>1.29</v>
      </c>
      <c r="E386" s="118">
        <f>1047-1047</f>
        <v>0</v>
      </c>
      <c r="F386" s="87">
        <f>1-1</f>
        <v>0</v>
      </c>
      <c r="G386" s="87">
        <f>テーブル1[[#This Row],[長さ(m)]]*テーブル1[[#This Row],[在庫(本)]]</f>
        <v>0</v>
      </c>
      <c r="H386" s="87">
        <f t="shared" si="93"/>
        <v>0</v>
      </c>
      <c r="I386" s="90">
        <v>677.89437608343837</v>
      </c>
      <c r="J386" s="90">
        <f t="shared" si="94"/>
        <v>0</v>
      </c>
      <c r="K386" s="87" t="s">
        <v>39</v>
      </c>
      <c r="L386" s="91">
        <v>45108</v>
      </c>
      <c r="M386" s="92"/>
      <c r="N386" s="87" t="s">
        <v>510</v>
      </c>
      <c r="O386" s="92"/>
      <c r="P386" s="87"/>
      <c r="Q386" s="95" t="s">
        <v>675</v>
      </c>
    </row>
    <row r="387" spans="1:17">
      <c r="A387" s="87" t="s">
        <v>680</v>
      </c>
      <c r="B387" s="87" t="s">
        <v>35</v>
      </c>
      <c r="C387" s="87" t="s">
        <v>668</v>
      </c>
      <c r="D387" s="87">
        <v>1.29</v>
      </c>
      <c r="E387" s="118">
        <v>1049</v>
      </c>
      <c r="F387" s="87">
        <v>1</v>
      </c>
      <c r="G387" s="87">
        <f>テーブル1[[#This Row],[長さ(m)]]*テーブル1[[#This Row],[在庫(本)]]</f>
        <v>1049</v>
      </c>
      <c r="H387" s="87">
        <f t="shared" si="93"/>
        <v>1353.21</v>
      </c>
      <c r="I387" s="90">
        <v>677.89437608343837</v>
      </c>
      <c r="J387" s="90">
        <f t="shared" si="94"/>
        <v>917333.44865986961</v>
      </c>
      <c r="K387" s="87" t="s">
        <v>39</v>
      </c>
      <c r="L387" s="91">
        <v>45108</v>
      </c>
      <c r="M387" s="92"/>
      <c r="N387" s="87" t="s">
        <v>510</v>
      </c>
      <c r="O387" s="92"/>
      <c r="P387" s="87"/>
      <c r="Q387" s="95" t="s">
        <v>676</v>
      </c>
    </row>
    <row r="388" spans="1:17">
      <c r="A388" s="49" t="s">
        <v>681</v>
      </c>
      <c r="B388" s="49" t="s">
        <v>38</v>
      </c>
      <c r="C388" s="49" t="s">
        <v>669</v>
      </c>
      <c r="D388" s="49">
        <v>1.29</v>
      </c>
      <c r="E388" s="51">
        <v>1054</v>
      </c>
      <c r="F388" s="49">
        <v>1</v>
      </c>
      <c r="G388" s="49">
        <f>テーブル1[[#This Row],[長さ(m)]]*テーブル1[[#This Row],[在庫(本)]]</f>
        <v>1054</v>
      </c>
      <c r="H388" s="49">
        <f t="shared" si="93"/>
        <v>1359.66</v>
      </c>
      <c r="I388" s="53">
        <v>767.27417104333699</v>
      </c>
      <c r="J388" s="53">
        <f t="shared" si="94"/>
        <v>1043231.9994007837</v>
      </c>
      <c r="K388" s="49" t="s">
        <v>39</v>
      </c>
      <c r="L388" s="55">
        <v>45108</v>
      </c>
      <c r="M388" s="52"/>
      <c r="N388" s="49" t="s">
        <v>510</v>
      </c>
      <c r="O388" s="52"/>
      <c r="P388" s="49"/>
      <c r="Q388" s="101" t="s">
        <v>676</v>
      </c>
    </row>
    <row r="389" spans="1:17">
      <c r="A389" s="49" t="s">
        <v>681</v>
      </c>
      <c r="B389" s="49" t="s">
        <v>38</v>
      </c>
      <c r="C389" s="49" t="s">
        <v>670</v>
      </c>
      <c r="D389" s="49">
        <v>1.29</v>
      </c>
      <c r="E389" s="51">
        <v>1055</v>
      </c>
      <c r="F389" s="49">
        <v>1</v>
      </c>
      <c r="G389" s="49">
        <f>テーブル1[[#This Row],[長さ(m)]]*テーブル1[[#This Row],[在庫(本)]]</f>
        <v>1055</v>
      </c>
      <c r="H389" s="49">
        <f t="shared" si="93"/>
        <v>1360.95</v>
      </c>
      <c r="I389" s="53">
        <v>767.27417104333699</v>
      </c>
      <c r="J389" s="53">
        <f t="shared" si="94"/>
        <v>1044221.7830814295</v>
      </c>
      <c r="K389" s="49" t="s">
        <v>39</v>
      </c>
      <c r="L389" s="55">
        <v>45108</v>
      </c>
      <c r="M389" s="52"/>
      <c r="N389" s="49" t="s">
        <v>510</v>
      </c>
      <c r="O389" s="52"/>
      <c r="P389" s="49"/>
      <c r="Q389" s="101" t="s">
        <v>677</v>
      </c>
    </row>
    <row r="390" spans="1:17">
      <c r="A390" s="49" t="s">
        <v>681</v>
      </c>
      <c r="B390" s="49" t="s">
        <v>38</v>
      </c>
      <c r="C390" s="49" t="s">
        <v>671</v>
      </c>
      <c r="D390" s="49">
        <v>1.29</v>
      </c>
      <c r="E390" s="51">
        <v>1053</v>
      </c>
      <c r="F390" s="49">
        <v>1</v>
      </c>
      <c r="G390" s="49">
        <f>テーブル1[[#This Row],[長さ(m)]]*テーブル1[[#This Row],[在庫(本)]]</f>
        <v>1053</v>
      </c>
      <c r="H390" s="49">
        <f t="shared" si="93"/>
        <v>1358.3700000000001</v>
      </c>
      <c r="I390" s="53">
        <v>767.27417104333699</v>
      </c>
      <c r="J390" s="53">
        <f t="shared" si="94"/>
        <v>1042242.2157201378</v>
      </c>
      <c r="K390" s="49" t="s">
        <v>39</v>
      </c>
      <c r="L390" s="55">
        <v>45108</v>
      </c>
      <c r="M390" s="52"/>
      <c r="N390" s="49" t="s">
        <v>510</v>
      </c>
      <c r="O390" s="52"/>
      <c r="P390" s="49"/>
      <c r="Q390" s="101" t="s">
        <v>677</v>
      </c>
    </row>
    <row r="391" spans="1:17">
      <c r="A391" s="49" t="s">
        <v>681</v>
      </c>
      <c r="B391" s="49" t="s">
        <v>38</v>
      </c>
      <c r="C391" s="49" t="s">
        <v>672</v>
      </c>
      <c r="D391" s="49">
        <v>1.29</v>
      </c>
      <c r="E391" s="51">
        <f>1025-1025</f>
        <v>0</v>
      </c>
      <c r="F391" s="49">
        <f>1-1</f>
        <v>0</v>
      </c>
      <c r="G391" s="49">
        <f>テーブル1[[#This Row],[長さ(m)]]*テーブル1[[#This Row],[在庫(本)]]</f>
        <v>0</v>
      </c>
      <c r="H391" s="49">
        <f t="shared" si="93"/>
        <v>0</v>
      </c>
      <c r="I391" s="53">
        <v>767.27417104333699</v>
      </c>
      <c r="J391" s="53">
        <f t="shared" si="94"/>
        <v>0</v>
      </c>
      <c r="K391" s="49" t="s">
        <v>39</v>
      </c>
      <c r="L391" s="55">
        <v>45108</v>
      </c>
      <c r="M391" s="52"/>
      <c r="N391" s="49" t="s">
        <v>510</v>
      </c>
      <c r="O391" s="52"/>
      <c r="P391" s="49"/>
      <c r="Q391" s="101" t="s">
        <v>678</v>
      </c>
    </row>
    <row r="392" spans="1:17">
      <c r="A392" s="49" t="s">
        <v>681</v>
      </c>
      <c r="B392" s="49" t="s">
        <v>38</v>
      </c>
      <c r="C392" s="80" t="s">
        <v>673</v>
      </c>
      <c r="D392" s="49">
        <v>1.29</v>
      </c>
      <c r="E392" s="51">
        <v>152</v>
      </c>
      <c r="F392" s="49">
        <v>1</v>
      </c>
      <c r="G392" s="49">
        <f>テーブル1[[#This Row],[長さ(m)]]*テーブル1[[#This Row],[在庫(本)]]</f>
        <v>152</v>
      </c>
      <c r="H392" s="80">
        <f t="shared" si="93"/>
        <v>196.08</v>
      </c>
      <c r="I392" s="82">
        <v>767.27417104333699</v>
      </c>
      <c r="J392" s="82">
        <f t="shared" si="94"/>
        <v>150447.11945817753</v>
      </c>
      <c r="K392" s="49" t="s">
        <v>39</v>
      </c>
      <c r="L392" s="55">
        <v>45108</v>
      </c>
      <c r="M392" s="83"/>
      <c r="N392" s="80" t="s">
        <v>510</v>
      </c>
      <c r="O392" s="83"/>
      <c r="P392" s="80"/>
      <c r="Q392" s="100" t="s">
        <v>678</v>
      </c>
    </row>
    <row r="393" spans="1:17">
      <c r="A393" s="43" t="s">
        <v>144</v>
      </c>
      <c r="B393" s="43" t="s">
        <v>35</v>
      </c>
      <c r="C393" s="43" t="s">
        <v>168</v>
      </c>
      <c r="D393" s="43">
        <v>1.25</v>
      </c>
      <c r="E393" s="43">
        <f>25-7-5-3-5-5</f>
        <v>0</v>
      </c>
      <c r="F393" s="43">
        <v>1</v>
      </c>
      <c r="G393" s="43">
        <f>テーブル1[[#This Row],[長さ(m)]]*テーブル1[[#This Row],[在庫(本)]]</f>
        <v>0</v>
      </c>
      <c r="H393" s="43">
        <f>D393*G393</f>
        <v>0</v>
      </c>
      <c r="I393" s="47">
        <v>1086.1813388965463</v>
      </c>
      <c r="J393" s="47">
        <v>1120124.5057370635</v>
      </c>
      <c r="K393" s="43" t="s">
        <v>16</v>
      </c>
      <c r="L393" s="48">
        <v>44652</v>
      </c>
      <c r="M393" s="46"/>
      <c r="N393" s="43"/>
      <c r="O393" s="46"/>
      <c r="P393" s="43"/>
      <c r="Q393" s="71"/>
    </row>
    <row r="394" spans="1:17">
      <c r="A394" s="43" t="s">
        <v>144</v>
      </c>
      <c r="B394" s="43" t="s">
        <v>35</v>
      </c>
      <c r="C394" s="43" t="s">
        <v>168</v>
      </c>
      <c r="D394" s="43">
        <v>1.25</v>
      </c>
      <c r="E394" s="43">
        <f>25-5-1-10-5-2-1-1</f>
        <v>0</v>
      </c>
      <c r="F394" s="43">
        <v>1</v>
      </c>
      <c r="G394" s="43">
        <f>テーブル1[[#This Row],[長さ(m)]]*テーブル1[[#This Row],[在庫(本)]]</f>
        <v>0</v>
      </c>
      <c r="H394" s="43">
        <f t="shared" si="93"/>
        <v>0</v>
      </c>
      <c r="I394" s="47">
        <v>1086.1813388965463</v>
      </c>
      <c r="J394" s="47">
        <v>1120124.5057370635</v>
      </c>
      <c r="K394" s="43" t="s">
        <v>16</v>
      </c>
      <c r="L394" s="48">
        <v>44652</v>
      </c>
      <c r="M394" s="46"/>
      <c r="N394" s="43"/>
      <c r="O394" s="46"/>
      <c r="P394" s="43"/>
      <c r="Q394" s="71"/>
    </row>
    <row r="395" spans="1:17">
      <c r="A395" s="75" t="s">
        <v>144</v>
      </c>
      <c r="B395" s="75" t="s">
        <v>35</v>
      </c>
      <c r="C395" s="75" t="s">
        <v>168</v>
      </c>
      <c r="D395" s="75">
        <v>1.25</v>
      </c>
      <c r="E395" s="75">
        <f>25-4-10-10-1</f>
        <v>0</v>
      </c>
      <c r="F395" s="75">
        <v>1</v>
      </c>
      <c r="G395" s="43">
        <f>テーブル1[[#This Row],[長さ(m)]]*テーブル1[[#This Row],[在庫(本)]]</f>
        <v>0</v>
      </c>
      <c r="H395" s="43">
        <f t="shared" si="93"/>
        <v>0</v>
      </c>
      <c r="I395" s="47">
        <v>1086.1813388965463</v>
      </c>
      <c r="J395" s="76">
        <v>1120124.5057370635</v>
      </c>
      <c r="K395" s="75" t="s">
        <v>16</v>
      </c>
      <c r="L395" s="48">
        <v>44652</v>
      </c>
      <c r="M395" s="57"/>
      <c r="N395" s="75"/>
      <c r="O395" s="57"/>
      <c r="P395" s="75"/>
      <c r="Q395" s="77"/>
    </row>
    <row r="396" spans="1:17">
      <c r="A396" s="43" t="s">
        <v>144</v>
      </c>
      <c r="B396" s="43" t="s">
        <v>35</v>
      </c>
      <c r="C396" s="43" t="s">
        <v>820</v>
      </c>
      <c r="D396" s="43">
        <v>1.25</v>
      </c>
      <c r="E396" s="43">
        <v>25</v>
      </c>
      <c r="F396" s="43">
        <f>39-12</f>
        <v>27</v>
      </c>
      <c r="G396" s="43">
        <f>テーブル1[[#This Row],[長さ(m)]]*テーブル1[[#This Row],[在庫(本)]]</f>
        <v>675</v>
      </c>
      <c r="H396" s="43">
        <f t="shared" ref="H396:H399" si="95">D396*G396</f>
        <v>843.75</v>
      </c>
      <c r="I396" s="47"/>
      <c r="J396" s="47">
        <f t="shared" ref="J396:J399" si="96">H396*I396</f>
        <v>0</v>
      </c>
      <c r="K396" s="43" t="s">
        <v>25</v>
      </c>
      <c r="L396" s="48">
        <v>45139</v>
      </c>
      <c r="M396" s="46"/>
      <c r="N396" s="43"/>
      <c r="O396" s="46"/>
      <c r="P396" s="43"/>
      <c r="Q396" s="71"/>
    </row>
    <row r="397" spans="1:17">
      <c r="A397" s="43" t="s">
        <v>144</v>
      </c>
      <c r="B397" s="43" t="s">
        <v>35</v>
      </c>
      <c r="C397" s="43" t="s">
        <v>821</v>
      </c>
      <c r="D397" s="43">
        <v>1.25</v>
      </c>
      <c r="E397" s="43">
        <v>20</v>
      </c>
      <c r="F397" s="43">
        <v>1</v>
      </c>
      <c r="G397" s="43">
        <f>テーブル1[[#This Row],[長さ(m)]]*テーブル1[[#This Row],[在庫(本)]]</f>
        <v>20</v>
      </c>
      <c r="H397" s="43">
        <f t="shared" si="95"/>
        <v>25</v>
      </c>
      <c r="I397" s="47"/>
      <c r="J397" s="47">
        <f t="shared" si="96"/>
        <v>0</v>
      </c>
      <c r="K397" s="43" t="s">
        <v>25</v>
      </c>
      <c r="L397" s="48">
        <v>45139</v>
      </c>
      <c r="M397" s="46"/>
      <c r="N397" s="43"/>
      <c r="O397" s="46"/>
      <c r="P397" s="43"/>
      <c r="Q397" s="71"/>
    </row>
    <row r="398" spans="1:17">
      <c r="A398" s="43" t="s">
        <v>144</v>
      </c>
      <c r="B398" s="43" t="s">
        <v>35</v>
      </c>
      <c r="C398" s="43" t="s">
        <v>827</v>
      </c>
      <c r="D398" s="43">
        <v>1.25</v>
      </c>
      <c r="E398" s="43">
        <f>22</f>
        <v>22</v>
      </c>
      <c r="F398" s="43">
        <v>1</v>
      </c>
      <c r="G398" s="43">
        <f>テーブル1[[#This Row],[長さ(m)]]*テーブル1[[#This Row],[在庫(本)]]</f>
        <v>22</v>
      </c>
      <c r="H398" s="43">
        <f t="shared" si="95"/>
        <v>27.5</v>
      </c>
      <c r="I398" s="47"/>
      <c r="J398" s="47">
        <f t="shared" si="96"/>
        <v>0</v>
      </c>
      <c r="K398" s="43" t="s">
        <v>25</v>
      </c>
      <c r="L398" s="48">
        <v>45139</v>
      </c>
      <c r="M398" s="46"/>
      <c r="N398" s="43"/>
      <c r="O398" s="46"/>
      <c r="P398" s="43"/>
      <c r="Q398" s="71"/>
    </row>
    <row r="399" spans="1:17">
      <c r="A399" s="75" t="s">
        <v>144</v>
      </c>
      <c r="B399" s="75" t="s">
        <v>35</v>
      </c>
      <c r="C399" s="75" t="s">
        <v>822</v>
      </c>
      <c r="D399" s="75">
        <v>1.25</v>
      </c>
      <c r="E399" s="75">
        <v>7</v>
      </c>
      <c r="F399" s="75">
        <v>2</v>
      </c>
      <c r="G399" s="43">
        <f>テーブル1[[#This Row],[長さ(m)]]*テーブル1[[#This Row],[在庫(本)]]</f>
        <v>14</v>
      </c>
      <c r="H399" s="75">
        <f t="shared" si="95"/>
        <v>17.5</v>
      </c>
      <c r="I399" s="76"/>
      <c r="J399" s="76">
        <f t="shared" si="96"/>
        <v>0</v>
      </c>
      <c r="K399" s="75" t="s">
        <v>25</v>
      </c>
      <c r="L399" s="48">
        <v>45139</v>
      </c>
      <c r="M399" s="57"/>
      <c r="N399" s="75"/>
      <c r="O399" s="57"/>
      <c r="P399" s="75"/>
      <c r="Q399" s="77"/>
    </row>
    <row r="400" spans="1:17">
      <c r="A400" s="49" t="s">
        <v>144</v>
      </c>
      <c r="B400" s="49" t="s">
        <v>38</v>
      </c>
      <c r="C400" s="49" t="s">
        <v>826</v>
      </c>
      <c r="D400" s="49">
        <v>1.25</v>
      </c>
      <c r="E400" s="49">
        <v>25</v>
      </c>
      <c r="F400" s="49">
        <v>27</v>
      </c>
      <c r="G400" s="49">
        <f>テーブル1[[#This Row],[長さ(m)]]*テーブル1[[#This Row],[在庫(本)]]</f>
        <v>675</v>
      </c>
      <c r="H400" s="49">
        <f t="shared" ref="H400:H406" si="97">D400*G400</f>
        <v>843.75</v>
      </c>
      <c r="I400" s="53"/>
      <c r="J400" s="53">
        <f t="shared" ref="J400:J401" si="98">H400*I400</f>
        <v>0</v>
      </c>
      <c r="K400" s="49" t="s">
        <v>25</v>
      </c>
      <c r="L400" s="55">
        <v>45139</v>
      </c>
      <c r="M400" s="55"/>
      <c r="N400" s="55"/>
      <c r="O400" s="55"/>
      <c r="P400" s="55"/>
      <c r="Q400" s="55"/>
    </row>
    <row r="401" spans="1:17">
      <c r="A401" s="49" t="s">
        <v>144</v>
      </c>
      <c r="B401" s="49" t="s">
        <v>38</v>
      </c>
      <c r="C401" s="49" t="s">
        <v>825</v>
      </c>
      <c r="D401" s="49">
        <v>1.25</v>
      </c>
      <c r="E401" s="49">
        <v>23</v>
      </c>
      <c r="F401" s="49">
        <v>1</v>
      </c>
      <c r="G401" s="49">
        <f>テーブル1[[#This Row],[長さ(m)]]*テーブル1[[#This Row],[在庫(本)]]</f>
        <v>23</v>
      </c>
      <c r="H401" s="49">
        <f t="shared" si="97"/>
        <v>28.75</v>
      </c>
      <c r="I401" s="53"/>
      <c r="J401" s="53">
        <f t="shared" si="98"/>
        <v>0</v>
      </c>
      <c r="K401" s="49" t="s">
        <v>25</v>
      </c>
      <c r="L401" s="55">
        <v>45139</v>
      </c>
      <c r="M401" s="55"/>
      <c r="N401" s="55"/>
      <c r="O401" s="55"/>
      <c r="P401" s="55"/>
      <c r="Q401" s="55"/>
    </row>
    <row r="402" spans="1:17">
      <c r="A402" s="75" t="s">
        <v>144</v>
      </c>
      <c r="B402" s="75" t="s">
        <v>35</v>
      </c>
      <c r="C402" s="75" t="s">
        <v>168</v>
      </c>
      <c r="D402" s="75">
        <v>1.25</v>
      </c>
      <c r="E402" s="75">
        <f>25-10-5-5-5</f>
        <v>0</v>
      </c>
      <c r="F402" s="75">
        <v>1</v>
      </c>
      <c r="G402" s="43">
        <f>テーブル1[[#This Row],[長さ(m)]]*テーブル1[[#This Row],[在庫(本)]]</f>
        <v>0</v>
      </c>
      <c r="H402" s="43">
        <f t="shared" si="97"/>
        <v>0</v>
      </c>
      <c r="I402" s="47">
        <v>1086.1813388965463</v>
      </c>
      <c r="J402" s="76">
        <v>1120124.5057370635</v>
      </c>
      <c r="K402" s="75" t="s">
        <v>16</v>
      </c>
      <c r="L402" s="48">
        <v>44652</v>
      </c>
      <c r="M402" s="57"/>
      <c r="N402" s="75"/>
      <c r="O402" s="57"/>
      <c r="P402" s="75"/>
      <c r="Q402" s="77"/>
    </row>
    <row r="403" spans="1:17">
      <c r="A403" s="75" t="s">
        <v>144</v>
      </c>
      <c r="B403" s="75" t="s">
        <v>35</v>
      </c>
      <c r="C403" s="75" t="s">
        <v>168</v>
      </c>
      <c r="D403" s="75">
        <v>1.25</v>
      </c>
      <c r="E403" s="75">
        <f>25-25</f>
        <v>0</v>
      </c>
      <c r="F403" s="75">
        <v>1</v>
      </c>
      <c r="G403" s="43">
        <f>テーブル1[[#This Row],[長さ(m)]]*テーブル1[[#This Row],[在庫(本)]]</f>
        <v>0</v>
      </c>
      <c r="H403" s="43">
        <f t="shared" si="97"/>
        <v>0</v>
      </c>
      <c r="I403" s="47">
        <v>1086.1813388965463</v>
      </c>
      <c r="J403" s="76">
        <v>1120124.50573706</v>
      </c>
      <c r="K403" s="75" t="s">
        <v>16</v>
      </c>
      <c r="L403" s="48">
        <v>44652</v>
      </c>
      <c r="M403" s="57"/>
      <c r="N403" s="75"/>
      <c r="O403" s="57"/>
      <c r="P403" s="75"/>
      <c r="Q403" s="77"/>
    </row>
    <row r="404" spans="1:17">
      <c r="A404" s="75" t="s">
        <v>144</v>
      </c>
      <c r="B404" s="75" t="s">
        <v>35</v>
      </c>
      <c r="C404" s="75" t="s">
        <v>168</v>
      </c>
      <c r="D404" s="75">
        <v>1.25</v>
      </c>
      <c r="E404" s="75">
        <f>25-1-1-2-10-10-1</f>
        <v>0</v>
      </c>
      <c r="F404" s="75">
        <v>1</v>
      </c>
      <c r="G404" s="43">
        <f>テーブル1[[#This Row],[長さ(m)]]*テーブル1[[#This Row],[在庫(本)]]</f>
        <v>0</v>
      </c>
      <c r="H404" s="43">
        <f t="shared" si="97"/>
        <v>0</v>
      </c>
      <c r="I404" s="47">
        <v>1086.1813388965463</v>
      </c>
      <c r="J404" s="76">
        <v>1120124.5057370635</v>
      </c>
      <c r="K404" s="75" t="s">
        <v>16</v>
      </c>
      <c r="L404" s="48">
        <v>44652</v>
      </c>
      <c r="M404" s="57"/>
      <c r="N404" s="75"/>
      <c r="O404" s="57"/>
      <c r="P404" s="75"/>
      <c r="Q404" s="77"/>
    </row>
    <row r="405" spans="1:17">
      <c r="A405" s="75" t="s">
        <v>144</v>
      </c>
      <c r="B405" s="75" t="s">
        <v>35</v>
      </c>
      <c r="C405" s="75" t="s">
        <v>168</v>
      </c>
      <c r="D405" s="75">
        <v>1.25</v>
      </c>
      <c r="E405" s="75">
        <f>25-5-5-2</f>
        <v>13</v>
      </c>
      <c r="F405" s="75">
        <v>1</v>
      </c>
      <c r="G405" s="43">
        <f>テーブル1[[#This Row],[長さ(m)]]*テーブル1[[#This Row],[在庫(本)]]</f>
        <v>13</v>
      </c>
      <c r="H405" s="43">
        <f t="shared" si="97"/>
        <v>16.25</v>
      </c>
      <c r="I405" s="47">
        <v>1086.1813388965463</v>
      </c>
      <c r="J405" s="76">
        <v>1120124.5057370635</v>
      </c>
      <c r="K405" s="75" t="s">
        <v>16</v>
      </c>
      <c r="L405" s="48">
        <v>44652</v>
      </c>
      <c r="M405" s="57"/>
      <c r="N405" s="75"/>
      <c r="O405" s="57"/>
      <c r="P405" s="75"/>
      <c r="Q405" s="77"/>
    </row>
    <row r="406" spans="1:17">
      <c r="A406" s="75" t="s">
        <v>144</v>
      </c>
      <c r="B406" s="75" t="s">
        <v>35</v>
      </c>
      <c r="C406" s="75" t="s">
        <v>168</v>
      </c>
      <c r="D406" s="75">
        <v>1.25</v>
      </c>
      <c r="E406" s="75">
        <v>25</v>
      </c>
      <c r="F406" s="75">
        <v>1</v>
      </c>
      <c r="G406" s="43">
        <f>テーブル1[[#This Row],[長さ(m)]]*テーブル1[[#This Row],[在庫(本)]]</f>
        <v>25</v>
      </c>
      <c r="H406" s="43">
        <f t="shared" si="97"/>
        <v>31.25</v>
      </c>
      <c r="I406" s="47">
        <v>1086.1813388965463</v>
      </c>
      <c r="J406" s="76">
        <v>1120124.5057370635</v>
      </c>
      <c r="K406" s="75" t="s">
        <v>16</v>
      </c>
      <c r="L406" s="48">
        <v>44652</v>
      </c>
      <c r="M406" s="57"/>
      <c r="N406" s="75"/>
      <c r="O406" s="57"/>
      <c r="P406" s="75"/>
      <c r="Q406" s="77"/>
    </row>
    <row r="407" spans="1:17">
      <c r="A407" s="75" t="s">
        <v>233</v>
      </c>
      <c r="B407" s="75" t="s">
        <v>35</v>
      </c>
      <c r="C407" s="75" t="s">
        <v>402</v>
      </c>
      <c r="D407" s="75">
        <v>1.042</v>
      </c>
      <c r="E407" s="75">
        <f>3-0.3-0.3</f>
        <v>2.4000000000000004</v>
      </c>
      <c r="F407" s="75">
        <v>1</v>
      </c>
      <c r="G407" s="43">
        <f>テーブル1[[#This Row],[長さ(m)]]*テーブル1[[#This Row],[在庫(本)]]</f>
        <v>2.4000000000000004</v>
      </c>
      <c r="H407" s="75">
        <v>45.326999999999998</v>
      </c>
      <c r="I407" s="76">
        <v>2692.4934648095477</v>
      </c>
      <c r="J407" s="76">
        <v>122042.65127942237</v>
      </c>
      <c r="K407" s="75" t="s">
        <v>528</v>
      </c>
      <c r="L407" s="48">
        <v>44866</v>
      </c>
      <c r="M407" s="57"/>
      <c r="N407" s="75" t="s">
        <v>831</v>
      </c>
      <c r="O407" s="57" t="s">
        <v>431</v>
      </c>
      <c r="P407" s="75"/>
      <c r="Q407" s="77"/>
    </row>
    <row r="408" spans="1:17">
      <c r="A408" s="75" t="s">
        <v>682</v>
      </c>
      <c r="B408" s="75" t="s">
        <v>9</v>
      </c>
      <c r="C408" s="57" t="s">
        <v>833</v>
      </c>
      <c r="D408" s="75">
        <v>1.02</v>
      </c>
      <c r="E408" s="75">
        <v>10</v>
      </c>
      <c r="F408" s="75">
        <v>33</v>
      </c>
      <c r="G408" s="43">
        <f>テーブル1[[#This Row],[長さ(m)]]*テーブル1[[#This Row],[在庫(本)]]</f>
        <v>330</v>
      </c>
      <c r="H408" s="75">
        <f>D408*G408</f>
        <v>336.6</v>
      </c>
      <c r="I408" s="76">
        <v>2687.6329233436695</v>
      </c>
      <c r="J408" s="76">
        <f>H408*I408</f>
        <v>904657.24199747923</v>
      </c>
      <c r="K408" s="75" t="s">
        <v>832</v>
      </c>
      <c r="L408" s="48">
        <v>45139</v>
      </c>
      <c r="M408" s="57"/>
      <c r="N408" s="75"/>
      <c r="O408" s="57"/>
      <c r="P408" s="75"/>
      <c r="Q408" s="77"/>
    </row>
    <row r="409" spans="1:17">
      <c r="A409" s="75" t="s">
        <v>144</v>
      </c>
      <c r="B409" s="75" t="s">
        <v>35</v>
      </c>
      <c r="C409" s="75" t="s">
        <v>837</v>
      </c>
      <c r="D409" s="75">
        <v>1.25</v>
      </c>
      <c r="E409" s="75">
        <v>25</v>
      </c>
      <c r="F409" s="75">
        <v>4</v>
      </c>
      <c r="G409" s="75">
        <f>テーブル1[[#This Row],[長さ(m)]]*テーブル1[[#This Row],[在庫(本)]]-5-0.3</f>
        <v>94.7</v>
      </c>
      <c r="H409" s="75">
        <f>D409*G409</f>
        <v>118.375</v>
      </c>
      <c r="I409" s="76">
        <v>1107.4407684330915</v>
      </c>
      <c r="J409" s="76">
        <f>H409*I409</f>
        <v>131093.30096326722</v>
      </c>
      <c r="K409" s="75" t="s">
        <v>528</v>
      </c>
      <c r="L409" s="79">
        <v>45078</v>
      </c>
      <c r="M409" s="57"/>
      <c r="N409" s="75"/>
      <c r="O409" s="57"/>
      <c r="P409" s="75"/>
      <c r="Q409" s="77"/>
    </row>
    <row r="410" spans="1:17">
      <c r="A410" s="75" t="s">
        <v>144</v>
      </c>
      <c r="B410" s="75" t="s">
        <v>38</v>
      </c>
      <c r="C410" s="75" t="s">
        <v>838</v>
      </c>
      <c r="D410" s="75">
        <v>1.25</v>
      </c>
      <c r="E410" s="75">
        <v>25</v>
      </c>
      <c r="F410" s="75">
        <v>3</v>
      </c>
      <c r="G410" s="75">
        <f>テーブル1[[#This Row],[長さ(m)]]*テーブル1[[#This Row],[在庫(本)]]-5-0.3</f>
        <v>69.7</v>
      </c>
      <c r="H410" s="75">
        <f>D410*G410</f>
        <v>87.125</v>
      </c>
      <c r="I410" s="76">
        <v>1107.4407684330915</v>
      </c>
      <c r="J410" s="76">
        <f>H410*I410</f>
        <v>96485.776949733103</v>
      </c>
      <c r="K410" s="75" t="s">
        <v>528</v>
      </c>
      <c r="L410" s="79">
        <v>45078</v>
      </c>
      <c r="M410" s="57"/>
      <c r="N410" s="75"/>
      <c r="O410" s="57"/>
      <c r="P410" s="75"/>
      <c r="Q410" s="77"/>
    </row>
    <row r="411" spans="1:17">
      <c r="A411" s="43" t="s">
        <v>144</v>
      </c>
      <c r="B411" s="43" t="s">
        <v>38</v>
      </c>
      <c r="C411" s="43" t="s">
        <v>838</v>
      </c>
      <c r="D411" s="75">
        <v>1.25</v>
      </c>
      <c r="E411" s="43">
        <v>20</v>
      </c>
      <c r="F411" s="43">
        <v>1</v>
      </c>
      <c r="G411" s="75">
        <f>テーブル1[[#This Row],[長さ(m)]]*テーブル1[[#This Row],[在庫(本)]]</f>
        <v>20</v>
      </c>
      <c r="H411" s="43">
        <f>D411*G411</f>
        <v>25</v>
      </c>
      <c r="I411" s="47">
        <v>1107.4407684330915</v>
      </c>
      <c r="J411" s="47">
        <f>H411*I411</f>
        <v>27686.019210827289</v>
      </c>
      <c r="K411" s="75" t="s">
        <v>528</v>
      </c>
      <c r="L411" s="79">
        <v>45078</v>
      </c>
      <c r="M411" s="46"/>
      <c r="N411" s="43"/>
      <c r="O411" s="46"/>
      <c r="P411" s="43"/>
      <c r="Q411" s="71"/>
    </row>
    <row r="412" spans="1:17">
      <c r="A412" s="75" t="s">
        <v>840</v>
      </c>
      <c r="B412" s="75" t="s">
        <v>35</v>
      </c>
      <c r="C412" s="75" t="s">
        <v>839</v>
      </c>
      <c r="D412" s="75">
        <v>1.02</v>
      </c>
      <c r="E412" s="75">
        <f>7-0.2</f>
        <v>6.8</v>
      </c>
      <c r="F412" s="75">
        <v>1</v>
      </c>
      <c r="G412" s="75">
        <f>テーブル1[[#This Row],[長さ(m)]]*テーブル1[[#This Row],[在庫(本)]]</f>
        <v>6.8</v>
      </c>
      <c r="H412" s="75">
        <f>D412*G412</f>
        <v>6.9359999999999999</v>
      </c>
      <c r="I412" s="76">
        <v>2687.6329233436695</v>
      </c>
      <c r="J412" s="76">
        <f>H412*I412</f>
        <v>18641.421956311693</v>
      </c>
      <c r="K412" s="75" t="s">
        <v>528</v>
      </c>
      <c r="L412" s="79">
        <v>45139</v>
      </c>
      <c r="M412" s="57"/>
      <c r="N412" s="75"/>
      <c r="O412" s="57"/>
      <c r="P412" s="75"/>
      <c r="Q412" s="77"/>
    </row>
    <row r="413" spans="1:17">
      <c r="A413" s="49" t="s">
        <v>21</v>
      </c>
      <c r="B413" s="50" t="s">
        <v>13</v>
      </c>
      <c r="C413" s="50" t="s">
        <v>22</v>
      </c>
      <c r="D413" s="54">
        <v>1.042</v>
      </c>
      <c r="E413" s="54">
        <v>5</v>
      </c>
      <c r="F413" s="54">
        <v>1</v>
      </c>
      <c r="G413" s="49">
        <f>テーブル1[[#This Row],[長さ(m)]]*テーブル1[[#This Row],[在庫(本)]]</f>
        <v>5</v>
      </c>
      <c r="H413" s="49">
        <v>25.737400000000004</v>
      </c>
      <c r="I413" s="53">
        <v>3845.033368655626</v>
      </c>
      <c r="J413" s="53">
        <v>98961.161822437323</v>
      </c>
      <c r="K413" s="49" t="s">
        <v>528</v>
      </c>
      <c r="L413" s="55">
        <v>44562</v>
      </c>
      <c r="M413" s="55"/>
      <c r="N413" s="43" t="s">
        <v>180</v>
      </c>
      <c r="O413" s="46" t="s">
        <v>431</v>
      </c>
      <c r="P413" s="43"/>
      <c r="Q413" s="43"/>
    </row>
    <row r="414" spans="1:17">
      <c r="A414" s="43"/>
      <c r="B414" s="43"/>
      <c r="C414" s="43" t="s">
        <v>841</v>
      </c>
      <c r="D414" s="43">
        <v>1.28</v>
      </c>
      <c r="E414" s="43">
        <v>980</v>
      </c>
      <c r="F414" s="43">
        <v>1</v>
      </c>
      <c r="G414" s="43">
        <f>テーブル1[[#This Row],[長さ(m)]]*テーブル1[[#This Row],[在庫(本)]]</f>
        <v>980</v>
      </c>
      <c r="H414" s="43">
        <f t="shared" ref="H414:H415" si="99">D414*G414</f>
        <v>1254.4000000000001</v>
      </c>
      <c r="I414" s="47">
        <v>674.2920918367347</v>
      </c>
      <c r="J414" s="47">
        <f t="shared" ref="J414:J415" si="100">H414*I414</f>
        <v>845832.00000000012</v>
      </c>
      <c r="K414" s="43" t="s">
        <v>39</v>
      </c>
      <c r="L414" s="48">
        <v>45139</v>
      </c>
      <c r="M414" s="46"/>
      <c r="N414" s="43"/>
      <c r="O414" s="46"/>
      <c r="P414" s="43"/>
      <c r="Q414" s="71" t="s">
        <v>843</v>
      </c>
    </row>
    <row r="415" spans="1:17">
      <c r="A415" s="75"/>
      <c r="B415" s="75"/>
      <c r="C415" s="75" t="s">
        <v>842</v>
      </c>
      <c r="D415" s="75">
        <v>1.28</v>
      </c>
      <c r="E415" s="75">
        <v>1020</v>
      </c>
      <c r="F415" s="75">
        <v>1</v>
      </c>
      <c r="G415" s="75">
        <f>テーブル1[[#This Row],[長さ(m)]]*テーブル1[[#This Row],[在庫(本)]]</f>
        <v>1020</v>
      </c>
      <c r="H415" s="75">
        <f t="shared" si="99"/>
        <v>1305.6000000000001</v>
      </c>
      <c r="I415" s="76">
        <v>796.23297489914</v>
      </c>
      <c r="J415" s="76">
        <f t="shared" si="100"/>
        <v>1039561.7720283173</v>
      </c>
      <c r="K415" s="75" t="s">
        <v>39</v>
      </c>
      <c r="L415" s="48">
        <v>45139</v>
      </c>
      <c r="M415" s="57"/>
      <c r="N415" s="75"/>
      <c r="O415" s="57"/>
      <c r="P415" s="75"/>
      <c r="Q415" s="77" t="s">
        <v>843</v>
      </c>
    </row>
    <row r="416" spans="1:17">
      <c r="A416" s="43" t="s">
        <v>863</v>
      </c>
      <c r="B416" s="75" t="s">
        <v>35</v>
      </c>
      <c r="C416" s="43" t="s">
        <v>844</v>
      </c>
      <c r="D416" s="43">
        <v>1.04</v>
      </c>
      <c r="E416" s="43">
        <v>10</v>
      </c>
      <c r="F416" s="43">
        <v>1</v>
      </c>
      <c r="G416" s="75">
        <f>テーブル1[[#This Row],[長さ(m)]]*テーブル1[[#This Row],[在庫(本)]]</f>
        <v>10</v>
      </c>
      <c r="H416" s="43">
        <f t="shared" ref="H416:H434" si="101">D416*G416</f>
        <v>10.4</v>
      </c>
      <c r="I416" s="47">
        <v>2947.027532921571</v>
      </c>
      <c r="J416" s="47">
        <f t="shared" ref="J416:J434" si="102">H416*I416</f>
        <v>30649.08634238434</v>
      </c>
      <c r="K416" s="43" t="s">
        <v>17</v>
      </c>
      <c r="L416" s="46"/>
      <c r="M416" s="46"/>
      <c r="N416" s="43"/>
      <c r="O416" s="46"/>
      <c r="P416" s="43"/>
      <c r="Q416" s="71"/>
    </row>
    <row r="417" spans="1:17">
      <c r="A417" s="43" t="s">
        <v>863</v>
      </c>
      <c r="B417" s="75" t="s">
        <v>35</v>
      </c>
      <c r="C417" s="43" t="s">
        <v>845</v>
      </c>
      <c r="D417" s="43">
        <v>1.04</v>
      </c>
      <c r="E417" s="43">
        <v>43</v>
      </c>
      <c r="F417" s="43">
        <v>1</v>
      </c>
      <c r="G417" s="75">
        <f>テーブル1[[#This Row],[長さ(m)]]*テーブル1[[#This Row],[在庫(本)]]</f>
        <v>43</v>
      </c>
      <c r="H417" s="43">
        <f t="shared" si="101"/>
        <v>44.72</v>
      </c>
      <c r="I417" s="47">
        <v>2947.0275329215715</v>
      </c>
      <c r="J417" s="47">
        <f t="shared" si="102"/>
        <v>131791.07127225268</v>
      </c>
      <c r="K417" s="43" t="s">
        <v>17</v>
      </c>
      <c r="L417" s="46"/>
      <c r="M417" s="46"/>
      <c r="N417" s="43"/>
      <c r="O417" s="46"/>
      <c r="P417" s="43"/>
      <c r="Q417" s="71"/>
    </row>
    <row r="418" spans="1:17">
      <c r="A418" s="43" t="s">
        <v>863</v>
      </c>
      <c r="B418" s="75" t="s">
        <v>35</v>
      </c>
      <c r="C418" s="43" t="s">
        <v>846</v>
      </c>
      <c r="D418" s="43">
        <v>1.04</v>
      </c>
      <c r="E418" s="43">
        <f>50-50</f>
        <v>0</v>
      </c>
      <c r="F418" s="43">
        <f>1-1</f>
        <v>0</v>
      </c>
      <c r="G418" s="75">
        <f>テーブル1[[#This Row],[長さ(m)]]*テーブル1[[#This Row],[在庫(本)]]</f>
        <v>0</v>
      </c>
      <c r="H418" s="43">
        <f t="shared" si="101"/>
        <v>0</v>
      </c>
      <c r="I418" s="47">
        <v>2947.027532921571</v>
      </c>
      <c r="J418" s="47">
        <f t="shared" si="102"/>
        <v>0</v>
      </c>
      <c r="K418" s="43" t="s">
        <v>17</v>
      </c>
      <c r="L418" s="46"/>
      <c r="M418" s="46"/>
      <c r="N418" s="43"/>
      <c r="O418" s="46"/>
      <c r="P418" s="43"/>
      <c r="Q418" s="71"/>
    </row>
    <row r="419" spans="1:17">
      <c r="A419" s="43" t="s">
        <v>863</v>
      </c>
      <c r="B419" s="75" t="s">
        <v>35</v>
      </c>
      <c r="C419" s="43" t="s">
        <v>847</v>
      </c>
      <c r="D419" s="43">
        <v>1.04</v>
      </c>
      <c r="E419" s="43">
        <f t="shared" ref="E419:E426" si="103">50-50</f>
        <v>0</v>
      </c>
      <c r="F419" s="43">
        <f t="shared" ref="F419:F426" si="104">1-1</f>
        <v>0</v>
      </c>
      <c r="G419" s="75">
        <f>テーブル1[[#This Row],[長さ(m)]]*テーブル1[[#This Row],[在庫(本)]]</f>
        <v>0</v>
      </c>
      <c r="H419" s="43">
        <f t="shared" si="101"/>
        <v>0</v>
      </c>
      <c r="I419" s="47">
        <v>2947.027532921571</v>
      </c>
      <c r="J419" s="47">
        <f t="shared" si="102"/>
        <v>0</v>
      </c>
      <c r="K419" s="43" t="s">
        <v>17</v>
      </c>
      <c r="L419" s="46"/>
      <c r="M419" s="46"/>
      <c r="N419" s="43"/>
      <c r="O419" s="46"/>
      <c r="P419" s="43"/>
      <c r="Q419" s="71"/>
    </row>
    <row r="420" spans="1:17">
      <c r="A420" s="43" t="s">
        <v>863</v>
      </c>
      <c r="B420" s="75" t="s">
        <v>35</v>
      </c>
      <c r="C420" s="43" t="s">
        <v>848</v>
      </c>
      <c r="D420" s="43">
        <v>1.04</v>
      </c>
      <c r="E420" s="43">
        <f t="shared" si="103"/>
        <v>0</v>
      </c>
      <c r="F420" s="43">
        <f t="shared" si="104"/>
        <v>0</v>
      </c>
      <c r="G420" s="75">
        <f>テーブル1[[#This Row],[長さ(m)]]*テーブル1[[#This Row],[在庫(本)]]</f>
        <v>0</v>
      </c>
      <c r="H420" s="43">
        <f t="shared" si="101"/>
        <v>0</v>
      </c>
      <c r="I420" s="47">
        <v>2947.027532921571</v>
      </c>
      <c r="J420" s="47">
        <f t="shared" si="102"/>
        <v>0</v>
      </c>
      <c r="K420" s="43" t="s">
        <v>17</v>
      </c>
      <c r="L420" s="46"/>
      <c r="M420" s="46"/>
      <c r="N420" s="43"/>
      <c r="O420" s="46"/>
      <c r="P420" s="43"/>
      <c r="Q420" s="71"/>
    </row>
    <row r="421" spans="1:17">
      <c r="A421" s="43" t="s">
        <v>863</v>
      </c>
      <c r="B421" s="75" t="s">
        <v>35</v>
      </c>
      <c r="C421" s="43" t="s">
        <v>849</v>
      </c>
      <c r="D421" s="43">
        <v>1.04</v>
      </c>
      <c r="E421" s="43">
        <f t="shared" si="103"/>
        <v>0</v>
      </c>
      <c r="F421" s="43">
        <f t="shared" si="104"/>
        <v>0</v>
      </c>
      <c r="G421" s="75">
        <f>テーブル1[[#This Row],[長さ(m)]]*テーブル1[[#This Row],[在庫(本)]]</f>
        <v>0</v>
      </c>
      <c r="H421" s="43">
        <f t="shared" si="101"/>
        <v>0</v>
      </c>
      <c r="I421" s="47">
        <v>2947.027532921571</v>
      </c>
      <c r="J421" s="47">
        <f t="shared" si="102"/>
        <v>0</v>
      </c>
      <c r="K421" s="43" t="s">
        <v>17</v>
      </c>
      <c r="L421" s="46"/>
      <c r="M421" s="46"/>
      <c r="N421" s="43"/>
      <c r="O421" s="46"/>
      <c r="P421" s="43"/>
      <c r="Q421" s="71"/>
    </row>
    <row r="422" spans="1:17">
      <c r="A422" s="43" t="s">
        <v>863</v>
      </c>
      <c r="B422" s="75" t="s">
        <v>35</v>
      </c>
      <c r="C422" s="43" t="s">
        <v>850</v>
      </c>
      <c r="D422" s="43">
        <v>1.04</v>
      </c>
      <c r="E422" s="43">
        <f t="shared" si="103"/>
        <v>0</v>
      </c>
      <c r="F422" s="43">
        <f t="shared" si="104"/>
        <v>0</v>
      </c>
      <c r="G422" s="75">
        <f>テーブル1[[#This Row],[長さ(m)]]*テーブル1[[#This Row],[在庫(本)]]</f>
        <v>0</v>
      </c>
      <c r="H422" s="43">
        <f t="shared" si="101"/>
        <v>0</v>
      </c>
      <c r="I422" s="47">
        <v>2947.027532921571</v>
      </c>
      <c r="J422" s="47">
        <f t="shared" si="102"/>
        <v>0</v>
      </c>
      <c r="K422" s="43" t="s">
        <v>17</v>
      </c>
      <c r="L422" s="46"/>
      <c r="M422" s="46"/>
      <c r="N422" s="43"/>
      <c r="O422" s="46"/>
      <c r="P422" s="43"/>
      <c r="Q422" s="71"/>
    </row>
    <row r="423" spans="1:17">
      <c r="A423" s="43" t="s">
        <v>863</v>
      </c>
      <c r="B423" s="75" t="s">
        <v>35</v>
      </c>
      <c r="C423" s="43" t="s">
        <v>851</v>
      </c>
      <c r="D423" s="43">
        <v>1.04</v>
      </c>
      <c r="E423" s="43">
        <f t="shared" si="103"/>
        <v>0</v>
      </c>
      <c r="F423" s="43">
        <f t="shared" si="104"/>
        <v>0</v>
      </c>
      <c r="G423" s="75">
        <f>テーブル1[[#This Row],[長さ(m)]]*テーブル1[[#This Row],[在庫(本)]]</f>
        <v>0</v>
      </c>
      <c r="H423" s="43">
        <f t="shared" si="101"/>
        <v>0</v>
      </c>
      <c r="I423" s="47">
        <v>2947.027532921571</v>
      </c>
      <c r="J423" s="47">
        <f t="shared" si="102"/>
        <v>0</v>
      </c>
      <c r="K423" s="43" t="s">
        <v>17</v>
      </c>
      <c r="L423" s="46"/>
      <c r="M423" s="46"/>
      <c r="N423" s="43"/>
      <c r="O423" s="46"/>
      <c r="P423" s="43"/>
      <c r="Q423" s="71"/>
    </row>
    <row r="424" spans="1:17">
      <c r="A424" s="43" t="s">
        <v>863</v>
      </c>
      <c r="B424" s="75" t="s">
        <v>35</v>
      </c>
      <c r="C424" s="43" t="s">
        <v>852</v>
      </c>
      <c r="D424" s="43">
        <v>1.04</v>
      </c>
      <c r="E424" s="43">
        <f t="shared" si="103"/>
        <v>0</v>
      </c>
      <c r="F424" s="43">
        <f t="shared" si="104"/>
        <v>0</v>
      </c>
      <c r="G424" s="75">
        <f>テーブル1[[#This Row],[長さ(m)]]*テーブル1[[#This Row],[在庫(本)]]</f>
        <v>0</v>
      </c>
      <c r="H424" s="43">
        <f t="shared" si="101"/>
        <v>0</v>
      </c>
      <c r="I424" s="47">
        <v>2947.027532921571</v>
      </c>
      <c r="J424" s="47">
        <f t="shared" si="102"/>
        <v>0</v>
      </c>
      <c r="K424" s="43" t="s">
        <v>17</v>
      </c>
      <c r="L424" s="46"/>
      <c r="M424" s="46"/>
      <c r="N424" s="43"/>
      <c r="O424" s="46"/>
      <c r="P424" s="43"/>
      <c r="Q424" s="71"/>
    </row>
    <row r="425" spans="1:17">
      <c r="A425" s="43" t="s">
        <v>863</v>
      </c>
      <c r="B425" s="75" t="s">
        <v>35</v>
      </c>
      <c r="C425" s="43" t="s">
        <v>853</v>
      </c>
      <c r="D425" s="43">
        <v>1.04</v>
      </c>
      <c r="E425" s="43">
        <f t="shared" si="103"/>
        <v>0</v>
      </c>
      <c r="F425" s="43">
        <f t="shared" si="104"/>
        <v>0</v>
      </c>
      <c r="G425" s="75">
        <f>テーブル1[[#This Row],[長さ(m)]]*テーブル1[[#This Row],[在庫(本)]]</f>
        <v>0</v>
      </c>
      <c r="H425" s="43">
        <f t="shared" si="101"/>
        <v>0</v>
      </c>
      <c r="I425" s="47">
        <v>2947.027532921571</v>
      </c>
      <c r="J425" s="47">
        <f t="shared" si="102"/>
        <v>0</v>
      </c>
      <c r="K425" s="43" t="s">
        <v>17</v>
      </c>
      <c r="L425" s="46"/>
      <c r="M425" s="46"/>
      <c r="N425" s="43"/>
      <c r="O425" s="46"/>
      <c r="P425" s="43"/>
      <c r="Q425" s="71"/>
    </row>
    <row r="426" spans="1:17">
      <c r="A426" s="43" t="s">
        <v>863</v>
      </c>
      <c r="B426" s="75" t="s">
        <v>35</v>
      </c>
      <c r="C426" s="43" t="s">
        <v>854</v>
      </c>
      <c r="D426" s="43">
        <v>1.04</v>
      </c>
      <c r="E426" s="43">
        <f t="shared" si="103"/>
        <v>0</v>
      </c>
      <c r="F426" s="43">
        <f t="shared" si="104"/>
        <v>0</v>
      </c>
      <c r="G426" s="75">
        <f>テーブル1[[#This Row],[長さ(m)]]*テーブル1[[#This Row],[在庫(本)]]</f>
        <v>0</v>
      </c>
      <c r="H426" s="43">
        <f t="shared" si="101"/>
        <v>0</v>
      </c>
      <c r="I426" s="47">
        <v>2947.027532921571</v>
      </c>
      <c r="J426" s="47">
        <f t="shared" si="102"/>
        <v>0</v>
      </c>
      <c r="K426" s="43" t="s">
        <v>17</v>
      </c>
      <c r="L426" s="46"/>
      <c r="M426" s="46"/>
      <c r="N426" s="43"/>
      <c r="O426" s="46"/>
      <c r="P426" s="43"/>
      <c r="Q426" s="71"/>
    </row>
    <row r="427" spans="1:17">
      <c r="A427" s="43" t="s">
        <v>863</v>
      </c>
      <c r="B427" s="75" t="s">
        <v>35</v>
      </c>
      <c r="C427" s="43" t="s">
        <v>855</v>
      </c>
      <c r="D427" s="43">
        <v>1.04</v>
      </c>
      <c r="E427" s="43">
        <v>48</v>
      </c>
      <c r="F427" s="43">
        <v>1</v>
      </c>
      <c r="G427" s="75">
        <f>テーブル1[[#This Row],[長さ(m)]]*テーブル1[[#This Row],[在庫(本)]]</f>
        <v>48</v>
      </c>
      <c r="H427" s="43">
        <f t="shared" si="101"/>
        <v>49.92</v>
      </c>
      <c r="I427" s="47">
        <v>2947.0275329215715</v>
      </c>
      <c r="J427" s="47">
        <f t="shared" si="102"/>
        <v>147115.61444344485</v>
      </c>
      <c r="K427" s="43" t="s">
        <v>17</v>
      </c>
      <c r="L427" s="46"/>
      <c r="M427" s="46"/>
      <c r="N427" s="43"/>
      <c r="O427" s="46"/>
      <c r="P427" s="43"/>
      <c r="Q427" s="71"/>
    </row>
    <row r="428" spans="1:17">
      <c r="A428" s="43" t="s">
        <v>863</v>
      </c>
      <c r="B428" s="75" t="s">
        <v>35</v>
      </c>
      <c r="C428" s="43" t="s">
        <v>856</v>
      </c>
      <c r="D428" s="43">
        <v>1.04</v>
      </c>
      <c r="E428" s="43">
        <f>20-20</f>
        <v>0</v>
      </c>
      <c r="F428" s="43">
        <f>1-1</f>
        <v>0</v>
      </c>
      <c r="G428" s="75">
        <f>テーブル1[[#This Row],[長さ(m)]]*テーブル1[[#This Row],[在庫(本)]]</f>
        <v>0</v>
      </c>
      <c r="H428" s="43">
        <f t="shared" si="101"/>
        <v>0</v>
      </c>
      <c r="I428" s="47">
        <v>2947.027532921571</v>
      </c>
      <c r="J428" s="47">
        <f t="shared" si="102"/>
        <v>0</v>
      </c>
      <c r="K428" s="43" t="s">
        <v>17</v>
      </c>
      <c r="L428" s="46"/>
      <c r="M428" s="46"/>
      <c r="N428" s="43"/>
      <c r="O428" s="46"/>
      <c r="P428" s="43"/>
      <c r="Q428" s="71"/>
    </row>
    <row r="429" spans="1:17">
      <c r="A429" s="43" t="s">
        <v>863</v>
      </c>
      <c r="B429" s="75" t="s">
        <v>35</v>
      </c>
      <c r="C429" s="43" t="s">
        <v>857</v>
      </c>
      <c r="D429" s="43">
        <v>1.04</v>
      </c>
      <c r="E429" s="43">
        <v>50</v>
      </c>
      <c r="F429" s="43">
        <v>1</v>
      </c>
      <c r="G429" s="75">
        <f>テーブル1[[#This Row],[長さ(m)]]*テーブル1[[#This Row],[在庫(本)]]</f>
        <v>50</v>
      </c>
      <c r="H429" s="43">
        <f t="shared" si="101"/>
        <v>52</v>
      </c>
      <c r="I429" s="47">
        <v>2947.027532921571</v>
      </c>
      <c r="J429" s="47">
        <f t="shared" si="102"/>
        <v>153245.4317119217</v>
      </c>
      <c r="K429" s="43" t="s">
        <v>17</v>
      </c>
      <c r="L429" s="46"/>
      <c r="M429" s="46"/>
      <c r="N429" s="43"/>
      <c r="O429" s="46"/>
      <c r="P429" s="43"/>
      <c r="Q429" s="71"/>
    </row>
    <row r="430" spans="1:17">
      <c r="A430" s="43" t="s">
        <v>863</v>
      </c>
      <c r="B430" s="75" t="s">
        <v>35</v>
      </c>
      <c r="C430" s="43" t="s">
        <v>858</v>
      </c>
      <c r="D430" s="43">
        <v>1.04</v>
      </c>
      <c r="E430" s="43">
        <v>50</v>
      </c>
      <c r="F430" s="43">
        <v>1</v>
      </c>
      <c r="G430" s="75">
        <f>テーブル1[[#This Row],[長さ(m)]]*テーブル1[[#This Row],[在庫(本)]]</f>
        <v>50</v>
      </c>
      <c r="H430" s="43">
        <f t="shared" si="101"/>
        <v>52</v>
      </c>
      <c r="I430" s="47">
        <v>2947.027532921571</v>
      </c>
      <c r="J430" s="47">
        <f t="shared" si="102"/>
        <v>153245.4317119217</v>
      </c>
      <c r="K430" s="43" t="s">
        <v>17</v>
      </c>
      <c r="L430" s="46"/>
      <c r="M430" s="46"/>
      <c r="N430" s="43"/>
      <c r="O430" s="46"/>
      <c r="P430" s="43"/>
      <c r="Q430" s="71"/>
    </row>
    <row r="431" spans="1:17">
      <c r="A431" s="43" t="s">
        <v>863</v>
      </c>
      <c r="B431" s="75" t="s">
        <v>35</v>
      </c>
      <c r="C431" s="43" t="s">
        <v>859</v>
      </c>
      <c r="D431" s="43">
        <v>1.04</v>
      </c>
      <c r="E431" s="43">
        <v>50</v>
      </c>
      <c r="F431" s="43">
        <v>1</v>
      </c>
      <c r="G431" s="75">
        <f>テーブル1[[#This Row],[長さ(m)]]*テーブル1[[#This Row],[在庫(本)]]</f>
        <v>50</v>
      </c>
      <c r="H431" s="43">
        <f t="shared" si="101"/>
        <v>52</v>
      </c>
      <c r="I431" s="47">
        <v>2947.027532921571</v>
      </c>
      <c r="J431" s="47">
        <f t="shared" si="102"/>
        <v>153245.4317119217</v>
      </c>
      <c r="K431" s="43" t="s">
        <v>17</v>
      </c>
      <c r="L431" s="46"/>
      <c r="M431" s="46"/>
      <c r="N431" s="43"/>
      <c r="O431" s="46"/>
      <c r="P431" s="43"/>
      <c r="Q431" s="71"/>
    </row>
    <row r="432" spans="1:17">
      <c r="A432" s="43" t="s">
        <v>863</v>
      </c>
      <c r="B432" s="75" t="s">
        <v>35</v>
      </c>
      <c r="C432" s="43" t="s">
        <v>860</v>
      </c>
      <c r="D432" s="43">
        <v>1.04</v>
      </c>
      <c r="E432" s="43">
        <v>50</v>
      </c>
      <c r="F432" s="43">
        <v>1</v>
      </c>
      <c r="G432" s="75">
        <f>テーブル1[[#This Row],[長さ(m)]]*テーブル1[[#This Row],[在庫(本)]]</f>
        <v>50</v>
      </c>
      <c r="H432" s="43">
        <f t="shared" si="101"/>
        <v>52</v>
      </c>
      <c r="I432" s="47">
        <v>2947.027532921571</v>
      </c>
      <c r="J432" s="47">
        <f t="shared" si="102"/>
        <v>153245.4317119217</v>
      </c>
      <c r="K432" s="43" t="s">
        <v>17</v>
      </c>
      <c r="L432" s="46"/>
      <c r="M432" s="46"/>
      <c r="N432" s="43"/>
      <c r="O432" s="46"/>
      <c r="P432" s="43"/>
      <c r="Q432" s="71"/>
    </row>
    <row r="433" spans="1:17">
      <c r="A433" s="43" t="s">
        <v>863</v>
      </c>
      <c r="B433" s="75" t="s">
        <v>35</v>
      </c>
      <c r="C433" s="43" t="s">
        <v>861</v>
      </c>
      <c r="D433" s="43">
        <v>1.04</v>
      </c>
      <c r="E433" s="43">
        <v>50</v>
      </c>
      <c r="F433" s="43">
        <v>1</v>
      </c>
      <c r="G433" s="75">
        <f>テーブル1[[#This Row],[長さ(m)]]*テーブル1[[#This Row],[在庫(本)]]</f>
        <v>50</v>
      </c>
      <c r="H433" s="43">
        <f t="shared" si="101"/>
        <v>52</v>
      </c>
      <c r="I433" s="47">
        <v>2947.027532921571</v>
      </c>
      <c r="J433" s="47">
        <f t="shared" si="102"/>
        <v>153245.4317119217</v>
      </c>
      <c r="K433" s="43" t="s">
        <v>17</v>
      </c>
      <c r="L433" s="46"/>
      <c r="M433" s="46"/>
      <c r="N433" s="43"/>
      <c r="O433" s="46"/>
      <c r="P433" s="43"/>
      <c r="Q433" s="71"/>
    </row>
    <row r="434" spans="1:17">
      <c r="A434" s="75" t="s">
        <v>863</v>
      </c>
      <c r="B434" s="75" t="s">
        <v>35</v>
      </c>
      <c r="C434" s="75" t="s">
        <v>862</v>
      </c>
      <c r="D434" s="75">
        <v>1.04</v>
      </c>
      <c r="E434" s="75">
        <v>40</v>
      </c>
      <c r="F434" s="43">
        <v>1</v>
      </c>
      <c r="G434" s="75">
        <f>テーブル1[[#This Row],[長さ(m)]]*テーブル1[[#This Row],[在庫(本)]]</f>
        <v>40</v>
      </c>
      <c r="H434" s="75">
        <f t="shared" si="101"/>
        <v>41.6</v>
      </c>
      <c r="I434" s="76">
        <v>2947.027532921571</v>
      </c>
      <c r="J434" s="76">
        <f t="shared" si="102"/>
        <v>122596.34536953736</v>
      </c>
      <c r="K434" s="43" t="s">
        <v>17</v>
      </c>
      <c r="L434" s="57"/>
      <c r="M434" s="57"/>
      <c r="N434" s="75"/>
      <c r="O434" s="57"/>
      <c r="P434" s="75"/>
      <c r="Q434" s="77"/>
    </row>
    <row r="435" spans="1:17">
      <c r="A435" s="75" t="s">
        <v>491</v>
      </c>
      <c r="B435" s="75" t="s">
        <v>35</v>
      </c>
      <c r="C435" s="75" t="s">
        <v>864</v>
      </c>
      <c r="D435" s="75">
        <v>1.2</v>
      </c>
      <c r="E435" s="75">
        <f>50-50</f>
        <v>0</v>
      </c>
      <c r="F435" s="43">
        <f>1-1</f>
        <v>0</v>
      </c>
      <c r="G435" s="75">
        <f>テーブル1[[#This Row],[長さ(m)]]</f>
        <v>0</v>
      </c>
      <c r="H435" s="75">
        <f>D435*G435</f>
        <v>0</v>
      </c>
      <c r="I435" s="76"/>
      <c r="J435" s="76">
        <f>H435*I435</f>
        <v>0</v>
      </c>
      <c r="K435" s="75" t="s">
        <v>18</v>
      </c>
      <c r="L435" s="57"/>
      <c r="M435" s="57"/>
      <c r="N435" s="75"/>
      <c r="O435" s="57"/>
      <c r="P435" s="75"/>
      <c r="Q435" s="77"/>
    </row>
    <row r="436" spans="1:17">
      <c r="A436" s="43" t="s">
        <v>491</v>
      </c>
      <c r="B436" s="43" t="s">
        <v>35</v>
      </c>
      <c r="C436" s="75" t="s">
        <v>865</v>
      </c>
      <c r="D436" s="43">
        <v>1.2</v>
      </c>
      <c r="E436" s="43">
        <v>50</v>
      </c>
      <c r="F436" s="43">
        <v>1</v>
      </c>
      <c r="G436" s="43">
        <f>テーブル1[[#This Row],[長さ(m)]]</f>
        <v>50</v>
      </c>
      <c r="H436" s="43">
        <f t="shared" ref="H436:H440" si="105">D436*G436</f>
        <v>60</v>
      </c>
      <c r="I436" s="47"/>
      <c r="J436" s="47">
        <f t="shared" ref="J436:J440" si="106">H436*I436</f>
        <v>0</v>
      </c>
      <c r="K436" s="75" t="s">
        <v>18</v>
      </c>
      <c r="L436" s="46"/>
      <c r="M436" s="46"/>
      <c r="N436" s="43"/>
      <c r="O436" s="46"/>
      <c r="P436" s="43"/>
      <c r="Q436" s="71"/>
    </row>
    <row r="437" spans="1:17">
      <c r="A437" s="43" t="s">
        <v>491</v>
      </c>
      <c r="B437" s="43" t="s">
        <v>35</v>
      </c>
      <c r="C437" s="75" t="s">
        <v>866</v>
      </c>
      <c r="D437" s="43">
        <v>1.2</v>
      </c>
      <c r="E437" s="43">
        <v>50</v>
      </c>
      <c r="F437" s="43">
        <v>1</v>
      </c>
      <c r="G437" s="43">
        <f>テーブル1[[#This Row],[長さ(m)]]</f>
        <v>50</v>
      </c>
      <c r="H437" s="43">
        <f t="shared" si="105"/>
        <v>60</v>
      </c>
      <c r="I437" s="47"/>
      <c r="J437" s="47">
        <f t="shared" si="106"/>
        <v>0</v>
      </c>
      <c r="K437" s="75" t="s">
        <v>18</v>
      </c>
      <c r="L437" s="46"/>
      <c r="M437" s="46"/>
      <c r="N437" s="43"/>
      <c r="O437" s="46"/>
      <c r="P437" s="43"/>
      <c r="Q437" s="71"/>
    </row>
    <row r="438" spans="1:17">
      <c r="A438" s="43" t="s">
        <v>491</v>
      </c>
      <c r="B438" s="43" t="s">
        <v>35</v>
      </c>
      <c r="C438" s="43" t="s">
        <v>867</v>
      </c>
      <c r="D438" s="43">
        <v>1.2</v>
      </c>
      <c r="E438" s="43">
        <v>50</v>
      </c>
      <c r="F438" s="43">
        <v>1</v>
      </c>
      <c r="G438" s="43">
        <f>テーブル1[[#This Row],[長さ(m)]]</f>
        <v>50</v>
      </c>
      <c r="H438" s="43">
        <f t="shared" si="105"/>
        <v>60</v>
      </c>
      <c r="I438" s="47"/>
      <c r="J438" s="47">
        <f t="shared" si="106"/>
        <v>0</v>
      </c>
      <c r="K438" s="75" t="s">
        <v>18</v>
      </c>
      <c r="L438" s="46"/>
      <c r="M438" s="46"/>
      <c r="N438" s="43"/>
      <c r="O438" s="46"/>
      <c r="P438" s="43"/>
      <c r="Q438" s="71"/>
    </row>
    <row r="439" spans="1:17">
      <c r="A439" s="43" t="s">
        <v>491</v>
      </c>
      <c r="B439" s="43" t="s">
        <v>35</v>
      </c>
      <c r="C439" s="43" t="s">
        <v>868</v>
      </c>
      <c r="D439" s="43">
        <v>1.2</v>
      </c>
      <c r="E439" s="43">
        <v>50</v>
      </c>
      <c r="F439" s="43">
        <v>1</v>
      </c>
      <c r="G439" s="43">
        <f>テーブル1[[#This Row],[長さ(m)]]</f>
        <v>50</v>
      </c>
      <c r="H439" s="43">
        <f t="shared" si="105"/>
        <v>60</v>
      </c>
      <c r="I439" s="47"/>
      <c r="J439" s="47">
        <f t="shared" si="106"/>
        <v>0</v>
      </c>
      <c r="K439" s="75" t="s">
        <v>18</v>
      </c>
      <c r="L439" s="46"/>
      <c r="M439" s="46"/>
      <c r="N439" s="43"/>
      <c r="O439" s="46"/>
      <c r="P439" s="43"/>
      <c r="Q439" s="71"/>
    </row>
    <row r="440" spans="1:17">
      <c r="A440" s="75" t="s">
        <v>491</v>
      </c>
      <c r="B440" s="75" t="s">
        <v>35</v>
      </c>
      <c r="C440" s="43" t="s">
        <v>869</v>
      </c>
      <c r="D440" s="75">
        <v>1.2</v>
      </c>
      <c r="E440" s="75">
        <v>50</v>
      </c>
      <c r="F440" s="43">
        <v>1</v>
      </c>
      <c r="G440" s="43">
        <f>テーブル1[[#This Row],[長さ(m)]]</f>
        <v>50</v>
      </c>
      <c r="H440" s="75">
        <f t="shared" si="105"/>
        <v>60</v>
      </c>
      <c r="I440" s="76"/>
      <c r="J440" s="76">
        <f t="shared" si="106"/>
        <v>0</v>
      </c>
      <c r="K440" s="75" t="s">
        <v>18</v>
      </c>
      <c r="L440" s="57"/>
      <c r="M440" s="57"/>
      <c r="N440" s="75"/>
      <c r="O440" s="57"/>
      <c r="P440" s="75"/>
      <c r="Q440" s="77"/>
    </row>
    <row r="441" spans="1:17">
      <c r="A441" s="43" t="s">
        <v>395</v>
      </c>
      <c r="B441" s="43" t="s">
        <v>874</v>
      </c>
      <c r="C441" s="43" t="s">
        <v>870</v>
      </c>
      <c r="D441" s="43">
        <v>1.1499999999999999</v>
      </c>
      <c r="E441" s="43">
        <v>5</v>
      </c>
      <c r="F441" s="43">
        <v>1</v>
      </c>
      <c r="G441" s="43">
        <f>テーブル1[[#This Row],[長さ(m)]]</f>
        <v>5</v>
      </c>
      <c r="H441" s="43">
        <f t="shared" ref="H441:H444" si="107">D441*G441</f>
        <v>5.75</v>
      </c>
      <c r="I441" s="47"/>
      <c r="J441" s="47">
        <f t="shared" ref="J441:J444" si="108">H441*I441</f>
        <v>0</v>
      </c>
      <c r="K441" s="75" t="s">
        <v>18</v>
      </c>
      <c r="L441" s="46"/>
      <c r="M441" s="46"/>
      <c r="N441" s="43"/>
      <c r="O441" s="46"/>
      <c r="P441" s="43"/>
      <c r="Q441" s="71"/>
    </row>
    <row r="442" spans="1:17">
      <c r="A442" s="43" t="s">
        <v>395</v>
      </c>
      <c r="B442" s="43" t="s">
        <v>874</v>
      </c>
      <c r="C442" s="43" t="s">
        <v>871</v>
      </c>
      <c r="D442" s="43">
        <v>1.1499999999999999</v>
      </c>
      <c r="E442" s="43">
        <v>14</v>
      </c>
      <c r="F442" s="43">
        <v>1</v>
      </c>
      <c r="G442" s="43">
        <f>テーブル1[[#This Row],[長さ(m)]]</f>
        <v>14</v>
      </c>
      <c r="H442" s="43">
        <f t="shared" si="107"/>
        <v>16.099999999999998</v>
      </c>
      <c r="I442" s="47"/>
      <c r="J442" s="47">
        <f t="shared" si="108"/>
        <v>0</v>
      </c>
      <c r="K442" s="75" t="s">
        <v>18</v>
      </c>
      <c r="L442" s="46"/>
      <c r="M442" s="46"/>
      <c r="N442" s="43"/>
      <c r="O442" s="46"/>
      <c r="P442" s="43"/>
      <c r="Q442" s="71"/>
    </row>
    <row r="443" spans="1:17">
      <c r="A443" s="43" t="s">
        <v>395</v>
      </c>
      <c r="B443" s="43" t="s">
        <v>874</v>
      </c>
      <c r="C443" s="43" t="s">
        <v>872</v>
      </c>
      <c r="D443" s="43">
        <v>1.1499999999999999</v>
      </c>
      <c r="E443" s="43">
        <v>67</v>
      </c>
      <c r="F443" s="43">
        <v>1</v>
      </c>
      <c r="G443" s="43">
        <f>テーブル1[[#This Row],[長さ(m)]]</f>
        <v>67</v>
      </c>
      <c r="H443" s="43">
        <f t="shared" si="107"/>
        <v>77.05</v>
      </c>
      <c r="I443" s="47"/>
      <c r="J443" s="47">
        <f t="shared" si="108"/>
        <v>0</v>
      </c>
      <c r="K443" s="75" t="s">
        <v>18</v>
      </c>
      <c r="L443" s="46"/>
      <c r="M443" s="46"/>
      <c r="N443" s="43"/>
      <c r="O443" s="46"/>
      <c r="P443" s="43"/>
      <c r="Q443" s="71"/>
    </row>
    <row r="444" spans="1:17">
      <c r="A444" s="75" t="s">
        <v>395</v>
      </c>
      <c r="B444" s="43" t="s">
        <v>874</v>
      </c>
      <c r="C444" s="75" t="s">
        <v>873</v>
      </c>
      <c r="D444" s="75">
        <v>1.1499999999999999</v>
      </c>
      <c r="E444" s="75">
        <v>100</v>
      </c>
      <c r="F444" s="43">
        <v>1</v>
      </c>
      <c r="G444" s="43">
        <f>テーブル1[[#This Row],[長さ(m)]]</f>
        <v>100</v>
      </c>
      <c r="H444" s="75">
        <f t="shared" si="107"/>
        <v>114.99999999999999</v>
      </c>
      <c r="I444" s="76"/>
      <c r="J444" s="76">
        <f t="shared" si="108"/>
        <v>0</v>
      </c>
      <c r="K444" s="75" t="s">
        <v>18</v>
      </c>
      <c r="L444" s="57"/>
      <c r="M444" s="57"/>
      <c r="N444" s="75"/>
      <c r="O444" s="57"/>
      <c r="P444" s="75"/>
      <c r="Q444" s="77"/>
    </row>
  </sheetData>
  <dataConsolidate/>
  <phoneticPr fontId="3"/>
  <pageMargins left="0.7" right="0.7" top="0.75" bottom="0.75" header="0.3" footer="0.3"/>
  <pageSetup paperSize="9" scale="10" orientation="landscape" r:id="rId1"/>
  <ignoredErrors>
    <ignoredError sqref="J393 J394:J402 J404:J406" calculatedColumn="1"/>
  </ignoredErrors>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84ACA-3B17-44C4-AAB1-2A4603E0F862}">
  <sheetPr>
    <pageSetUpPr fitToPage="1"/>
  </sheetPr>
  <dimension ref="A1:I999"/>
  <sheetViews>
    <sheetView workbookViewId="0">
      <pane xSplit="4" ySplit="1" topLeftCell="E2" activePane="bottomRight" state="frozen"/>
      <selection pane="topRight" activeCell="D1" sqref="D1"/>
      <selection pane="bottomLeft" activeCell="A2" sqref="A2"/>
      <selection pane="bottomRight" activeCell="G18" sqref="G18"/>
    </sheetView>
  </sheetViews>
  <sheetFormatPr defaultColWidth="13.25" defaultRowHeight="15" customHeight="1"/>
  <cols>
    <col min="1" max="1" width="30.1640625" style="22" customWidth="1"/>
    <col min="2" max="2" width="16" style="22" bestFit="1" customWidth="1"/>
    <col min="3" max="3" width="14.33203125" style="22" bestFit="1" customWidth="1"/>
    <col min="4" max="4" width="8" style="22" customWidth="1"/>
    <col min="5" max="6" width="11.58203125" style="22" customWidth="1"/>
    <col min="7" max="7" width="11.75" style="22" bestFit="1" customWidth="1"/>
    <col min="8" max="8" width="12" style="22" bestFit="1" customWidth="1"/>
    <col min="9" max="9" width="47.1640625" style="22" customWidth="1"/>
    <col min="10" max="26" width="8" style="22" customWidth="1"/>
    <col min="27" max="16384" width="13.25" style="22"/>
  </cols>
  <sheetData>
    <row r="1" spans="1:9" ht="18" customHeight="1">
      <c r="A1" s="27" t="s">
        <v>154</v>
      </c>
      <c r="B1" s="27" t="s">
        <v>183</v>
      </c>
      <c r="C1" s="27" t="s">
        <v>141</v>
      </c>
      <c r="D1" s="27" t="s">
        <v>142</v>
      </c>
      <c r="E1" s="27" t="s">
        <v>151</v>
      </c>
      <c r="F1" s="27" t="s">
        <v>150</v>
      </c>
      <c r="G1" s="27" t="s">
        <v>152</v>
      </c>
      <c r="H1" s="27" t="s">
        <v>143</v>
      </c>
      <c r="I1" s="27" t="s">
        <v>84</v>
      </c>
    </row>
    <row r="2" spans="1:9" ht="18" customHeight="1">
      <c r="A2" s="23" t="s">
        <v>144</v>
      </c>
      <c r="B2" s="34" t="s">
        <v>184</v>
      </c>
      <c r="C2" s="24" t="s">
        <v>9</v>
      </c>
      <c r="D2" s="23">
        <v>1.25</v>
      </c>
      <c r="E2" s="25">
        <v>25</v>
      </c>
      <c r="F2" s="23">
        <f>SUMIFS(テーブル1[在庫(本)],テーブル1[品名],"SPACECOOLフィルム",テーブル1[色],"ホワイトマット",テーブル1[長さ(m)],"25",テーブル1[備考2],"&lt;&gt;保管用",テーブル1[備考3],"&lt;&gt;規格外")</f>
        <v>219</v>
      </c>
      <c r="G2" s="23">
        <f>SUMIFS(テーブル1[長さ合計(m)],テーブル1[品名],"SPACECOOLフィルム",テーブル1[色],"ホワイトマット",テーブル1[幅(m)],"1.25",テーブル1[備考2],"&lt;&gt;保管用",テーブル1[備考3],"&lt;&gt;規格外")</f>
        <v>4981.8</v>
      </c>
      <c r="H2" s="23">
        <f>D2*G2</f>
        <v>6227.25</v>
      </c>
      <c r="I2" s="23" t="s">
        <v>145</v>
      </c>
    </row>
    <row r="3" spans="1:9" ht="18" customHeight="1">
      <c r="A3" s="28" t="s">
        <v>144</v>
      </c>
      <c r="B3" s="35" t="s">
        <v>185</v>
      </c>
      <c r="C3" s="29" t="s">
        <v>13</v>
      </c>
      <c r="D3" s="28">
        <v>1.25</v>
      </c>
      <c r="E3" s="30">
        <v>25</v>
      </c>
      <c r="F3" s="28">
        <f>SUMIFS(テーブル1[在庫(本)],テーブル1[品名],"SPACECOOLフィルム",テーブル1[色],"シルバーマット",テーブル1[長さ(m)],"25",テーブル1[備考2],"&lt;&gt;保管用",テーブル1[備考3],"&lt;&gt;規格外")</f>
        <v>224</v>
      </c>
      <c r="G3" s="28">
        <f>SUMIFS(テーブル1[長さ合計(m)],テーブル1[品名],"SPACECOOLフィルム",テーブル1[色],"シルバーマット",テーブル1[幅(m)],"1.25",テーブル1[備考2],"&lt;&gt;保管用",テーブル1[備考3],"&lt;&gt;規格外")</f>
        <v>5626.7</v>
      </c>
      <c r="H3" s="28">
        <f t="shared" ref="H3:H16" si="0">D3*G3</f>
        <v>7033.375</v>
      </c>
      <c r="I3" s="23" t="s">
        <v>145</v>
      </c>
    </row>
    <row r="4" spans="1:9" ht="18" customHeight="1">
      <c r="A4" s="23" t="s">
        <v>146</v>
      </c>
      <c r="B4" s="34" t="s">
        <v>115</v>
      </c>
      <c r="C4" s="24" t="s">
        <v>9</v>
      </c>
      <c r="D4" s="26">
        <v>1.2050000000000001</v>
      </c>
      <c r="E4" s="23">
        <v>50</v>
      </c>
      <c r="F4" s="23">
        <f>SUMIFS(テーブル1[在庫(本)],テーブル1[品名],"SPACECOOLシート",テーブル1[色],"ホワイトマット",テーブル1[長さ(m)],"50")</f>
        <v>0</v>
      </c>
      <c r="G4" s="23">
        <f>SUMIFS(テーブル1[長さ合計(m)],テーブル1[品名],A4,テーブル1[色],C4)</f>
        <v>9.5</v>
      </c>
      <c r="H4" s="23">
        <f t="shared" si="0"/>
        <v>11.447500000000002</v>
      </c>
      <c r="I4" s="23" t="s">
        <v>436</v>
      </c>
    </row>
    <row r="5" spans="1:9" ht="18" customHeight="1">
      <c r="A5" s="28" t="s">
        <v>146</v>
      </c>
      <c r="B5" s="35" t="s">
        <v>115</v>
      </c>
      <c r="C5" s="29" t="s">
        <v>13</v>
      </c>
      <c r="D5" s="31">
        <v>1.2050000000000001</v>
      </c>
      <c r="E5" s="28">
        <v>50</v>
      </c>
      <c r="F5" s="28">
        <f>SUMIFS(テーブル1[在庫(本)],テーブル1[品名],"SPACECOOLシート",テーブル1[色],"シルバーマット",テーブル1[長さ(m)],"50")</f>
        <v>2</v>
      </c>
      <c r="G5" s="28">
        <f>SUMIFS(テーブル1[長さ合計(m)],テーブル1[品名],A5,テーブル1[色],C5)</f>
        <v>140</v>
      </c>
      <c r="H5" s="28">
        <f t="shared" si="0"/>
        <v>168.70000000000002</v>
      </c>
      <c r="I5" s="23" t="s">
        <v>436</v>
      </c>
    </row>
    <row r="6" spans="1:9" ht="18" customHeight="1">
      <c r="A6" s="23" t="s">
        <v>230</v>
      </c>
      <c r="B6" s="34" t="s">
        <v>186</v>
      </c>
      <c r="C6" s="24" t="s">
        <v>9</v>
      </c>
      <c r="D6" s="26">
        <v>1.0349999999999999</v>
      </c>
      <c r="E6" s="23">
        <v>50</v>
      </c>
      <c r="F6" s="23">
        <f>SUMIFS(テーブル1[在庫(本)],テーブル1[品名],"SPACECOOL膜材料",テーブル1[色],"ホワイトマット",テーブル1[長さ(m)],"50")</f>
        <v>4</v>
      </c>
      <c r="G6" s="23">
        <f>SUMIFS(テーブル1[長さ合計(m)],テーブル1[品名],A6,テーブル1[色],C6)</f>
        <v>217.2</v>
      </c>
      <c r="H6" s="23">
        <f t="shared" si="0"/>
        <v>224.80199999999996</v>
      </c>
      <c r="I6" s="23" t="s">
        <v>435</v>
      </c>
    </row>
    <row r="7" spans="1:9" ht="18" customHeight="1">
      <c r="A7" s="28" t="s">
        <v>230</v>
      </c>
      <c r="B7" s="35" t="s">
        <v>187</v>
      </c>
      <c r="C7" s="29" t="s">
        <v>13</v>
      </c>
      <c r="D7" s="31">
        <v>1.0329999999999999</v>
      </c>
      <c r="E7" s="28">
        <v>50</v>
      </c>
      <c r="F7" s="28">
        <f>SUMIFS(テーブル1[在庫(本)],テーブル1[品名],"SPACECOOL膜材料",テーブル1[色],"シルバーマット",テーブル1[長さ(m)],"50")</f>
        <v>2</v>
      </c>
      <c r="G7" s="28">
        <f>SUMIFS(テーブル1[長さ合計(m)],テーブル1[品名],A7,テーブル1[色],C7)</f>
        <v>167.5</v>
      </c>
      <c r="H7" s="28">
        <f t="shared" si="0"/>
        <v>173.02749999999997</v>
      </c>
      <c r="I7" s="23" t="s">
        <v>435</v>
      </c>
    </row>
    <row r="8" spans="1:9" ht="18" customHeight="1">
      <c r="A8" s="23" t="s">
        <v>231</v>
      </c>
      <c r="B8" s="34" t="s">
        <v>188</v>
      </c>
      <c r="C8" s="24" t="s">
        <v>9</v>
      </c>
      <c r="D8" s="26">
        <v>1.0429999999999999</v>
      </c>
      <c r="E8" s="23">
        <v>50</v>
      </c>
      <c r="F8" s="23">
        <f>SUMIFS(テーブル1[在庫(本)],テーブル1[品名],"SPACECOOL膜材料(防炎)",テーブル1[色],"ホワイトマット",テーブル1[長さ(m)],"50")</f>
        <v>5</v>
      </c>
      <c r="G8" s="23">
        <f>SUMIFS(テーブル1[長さ合計(m)],テーブル1[品名],A8,テーブル1[色],C8)</f>
        <v>442.4</v>
      </c>
      <c r="H8" s="23">
        <f t="shared" si="0"/>
        <v>461.42319999999995</v>
      </c>
      <c r="I8" s="23" t="s">
        <v>437</v>
      </c>
    </row>
    <row r="9" spans="1:9" ht="18" customHeight="1">
      <c r="A9" s="28" t="s">
        <v>231</v>
      </c>
      <c r="B9" s="35" t="s">
        <v>189</v>
      </c>
      <c r="C9" s="29" t="s">
        <v>13</v>
      </c>
      <c r="D9" s="31">
        <v>1.0429999999999999</v>
      </c>
      <c r="E9" s="28">
        <v>50</v>
      </c>
      <c r="F9" s="28">
        <f>SUMIFS(テーブル1[在庫(本)],テーブル1[品名],"SPACECOOL膜材料(防炎)",テーブル1[色],"シルバーマット",テーブル1[長さ(m)],"50")</f>
        <v>1</v>
      </c>
      <c r="G9" s="28">
        <f>SUMIFS(テーブル1[長さ合計(m)],テーブル1[品名],A9,テーブル1[色],C9)</f>
        <v>147</v>
      </c>
      <c r="H9" s="28">
        <f t="shared" si="0"/>
        <v>153.321</v>
      </c>
      <c r="I9" s="23" t="s">
        <v>437</v>
      </c>
    </row>
    <row r="10" spans="1:9" ht="18" customHeight="1">
      <c r="A10" s="23" t="s">
        <v>147</v>
      </c>
      <c r="B10" s="34" t="s">
        <v>190</v>
      </c>
      <c r="C10" s="24" t="s">
        <v>9</v>
      </c>
      <c r="D10" s="26">
        <v>1.042</v>
      </c>
      <c r="E10" s="23">
        <v>50</v>
      </c>
      <c r="F10" s="23">
        <f>SUMIFS(テーブル1[在庫(本)],テーブル1[品名],"SPACECOOL不燃膜材料",テーブル1[色],"ホワイトマット",テーブル1[長さ(m)],"50")</f>
        <v>8</v>
      </c>
      <c r="G10" s="23">
        <f>SUMIFS(テーブル1[長さ合計(m)],テーブル1[品名],A10,テーブル1[色],C10)</f>
        <v>404.7</v>
      </c>
      <c r="H10" s="23">
        <f t="shared" si="0"/>
        <v>421.69740000000002</v>
      </c>
      <c r="I10" s="23" t="s">
        <v>438</v>
      </c>
    </row>
    <row r="11" spans="1:9" ht="18" customHeight="1">
      <c r="A11" s="28" t="s">
        <v>147</v>
      </c>
      <c r="B11" s="35" t="s">
        <v>191</v>
      </c>
      <c r="C11" s="29" t="s">
        <v>13</v>
      </c>
      <c r="D11" s="31">
        <v>1.042</v>
      </c>
      <c r="E11" s="28">
        <v>50</v>
      </c>
      <c r="F11" s="28">
        <f>SUMIFS(テーブル1[在庫(本)],テーブル1[品名],"SPACECOOL不燃膜材料",テーブル1[色],"シルバーマット",テーブル1[長さ(m)],"50")</f>
        <v>0</v>
      </c>
      <c r="G11" s="28">
        <f>SUMIFS(テーブル1[長さ合計(m)],テーブル1[品名],A11,テーブル1[色],C11)</f>
        <v>364.09999999999997</v>
      </c>
      <c r="H11" s="28">
        <f t="shared" si="0"/>
        <v>379.3922</v>
      </c>
      <c r="I11" s="23" t="s">
        <v>438</v>
      </c>
    </row>
    <row r="12" spans="1:9" ht="18" customHeight="1">
      <c r="A12" s="23" t="s">
        <v>232</v>
      </c>
      <c r="B12" s="34" t="s">
        <v>192</v>
      </c>
      <c r="C12" s="24" t="s">
        <v>9</v>
      </c>
      <c r="D12" s="26">
        <v>1.202</v>
      </c>
      <c r="E12" s="23">
        <v>50</v>
      </c>
      <c r="F12" s="23">
        <f>SUMIFS(テーブル1[在庫(本)],テーブル1[品名],"SPACECOOLターポリン",テーブル1[色],"ホワイトマット",テーブル1[長さ(m)],"50")</f>
        <v>0</v>
      </c>
      <c r="G12" s="23">
        <f>SUMIFS(テーブル1[長さ合計(m)],テーブル1[品名],A12,テーブル1[色],C12)</f>
        <v>120</v>
      </c>
      <c r="H12" s="23">
        <f t="shared" si="0"/>
        <v>144.24</v>
      </c>
      <c r="I12" s="23" t="s">
        <v>439</v>
      </c>
    </row>
    <row r="13" spans="1:9" ht="18" customHeight="1">
      <c r="A13" s="28" t="s">
        <v>232</v>
      </c>
      <c r="B13" s="35" t="s">
        <v>193</v>
      </c>
      <c r="C13" s="29" t="s">
        <v>13</v>
      </c>
      <c r="D13" s="31">
        <v>1.202</v>
      </c>
      <c r="E13" s="28">
        <v>50</v>
      </c>
      <c r="F13" s="28">
        <f>SUMIFS(テーブル1[在庫(本)],テーブル1[品名],"SPACECOOLターポリン",テーブル1[色],"シルバーマット",テーブル1[長さ(m)],"50")</f>
        <v>0</v>
      </c>
      <c r="G13" s="28">
        <f>SUMIFS(テーブル1[長さ合計(m)],テーブル1[品名],A13,テーブル1[色],C13)</f>
        <v>68.400000000000006</v>
      </c>
      <c r="H13" s="28">
        <f t="shared" si="0"/>
        <v>82.216800000000006</v>
      </c>
      <c r="I13" s="23" t="s">
        <v>439</v>
      </c>
    </row>
    <row r="14" spans="1:9" ht="18" customHeight="1">
      <c r="A14" s="104" t="s">
        <v>512</v>
      </c>
      <c r="B14" s="105" t="s">
        <v>192</v>
      </c>
      <c r="C14" s="106" t="s">
        <v>35</v>
      </c>
      <c r="D14" s="107">
        <v>1.2</v>
      </c>
      <c r="E14" s="104">
        <v>50</v>
      </c>
      <c r="F14" s="104">
        <f>SUMIFS(テーブル1[在庫(本)],テーブル1[品名],"SPACECOOL防炎ターポリン",テーブル1[色],"ホワイトマット",テーブル1[長さ(m)],"50")</f>
        <v>5</v>
      </c>
      <c r="G14" s="104">
        <f>SUMIFS(テーブル1[長さ合計(m)],テーブル1[品名],A14,テーブル1[色],C14)</f>
        <v>260.10000000000002</v>
      </c>
      <c r="H14" s="104">
        <f>D14*G14</f>
        <v>312.12</v>
      </c>
      <c r="I14" s="23"/>
    </row>
    <row r="15" spans="1:9" ht="18" customHeight="1">
      <c r="A15" s="23" t="s">
        <v>149</v>
      </c>
      <c r="B15" s="34" t="s">
        <v>115</v>
      </c>
      <c r="C15" s="24" t="s">
        <v>9</v>
      </c>
      <c r="D15" s="26">
        <v>1.25</v>
      </c>
      <c r="E15" s="23">
        <v>25</v>
      </c>
      <c r="F15" s="23">
        <f>SUMIFS(テーブル1[在庫(本)],テーブル1[品名],"SPACECOOLフィルム強粘着",テーブル1[色],"ホワイトマット",テーブル1[長さ(m)],"25")</f>
        <v>7</v>
      </c>
      <c r="G15" s="23">
        <f>SUMIFS(テーブル1[長さ合計(m)],テーブル1[品名],A15,テーブル1[色],C15)</f>
        <v>183.7</v>
      </c>
      <c r="H15" s="23">
        <f t="shared" si="0"/>
        <v>229.625</v>
      </c>
      <c r="I15" s="23" t="s">
        <v>148</v>
      </c>
    </row>
    <row r="16" spans="1:9" ht="18" customHeight="1">
      <c r="A16" s="28" t="s">
        <v>149</v>
      </c>
      <c r="B16" s="35" t="s">
        <v>115</v>
      </c>
      <c r="C16" s="29" t="s">
        <v>13</v>
      </c>
      <c r="D16" s="31">
        <v>1.25</v>
      </c>
      <c r="E16" s="28">
        <v>25</v>
      </c>
      <c r="F16" s="28">
        <f>SUMIFS(テーブル1[在庫(本)],テーブル1[品名],"SPACECOOLフィルム強粘着",テーブル1[色],"シルバーマット",テーブル1[長さ(m)],"25")</f>
        <v>4</v>
      </c>
      <c r="G16" s="28">
        <f>SUMIFS(テーブル1[長さ合計(m)],テーブル1[品名],A16,テーブル1[色],C16)</f>
        <v>100</v>
      </c>
      <c r="H16" s="28">
        <f t="shared" si="0"/>
        <v>125</v>
      </c>
      <c r="I16" s="23" t="s">
        <v>148</v>
      </c>
    </row>
    <row r="17" spans="1:9" ht="18" customHeight="1">
      <c r="A17" s="104" t="s">
        <v>512</v>
      </c>
      <c r="B17" s="105" t="s">
        <v>192</v>
      </c>
      <c r="C17" s="106" t="s">
        <v>35</v>
      </c>
      <c r="D17" s="107">
        <v>1.2</v>
      </c>
      <c r="E17" s="104">
        <v>50</v>
      </c>
      <c r="F17" s="104">
        <f>SUMIFS(テーブル1[在庫(本)],テーブル1[品名],"SPACECOOL防炎ターポリン",テーブル1[色],"ホワイトマット",テーブル1[長さ(m)],"50")</f>
        <v>5</v>
      </c>
      <c r="G17" s="104">
        <f>SUMIFS(テーブル1[長さ合計(m)],テーブル1[品名],A17,テーブル1[色],C17)</f>
        <v>260.10000000000002</v>
      </c>
      <c r="H17" s="104">
        <f>D17*G17</f>
        <v>312.12</v>
      </c>
      <c r="I17" s="23"/>
    </row>
    <row r="18" spans="1:9" ht="18" customHeight="1"/>
    <row r="19" spans="1:9" ht="18" customHeight="1"/>
    <row r="20" spans="1:9" ht="18" customHeight="1"/>
    <row r="21" spans="1:9" ht="18" customHeight="1"/>
    <row r="22" spans="1:9" ht="18" customHeight="1"/>
    <row r="23" spans="1:9" ht="18" customHeight="1"/>
    <row r="24" spans="1:9" ht="18" customHeight="1"/>
    <row r="25" spans="1:9" ht="18" customHeight="1"/>
    <row r="26" spans="1:9" ht="18" customHeight="1"/>
    <row r="27" spans="1:9" ht="18" customHeight="1"/>
    <row r="28" spans="1:9" ht="18" customHeight="1"/>
    <row r="29" spans="1:9" ht="18" customHeight="1"/>
    <row r="30" spans="1:9" ht="18" customHeight="1"/>
    <row r="31" spans="1:9" ht="18" customHeight="1"/>
    <row r="32" spans="1:9"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sheetData>
  <phoneticPr fontId="3"/>
  <pageMargins left="0.7" right="0.7" top="0.75" bottom="0.75" header="0" footer="0"/>
  <pageSetup paperSize="9" scale="73"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物流情報</vt:lpstr>
      <vt:lpstr>在庫(製品)</vt:lpstr>
      <vt:lpstr>作業用(マスターシート)</vt:lpstr>
      <vt:lpstr>在庫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dc:creator>
  <cp:lastModifiedBy>桃花 山中</cp:lastModifiedBy>
  <cp:lastPrinted>2022-04-18T04:10:59Z</cp:lastPrinted>
  <dcterms:created xsi:type="dcterms:W3CDTF">2022-04-15T08:02:22Z</dcterms:created>
  <dcterms:modified xsi:type="dcterms:W3CDTF">2023-10-11T02:08:08Z</dcterms:modified>
</cp:coreProperties>
</file>