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fits" sheetId="1" r:id="rId4"/>
    <sheet state="visible" name="Incomes and Costs" sheetId="2" r:id="rId5"/>
    <sheet state="visible" name="Products" sheetId="3" r:id="rId6"/>
    <sheet state="visible" name="Seasonality" sheetId="4" r:id="rId7"/>
    <sheet state="visible" name="Variability in transit times" sheetId="5" r:id="rId8"/>
    <sheet state="visible" name="Sourcing_Summary" sheetId="6" r:id="rId9"/>
    <sheet state="visible" name="Sourcing-Seasonality" sheetId="7" r:id="rId10"/>
    <sheet state="visible" name="Aggregated EOQ" sheetId="8" r:id="rId11"/>
    <sheet state="visible" name="Sourcing_costs_LT_and stdv" sheetId="9" r:id="rId12"/>
    <sheet state="visible" name="EOQ_ReorderPt" sheetId="10" r:id="rId13"/>
    <sheet state="visible" name="Summary_EOQ" sheetId="11" r:id="rId14"/>
    <sheet state="hidden" name="EOQ" sheetId="12" r:id="rId15"/>
    <sheet state="visible" name="Demand per DCDS" sheetId="13" r:id="rId16"/>
    <sheet state="hidden" name="for our reference (psu)Demand p" sheetId="14" r:id="rId17"/>
    <sheet state="visible" name="Demand_simulation results" sheetId="15" r:id="rId18"/>
    <sheet state="visible" name="DCDS" sheetId="16" r:id="rId19"/>
    <sheet state="visible" name="HouseHolds per &quot;comuna&quot;" sheetId="17" r:id="rId20"/>
    <sheet state="visible" name="Layout" sheetId="18" r:id="rId21"/>
    <sheet state="visible" name="Consumption by comuna (Kg year)" sheetId="19" r:id="rId22"/>
    <sheet state="visible" name="LAModel" sheetId="20" r:id="rId23"/>
    <sheet state="hidden" name="Costs" sheetId="21" r:id="rId24"/>
    <sheet state="hidden" name="Demands" sheetId="22" r:id="rId25"/>
    <sheet state="visible" name="Perishability REAL" sheetId="23" r:id="rId26"/>
    <sheet state="visible" name="routing from DC to DS" sheetId="24" r:id="rId27"/>
    <sheet state="visible" name="MotorcycleCountAndAnnualOrderRe" sheetId="25" r:id="rId28"/>
    <sheet state="visible" name="Environmental Impact" sheetId="26" r:id="rId29"/>
    <sheet state="visible" name="Routing" sheetId="27" r:id="rId30"/>
    <sheet state="hidden" name="Savings method" sheetId="28" r:id="rId31"/>
  </sheets>
  <definedNames>
    <definedName localSheetId="19" name="solver_lhs8">LAModel!$M$16</definedName>
    <definedName localSheetId="19" name="solver_rhs3">LAModel!$I$27</definedName>
    <definedName localSheetId="19" name="solver_lhs10">LAModel!$M$7</definedName>
    <definedName localSheetId="19" name="solver_rhs11">LAModel!$I$24</definedName>
    <definedName localSheetId="19" name="solver_lhs6">LAModel!$M$14</definedName>
    <definedName localSheetId="19" name="solver_lhs4">LAModel!$M$12</definedName>
    <definedName localSheetId="19" name="solver_rhs4">LAModel!$I$28</definedName>
    <definedName localSheetId="19" name="solver_rhs7">LAModel!$I$31</definedName>
    <definedName localSheetId="19" name="solver_lhs12">LAModel!$M$9</definedName>
    <definedName localSheetId="19" name="solver_lhs1">LAModel!$D$3:$D$4</definedName>
    <definedName localSheetId="19" name="solver_rhs5">LAModel!$I$29</definedName>
    <definedName localSheetId="19" name="solver_lhs9">LAModel!$M$17</definedName>
    <definedName localSheetId="19" name="solver_adj">LAModel!$D$3:$D$22</definedName>
    <definedName localSheetId="19" name="solver_rhs12">LAModel!$I$25</definedName>
    <definedName localSheetId="19" name="solver_rhs10">LAModel!$I$23</definedName>
    <definedName localSheetId="19" name="solver_lhs5">LAModel!$M$13</definedName>
    <definedName localSheetId="19" name="solver_lhs2">LAModel!$M$10</definedName>
    <definedName localSheetId="19" name="solver_rhs6">LAModel!$I$30</definedName>
    <definedName localSheetId="19" name="solver_lhs3">LAModel!$M$11</definedName>
    <definedName localSheetId="19" name="solver_lhs7">LAModel!$M$15</definedName>
    <definedName localSheetId="19" name="solver_lhs11">LAModel!$M$8</definedName>
    <definedName localSheetId="19" name="solver_opt">LAModel!$M$3</definedName>
    <definedName localSheetId="19" name="solver_rhs2">LAModel!$I$26</definedName>
    <definedName hidden="1" name="Google_Sheet_Link_1128390462_845466988">solver_lhs3</definedName>
    <definedName hidden="1" name="Google_Sheet_Link_1225965713_845466988">solver_rhs3</definedName>
    <definedName hidden="1" name="Google_Sheet_Link_1342394504_845466988">solver_lhs4</definedName>
    <definedName hidden="1" name="Google_Sheet_Link_1472714324_845466988">solver_lhs2</definedName>
    <definedName hidden="1" name="Google_Sheet_Link_1765630749_845466988">solver_lhs6</definedName>
    <definedName hidden="1" name="Google_Sheet_Link_186150949_845466988">solver_lhs12</definedName>
    <definedName hidden="1" name="Google_Sheet_Link_1872309079_845466988">solver_lhs10</definedName>
    <definedName hidden="1" name="Google_Sheet_Link_1985677767_845466988">solver_lhs11</definedName>
    <definedName hidden="1" name="Google_Sheet_Link_2002103261_845466988">solver_rhs10</definedName>
    <definedName hidden="1" name="Google_Sheet_Link_2021118661_845466988">solver_rhs7</definedName>
    <definedName hidden="1" name="Google_Sheet_Link_2113673539_845466988">solver_lhs1</definedName>
    <definedName hidden="1" name="Google_Sheet_Link_2146048823_845466988">solver_rhs5</definedName>
    <definedName hidden="1" name="Google_Sheet_Link_294088105_845466988">solver_lhs8</definedName>
    <definedName hidden="1" name="Google_Sheet_Link_44889734_845466988">solver_rhs12</definedName>
    <definedName hidden="1" name="Google_Sheet_Link_55907950_845466988">solver_rhs2</definedName>
    <definedName hidden="1" name="Google_Sheet_Link_569833747_845466988">solver_opt</definedName>
    <definedName hidden="1" name="Google_Sheet_Link_717148353_845466988">solver_rhs4</definedName>
    <definedName hidden="1" name="Google_Sheet_Link_743413221_845466988">solver_lhs7</definedName>
    <definedName hidden="1" name="Google_Sheet_Link_829186191_845466988">solver_rhs6</definedName>
    <definedName hidden="1" name="Google_Sheet_Link_914245706_845466988">solver_lhs5</definedName>
    <definedName hidden="1" name="Google_Sheet_Link_917918399_845466988">solver_rhs11</definedName>
    <definedName hidden="1" name="Google_Sheet_Link_966034801_845466988">solver_adj</definedName>
    <definedName hidden="1" name="Google_Sheet_Link_967739400_845466988">solver_lhs9</definedName>
  </definedNames>
  <calcPr/>
  <extLst>
    <ext uri="GoogleSheetsCustomDataVersion2">
      <go:sheetsCustomData xmlns:go="http://customooxmlschemas.google.com/" r:id="rId32" roundtripDataChecksum="mGO1QGrho8HkKGPT46q5jAgw4i8gM8zSqpFuQKnxI7Y="/>
    </ext>
  </extLst>
</workbook>
</file>

<file path=xl/comments1.xml><?xml version="1.0" encoding="utf-8"?>
<comments xmlns:r="http://schemas.openxmlformats.org/officeDocument/2006/relationships" xmlns="http://schemas.openxmlformats.org/spreadsheetml/2006/main">
  <authors>
    <author/>
  </authors>
  <commentList>
    <comment authorId="0" ref="I25">
      <text>
        <t xml:space="preserve">======
ID#AAAA9cM8UkE
LUCA APPIANI CARO    (2023-10-20 20:52:49)
This is cause the suppliers correspond to wholesale markets.</t>
      </text>
    </comment>
  </commentList>
  <extLst>
    <ext uri="GoogleSheetsCustomDataVersion2">
      <go:sheetsCustomData xmlns:go="http://customooxmlschemas.google.com/" r:id="rId1" roundtripDataSignature="AMtx7miZMnoFokzuA8NNuO2EU7LO5Wt7hw=="/>
    </ext>
  </extLst>
</comments>
</file>

<file path=xl/comments2.xml><?xml version="1.0" encoding="utf-8"?>
<comments xmlns:r="http://schemas.openxmlformats.org/officeDocument/2006/relationships" xmlns="http://schemas.openxmlformats.org/spreadsheetml/2006/main">
  <authors>
    <author/>
  </authors>
  <commentList>
    <comment authorId="0" ref="B2">
      <text>
        <t xml:space="preserve">======
ID#AAAA-mqmOyQ
LUCA APPIANI CARO    (2023-10-21 14:16:25)
The suppliers highlighted in red are the ones that changed so that the perishability threshold is met.</t>
      </text>
    </comment>
  </commentList>
  <extLst>
    <ext uri="GoogleSheetsCustomDataVersion2">
      <go:sheetsCustomData xmlns:go="http://customooxmlschemas.google.com/" r:id="rId1" roundtripDataSignature="AMtx7mgAp3jBOn3AJItD0sX5d9hT1iPrag=="/>
    </ext>
  </extLst>
</comments>
</file>

<file path=xl/comments3.xml><?xml version="1.0" encoding="utf-8"?>
<comments xmlns:r="http://schemas.openxmlformats.org/officeDocument/2006/relationships" xmlns="http://schemas.openxmlformats.org/spreadsheetml/2006/main">
  <authors>
    <author/>
  </authors>
  <commentList>
    <comment authorId="0" ref="C2">
      <text>
        <t xml:space="preserve">Values are in kg / month
======</t>
      </text>
    </comment>
  </commentList>
</comments>
</file>

<file path=xl/comments4.xml><?xml version="1.0" encoding="utf-8"?>
<comments xmlns:r="http://schemas.openxmlformats.org/officeDocument/2006/relationships" xmlns="http://schemas.openxmlformats.org/spreadsheetml/2006/main">
  <authors>
    <author/>
  </authors>
  <commentList>
    <comment authorId="0" ref="C2">
      <text>
        <t xml:space="preserve">Values are in kg / month
======</t>
      </text>
    </comment>
  </commentList>
</comments>
</file>

<file path=xl/comments5.xml><?xml version="1.0" encoding="utf-8"?>
<comments xmlns:r="http://schemas.openxmlformats.org/officeDocument/2006/relationships" xmlns="http://schemas.openxmlformats.org/spreadsheetml/2006/main">
  <authors>
    <author/>
  </authors>
  <commentList>
    <comment authorId="0" ref="C2">
      <text>
        <t xml:space="preserve">Values are in kg / month / household 
======</t>
      </text>
    </comment>
  </commentList>
</comments>
</file>

<file path=xl/comments6.xml><?xml version="1.0" encoding="utf-8"?>
<comments xmlns:r="http://schemas.openxmlformats.org/officeDocument/2006/relationships" xmlns="http://schemas.openxmlformats.org/spreadsheetml/2006/main">
  <authors>
    <author/>
  </authors>
  <commentList>
    <comment authorId="0" ref="B35">
      <text>
        <t xml:space="preserve">======
ID#AAAA93fBI8E
Sri Vallabh Parupudi    (2023-10-25 01:51:49)
https://www.holidayhometimes.com/floor-space-index-fsi-carpet-area-built-up-area-super-built-up-area2094/ 
i have used the above website to calculate the builtup area from the carpet area</t>
      </text>
    </comment>
  </commentList>
  <extLst>
    <ext uri="GoogleSheetsCustomDataVersion2">
      <go:sheetsCustomData xmlns:go="http://customooxmlschemas.google.com/" r:id="rId1" roundtripDataSignature="AMtx7mgmId6mS1u1eRr+HG8GB1P6SWomig=="/>
    </ext>
  </extLst>
</comments>
</file>

<file path=xl/comments7.xml><?xml version="1.0" encoding="utf-8"?>
<comments xmlns:r="http://schemas.openxmlformats.org/officeDocument/2006/relationships" xmlns="http://schemas.openxmlformats.org/spreadsheetml/2006/main">
  <authors>
    <author/>
  </authors>
  <commentList>
    <comment authorId="0" ref="M3">
      <text>
        <t xml:space="preserve">JSCelaya:
Total cost of DC plus annual shipping to all DS
======</t>
      </text>
    </comment>
  </commentList>
</comments>
</file>

<file path=xl/comments8.xml><?xml version="1.0" encoding="utf-8"?>
<comments xmlns:r="http://schemas.openxmlformats.org/officeDocument/2006/relationships" xmlns="http://schemas.openxmlformats.org/spreadsheetml/2006/main">
  <authors>
    <author/>
  </authors>
  <commentList>
    <comment authorId="0" ref="C22">
      <text>
        <t xml:space="preserve">======
ID#AAABBPqp7dA
Jonathan Celaya    (2023-11-25 22:50:20)
Fixed an error here</t>
      </text>
    </comment>
    <comment authorId="0" ref="B12">
      <text>
        <t xml:space="preserve">======
ID#AAABBLMwoCk
sri vallabh    (2023-11-24 00:54:56)
I think we are only serving locations that we put the darkstores in. So, we cannot take this location. I might be wrong.
------
ID#AAABBLMwoCo
Jonathan Celaya    (2023-11-24 01:23:39)
Fixed. Did not affect Routing Costs since I just used the same name as the Chile team</t>
      </text>
    </comment>
    <comment authorId="0" ref="B19">
      <text>
        <t xml:space="preserve">======
ID#AAABBLMwoCg
sri vallabh    (2023-11-24 00:52:17)
here we have to convert cost/km
------
ID#AAABBPqp7dI
Jonathan Celaya    (2023-11-25 23:07:39)
Pretty sure this should be changed to 130 since the info is 1300 CLP per Liter and we're assuming 10 km/L efficiency</t>
      </text>
    </comment>
    <comment authorId="0" ref="B27">
      <text>
        <t xml:space="preserve">======
ID#AAABBLMwoCc
sri vallabh    (2023-11-24 00:51:58)
this is 1300 CLP/ liter (given in the ppt file uploaded in canvas)</t>
      </text>
    </comment>
    <comment authorId="0" ref="C13">
      <text>
        <t xml:space="preserve">======
ID#AAABBLMwoCY
Jonathan Celaya    (2023-11-24 00:06:27)
Computed across all comunas at 95% service level
------
ID#AAABBPqp7dE
Jonathan Celaya    (2023-11-25 22:51:23)
To preserve profitability, I changed this to total motorcycles required across all comunas, rather than 9*the most motorcycles required</t>
      </text>
    </comment>
  </commentList>
  <extLst>
    <ext uri="GoogleSheetsCustomDataVersion2">
      <go:sheetsCustomData xmlns:go="http://customooxmlschemas.google.com/" r:id="rId1" roundtripDataSignature="AMtx7mhq1HvFJfwZU38CECYCj7ddKDHT+A=="/>
    </ext>
  </extLst>
</comments>
</file>

<file path=xl/comments9.xml><?xml version="1.0" encoding="utf-8"?>
<comments xmlns:r="http://schemas.openxmlformats.org/officeDocument/2006/relationships" xmlns="http://schemas.openxmlformats.org/spreadsheetml/2006/main">
  <authors>
    <author/>
  </authors>
  <commentList>
    <comment authorId="0" ref="O40">
      <text>
        <t xml:space="preserve">9 is an intermediate node.
======</t>
      </text>
    </comment>
    <comment authorId="0" ref="O41">
      <text>
        <t xml:space="preserve">Exceeds cap. of route 1.
======</t>
      </text>
    </comment>
    <comment authorId="0" ref="O42">
      <text>
        <t xml:space="preserve">Exceeds capacity of node 1.
======</t>
      </text>
    </comment>
    <comment authorId="0" ref="O43">
      <text>
        <t xml:space="preserve">Exceeds capacity of route 1.
======</t>
      </text>
    </comment>
    <comment authorId="0" ref="O49">
      <text>
        <t xml:space="preserve">Exceeds capacity.
======</t>
      </text>
    </comment>
    <comment authorId="0" ref="O50">
      <text>
        <t xml:space="preserve">Exceeds cap. for route 1.
======</t>
      </text>
    </comment>
    <comment authorId="0" ref="O53">
      <text>
        <t xml:space="preserve">Exceeds capacity.
======</t>
      </text>
    </comment>
    <comment authorId="0" ref="O55">
      <text>
        <t xml:space="preserve">Exceeds capacity.
======</t>
      </text>
    </comment>
    <comment authorId="0" ref="O61">
      <text>
        <t xml:space="preserve">Exceeds capacity.
======</t>
      </text>
    </comment>
    <comment authorId="0" ref="B18">
      <text>
        <t xml:space="preserve">======
ID#AAAA_cRSd8I
LUCA APPIANI CARO    (2023-11-17 20:28:00)
Data given.</t>
      </text>
    </comment>
  </commentList>
  <extLst>
    <ext uri="GoogleSheetsCustomDataVersion2">
      <go:sheetsCustomData xmlns:go="http://customooxmlschemas.google.com/" r:id="rId1" roundtripDataSignature="AMtx7mgTvoPl0rhONYdYbHdlnzS6RaJO4Q=="/>
    </ext>
  </extLst>
</comments>
</file>

<file path=xl/sharedStrings.xml><?xml version="1.0" encoding="utf-8"?>
<sst xmlns="http://schemas.openxmlformats.org/spreadsheetml/2006/main" count="2635" uniqueCount="876">
  <si>
    <t>Annual Incomes</t>
  </si>
  <si>
    <t>Total Landed Cost to DC</t>
  </si>
  <si>
    <t>DC operating costs</t>
  </si>
  <si>
    <t>Last mile costs</t>
  </si>
  <si>
    <t>Other Costs</t>
  </si>
  <si>
    <t>Annual Profit</t>
  </si>
  <si>
    <t>In this cell insert the annual income</t>
  </si>
  <si>
    <t>In this cell you must enter the total costs</t>
  </si>
  <si>
    <t>Sales Prices</t>
  </si>
  <si>
    <t>Income due to delviery fee</t>
  </si>
  <si>
    <t>Product</t>
  </si>
  <si>
    <t>Sales price [$CLP/kg]</t>
  </si>
  <si>
    <t>Quantity [kg]</t>
  </si>
  <si>
    <t>[kg/week]</t>
  </si>
  <si>
    <t>[$CLP/week]</t>
  </si>
  <si>
    <t>Comuna</t>
  </si>
  <si>
    <t>Service Level (%)</t>
  </si>
  <si>
    <t xml:space="preserve">Number of Motorcycles </t>
  </si>
  <si>
    <t>Number of Hourly Orders</t>
  </si>
  <si>
    <t>Number of Annual Orders per Comuna</t>
  </si>
  <si>
    <t>Annual Last Mile Revenue  due to delivery fee(CLP)</t>
  </si>
  <si>
    <t>Roma Tomato</t>
  </si>
  <si>
    <t>Lo Barnechea</t>
  </si>
  <si>
    <t>Banana</t>
  </si>
  <si>
    <t>Las Condes</t>
  </si>
  <si>
    <t>Cauliflower</t>
  </si>
  <si>
    <t>Providencia</t>
  </si>
  <si>
    <t>Avocado</t>
  </si>
  <si>
    <t>Vitacura</t>
  </si>
  <si>
    <t>Pineapple</t>
  </si>
  <si>
    <t>Cerro Navia</t>
  </si>
  <si>
    <t>Broccoli</t>
  </si>
  <si>
    <t>Pedro Aguirre Cerda</t>
  </si>
  <si>
    <t>Asparagus</t>
  </si>
  <si>
    <t>El Bosque</t>
  </si>
  <si>
    <t>Green Bell Pepper</t>
  </si>
  <si>
    <t>Maipú</t>
  </si>
  <si>
    <t>Annual Income</t>
  </si>
  <si>
    <t>La Florida</t>
  </si>
  <si>
    <t>Total</t>
  </si>
  <si>
    <t>Acquisition price</t>
  </si>
  <si>
    <t>Acquisition price[$CLP/kg]</t>
  </si>
  <si>
    <t>Cantidad [kg]</t>
  </si>
  <si>
    <t>Annual Cost</t>
  </si>
  <si>
    <t>Transportation Costs by Truck</t>
  </si>
  <si>
    <t>Product Demand</t>
  </si>
  <si>
    <t>Capacity Truck (Kg)</t>
  </si>
  <si>
    <t>Quantity of Trucks</t>
  </si>
  <si>
    <t>Cost per Km</t>
  </si>
  <si>
    <t>Cost/year</t>
  </si>
  <si>
    <t>Cost/week</t>
  </si>
  <si>
    <t>Annual cost</t>
  </si>
  <si>
    <t xml:space="preserve">Total Transportation Costs </t>
  </si>
  <si>
    <t>Inventory in Transit</t>
  </si>
  <si>
    <t>Stockout Cost</t>
  </si>
  <si>
    <t>Inventory in CD</t>
  </si>
  <si>
    <t>Waste Cost</t>
  </si>
  <si>
    <t>Safety Stock Cost</t>
  </si>
  <si>
    <t>DS operating costs</t>
  </si>
  <si>
    <t>CLP</t>
  </si>
  <si>
    <t>construction</t>
  </si>
  <si>
    <t>Construction</t>
  </si>
  <si>
    <t>equipment and maintenance</t>
  </si>
  <si>
    <t>equipment and maintanance DC</t>
  </si>
  <si>
    <t>total clp</t>
  </si>
  <si>
    <t>Total CLP</t>
  </si>
  <si>
    <t>truck costs for Distribution centre to darkstore</t>
  </si>
  <si>
    <t>list of items for DC to DS transportation</t>
  </si>
  <si>
    <t>per truck</t>
  </si>
  <si>
    <t>annual cost</t>
  </si>
  <si>
    <t>Truck buying costs</t>
  </si>
  <si>
    <t>driver and maintanance costs</t>
  </si>
  <si>
    <t>Total Costs</t>
  </si>
  <si>
    <t>Selling Price</t>
  </si>
  <si>
    <t>$/kg</t>
  </si>
  <si>
    <t>Per capita consumption kg/person</t>
  </si>
  <si>
    <t>Per capita consumption</t>
  </si>
  <si>
    <t>% total</t>
  </si>
  <si>
    <t>Kg/person</t>
  </si>
  <si>
    <t>Total consumption Kg</t>
  </si>
  <si>
    <t>Source</t>
  </si>
  <si>
    <t>Seasonality</t>
  </si>
  <si>
    <t>Products</t>
  </si>
  <si>
    <t>January</t>
  </si>
  <si>
    <t>February</t>
  </si>
  <si>
    <t>March</t>
  </si>
  <si>
    <t>April</t>
  </si>
  <si>
    <t>May</t>
  </si>
  <si>
    <t>June</t>
  </si>
  <si>
    <t>July</t>
  </si>
  <si>
    <t>August</t>
  </si>
  <si>
    <t>September</t>
  </si>
  <si>
    <t>October</t>
  </si>
  <si>
    <t>November</t>
  </si>
  <si>
    <t>December</t>
  </si>
  <si>
    <t>CL</t>
  </si>
  <si>
    <t>ARG</t>
  </si>
  <si>
    <t>PE</t>
  </si>
  <si>
    <t>EC/BO</t>
  </si>
  <si>
    <t>EC</t>
  </si>
  <si>
    <t>EC/BO/PE</t>
  </si>
  <si>
    <t>EC/BO/PE/EEUU</t>
  </si>
  <si>
    <t>EC/PE</t>
  </si>
  <si>
    <t>ES/CL</t>
  </si>
  <si>
    <t>PE/CL</t>
  </si>
  <si>
    <t>BO/PE/CL</t>
  </si>
  <si>
    <t>EC/MX/PE/</t>
  </si>
  <si>
    <t>ARG/PE/CL</t>
  </si>
  <si>
    <t>CL/EC</t>
  </si>
  <si>
    <t>EC/EEUU</t>
  </si>
  <si>
    <t>BO/EC</t>
  </si>
  <si>
    <t>EC/CL</t>
  </si>
  <si>
    <t>EC/ES/CL</t>
  </si>
  <si>
    <t>PE/ES</t>
  </si>
  <si>
    <t>PE/ES/CL</t>
  </si>
  <si>
    <t>CL/PE</t>
  </si>
  <si>
    <t>EEUU</t>
  </si>
  <si>
    <t>Start</t>
  </si>
  <si>
    <t>End</t>
  </si>
  <si>
    <t>Mean (days)</t>
  </si>
  <si>
    <t>Mean (hrs)</t>
  </si>
  <si>
    <t>SD (days)</t>
  </si>
  <si>
    <t>SD (hrs)</t>
  </si>
  <si>
    <t>Distances (km)</t>
  </si>
  <si>
    <t>Vessel</t>
  </si>
  <si>
    <t>Spain</t>
  </si>
  <si>
    <t>Chile (SAI)</t>
  </si>
  <si>
    <t>Chile (VAP)</t>
  </si>
  <si>
    <t>Ecuador</t>
  </si>
  <si>
    <t>Chile (TPA)</t>
  </si>
  <si>
    <t>Chile (ATI)</t>
  </si>
  <si>
    <t>Perú</t>
  </si>
  <si>
    <t>USA</t>
  </si>
  <si>
    <t>Truck</t>
  </si>
  <si>
    <t>Chile (CHA)</t>
  </si>
  <si>
    <t>Argentina</t>
  </si>
  <si>
    <t>Chile (LB)</t>
  </si>
  <si>
    <t>Bolivia</t>
  </si>
  <si>
    <t>Chile (CHU)</t>
  </si>
  <si>
    <t>Chile (DC)</t>
  </si>
  <si>
    <t>Suppliers</t>
  </si>
  <si>
    <t>Acronim</t>
  </si>
  <si>
    <t>Distances truck to DC (km)</t>
  </si>
  <si>
    <t>Lead time (days)</t>
  </si>
  <si>
    <t>Lead time (hours)</t>
  </si>
  <si>
    <t>SD (hours)</t>
  </si>
  <si>
    <t>Transportation costs per truck</t>
  </si>
  <si>
    <t>Chile, RM</t>
  </si>
  <si>
    <t>Lo valledor</t>
  </si>
  <si>
    <t>Not long haul price</t>
  </si>
  <si>
    <t>Chile, RMA</t>
  </si>
  <si>
    <t>Macroferia regional de Talca</t>
  </si>
  <si>
    <t>Chile, RV</t>
  </si>
  <si>
    <t>Famacal de la Calera</t>
  </si>
  <si>
    <t>Chile, RC</t>
  </si>
  <si>
    <t>Terminal La Palmera La serena</t>
  </si>
  <si>
    <t>Chile, RA</t>
  </si>
  <si>
    <t>RA</t>
  </si>
  <si>
    <t>Puerto Arica</t>
  </si>
  <si>
    <t>Long haul price</t>
  </si>
  <si>
    <t>Ecuador, ATI</t>
  </si>
  <si>
    <t>Puerto de Antofagasta</t>
  </si>
  <si>
    <t>Ecuador, TPA</t>
  </si>
  <si>
    <t>Puerto de Arica</t>
  </si>
  <si>
    <t>Ecuador, SAI</t>
  </si>
  <si>
    <t>Puerto de San Antonio</t>
  </si>
  <si>
    <t>Ecuador, VAP</t>
  </si>
  <si>
    <t>Puerto Valparaíso</t>
  </si>
  <si>
    <t>Perú, CHA</t>
  </si>
  <si>
    <t>Complejo Fronterizo Chacalluta</t>
  </si>
  <si>
    <t>Perú, SAI</t>
  </si>
  <si>
    <t>USA, VAP</t>
  </si>
  <si>
    <t>Argentina, LB</t>
  </si>
  <si>
    <t>Paso Fronterizo Los Libertadores</t>
  </si>
  <si>
    <t>Spain, VAP</t>
  </si>
  <si>
    <t>Spain, SAI</t>
  </si>
  <si>
    <t>Bolivia, CHU</t>
  </si>
  <si>
    <t>Paso Froterizo Chungará</t>
  </si>
  <si>
    <t>Cost reefer truck</t>
  </si>
  <si>
    <t>Cost conatainer/van</t>
  </si>
  <si>
    <t>Full name</t>
  </si>
  <si>
    <t>RM</t>
  </si>
  <si>
    <t>RV</t>
  </si>
  <si>
    <t>RMA</t>
  </si>
  <si>
    <t>RC</t>
  </si>
  <si>
    <t>Arica</t>
  </si>
  <si>
    <t>CHA</t>
  </si>
  <si>
    <t>SAI</t>
  </si>
  <si>
    <t>TPA</t>
  </si>
  <si>
    <t>VAP</t>
  </si>
  <si>
    <t>CHU</t>
  </si>
  <si>
    <t>LB</t>
  </si>
  <si>
    <t>ATI</t>
  </si>
  <si>
    <t>Supplier</t>
  </si>
  <si>
    <t>Harvest Seasonality. This decision should be based on the information provided (Additional Information II).</t>
  </si>
  <si>
    <t>Roma Tomato Sourcing Region</t>
  </si>
  <si>
    <t>Roma Tomato TLC</t>
  </si>
  <si>
    <t>Banana Sourcing Region</t>
  </si>
  <si>
    <t>Banana TLC</t>
  </si>
  <si>
    <t>Cauliflower Sourcing Region</t>
  </si>
  <si>
    <t>Cauliflower TLC</t>
  </si>
  <si>
    <t>Avocado Sourcing Region</t>
  </si>
  <si>
    <t>X</t>
  </si>
  <si>
    <t>Avocado TLC</t>
  </si>
  <si>
    <t>Pineapple Sourcing Region</t>
  </si>
  <si>
    <t>Pineapple TLC</t>
  </si>
  <si>
    <t>Broccoli Sourcing Region</t>
  </si>
  <si>
    <t>Broccoli TLC</t>
  </si>
  <si>
    <t>Asparagus Sourcing Region</t>
  </si>
  <si>
    <t>Asparagus TLC</t>
  </si>
  <si>
    <t>Green Bell Pepper Sourcing Region</t>
  </si>
  <si>
    <r>
      <rPr>
        <rFont val="Calibri"/>
        <color theme="1"/>
        <sz val="11.0"/>
      </rPr>
      <t xml:space="preserve">Green Bell Pepper </t>
    </r>
    <r>
      <rPr>
        <rFont val="Calibri"/>
        <color theme="1"/>
        <sz val="11.0"/>
      </rPr>
      <t>TLC</t>
    </r>
  </si>
  <si>
    <t>Insert in this table, the regions (suppliers) where each product is available each period of the year</t>
  </si>
  <si>
    <t xml:space="preserve">No availablity </t>
  </si>
  <si>
    <t>Price in Chile</t>
  </si>
  <si>
    <t>Month</t>
  </si>
  <si>
    <t>january</t>
  </si>
  <si>
    <t>$ 387 (RC)</t>
  </si>
  <si>
    <t>$1.260 (RM)</t>
  </si>
  <si>
    <t>$ 259 (RM)</t>
  </si>
  <si>
    <t>$ 140 (RM)</t>
  </si>
  <si>
    <t>$ 372 (RM)</t>
  </si>
  <si>
    <t>$905 (RMA)</t>
  </si>
  <si>
    <t>february</t>
  </si>
  <si>
    <t>$ 435 (RM)</t>
  </si>
  <si>
    <t>$1.176 (RM)</t>
  </si>
  <si>
    <t>$ 311 (RM)</t>
  </si>
  <si>
    <t>$ 373 (RV)</t>
  </si>
  <si>
    <t>$398 (RM)</t>
  </si>
  <si>
    <t>$1.101 (RM)</t>
  </si>
  <si>
    <t>march</t>
  </si>
  <si>
    <t>$ 528 (RM)</t>
  </si>
  <si>
    <t>$1.008 (RMA)</t>
  </si>
  <si>
    <t>$400 (RA)</t>
  </si>
  <si>
    <t>$1.023 (RMA)</t>
  </si>
  <si>
    <t>april</t>
  </si>
  <si>
    <t>$ 404 (RM)</t>
  </si>
  <si>
    <t>$1.092 (RMA)</t>
  </si>
  <si>
    <t>$390 (RA)</t>
  </si>
  <si>
    <t>$815 (RM)</t>
  </si>
  <si>
    <t>may</t>
  </si>
  <si>
    <t>$ 408 (RM)</t>
  </si>
  <si>
    <t>$1.056 (RM)</t>
  </si>
  <si>
    <t>$500 (RA)</t>
  </si>
  <si>
    <t>$749 (RM)</t>
  </si>
  <si>
    <t>june</t>
  </si>
  <si>
    <t>$ 365 (RM)</t>
  </si>
  <si>
    <t>$504 (RM)</t>
  </si>
  <si>
    <t>$430 (RA)</t>
  </si>
  <si>
    <t>$787 (RM)</t>
  </si>
  <si>
    <t>july</t>
  </si>
  <si>
    <t>$ 290 (RM)</t>
  </si>
  <si>
    <t>$1.008 (RM)</t>
  </si>
  <si>
    <t>$ 360 (RA)</t>
  </si>
  <si>
    <t>$623 (RM)</t>
  </si>
  <si>
    <t>august</t>
  </si>
  <si>
    <t>$ 323 (RM)</t>
  </si>
  <si>
    <t>$804 (RMA)</t>
  </si>
  <si>
    <t>$320 (RA)</t>
  </si>
  <si>
    <t>$808 (RM)</t>
  </si>
  <si>
    <t>september</t>
  </si>
  <si>
    <t>$ 485 (RC)</t>
  </si>
  <si>
    <t>$420 (RM)</t>
  </si>
  <si>
    <t>$ 401 (RA)</t>
  </si>
  <si>
    <t>$1.097 (RM)</t>
  </si>
  <si>
    <t>$1.761 (RMA)</t>
  </si>
  <si>
    <t>october</t>
  </si>
  <si>
    <t>$ 266 (RM)</t>
  </si>
  <si>
    <t>$840 (RM)</t>
  </si>
  <si>
    <t>$336 (RM)</t>
  </si>
  <si>
    <t>$840 (RMA)</t>
  </si>
  <si>
    <t>november</t>
  </si>
  <si>
    <t>$268 (RM)</t>
  </si>
  <si>
    <t>840 (RMA)</t>
  </si>
  <si>
    <t>$584 (RMA)</t>
  </si>
  <si>
    <t>$757 (RM)</t>
  </si>
  <si>
    <t>december</t>
  </si>
  <si>
    <t>$338 (RC)</t>
  </si>
  <si>
    <t>$1.261 (RM)</t>
  </si>
  <si>
    <t>$771 (RM)</t>
  </si>
  <si>
    <t>$924 (RMA)</t>
  </si>
  <si>
    <t>average</t>
  </si>
  <si>
    <t>Price in México</t>
  </si>
  <si>
    <t>$26.976 (AMB)</t>
  </si>
  <si>
    <t>Price in Perú</t>
  </si>
  <si>
    <t>$1.510 (CHA)</t>
  </si>
  <si>
    <t>$2.454 (SAI)</t>
  </si>
  <si>
    <t>$3.175 (CHA)</t>
  </si>
  <si>
    <t>$1.004 (CHA)</t>
  </si>
  <si>
    <t>$455 (CHA)</t>
  </si>
  <si>
    <t>$1.476 (CHA)</t>
  </si>
  <si>
    <t>$4.710 (CHA)</t>
  </si>
  <si>
    <t>$721 (CHA)</t>
  </si>
  <si>
    <t>$2.909 (SAI)</t>
  </si>
  <si>
    <t>$1.030 (CHA)</t>
  </si>
  <si>
    <t>$3.089 (CHA)</t>
  </si>
  <si>
    <t>$781 (CHA)</t>
  </si>
  <si>
    <t>$429 (CHA)</t>
  </si>
  <si>
    <t>$3.260 (CHA)</t>
  </si>
  <si>
    <t>$721 (SAI)</t>
  </si>
  <si>
    <t>$858 (CHA)</t>
  </si>
  <si>
    <t>$3.346 (CHA)</t>
  </si>
  <si>
    <t>$970 (SAI)</t>
  </si>
  <si>
    <t>$32.124 (AMB)</t>
  </si>
  <si>
    <t>$944 (CHA)</t>
  </si>
  <si>
    <t>$343 (CHA)</t>
  </si>
  <si>
    <t>$2.660 (CHA)</t>
  </si>
  <si>
    <t>$729 (SAI)</t>
  </si>
  <si>
    <t>$3.930 (AMB)</t>
  </si>
  <si>
    <t>$686 (CHA)</t>
  </si>
  <si>
    <t>$849 (SAI)</t>
  </si>
  <si>
    <t>$3.775 (CHA)</t>
  </si>
  <si>
    <t>$8.022 (AMB)</t>
  </si>
  <si>
    <t>$1.201 (CHA)</t>
  </si>
  <si>
    <t>$257 (CHA)</t>
  </si>
  <si>
    <t>$3.492 (SAI)</t>
  </si>
  <si>
    <t>Price in Ecuador</t>
  </si>
  <si>
    <t>$335 (TPA)</t>
  </si>
  <si>
    <t>$360 (TPA)</t>
  </si>
  <si>
    <t>$403 (ATI)</t>
  </si>
  <si>
    <t>$386 (TPA)</t>
  </si>
  <si>
    <t>$480 (TPA)</t>
  </si>
  <si>
    <t>$1.124 (SAI)</t>
  </si>
  <si>
    <t>$395 (TPA)</t>
  </si>
  <si>
    <t>$1.381 (SAI)</t>
  </si>
  <si>
    <t>$438 (SAI)</t>
  </si>
  <si>
    <t>$549 (SAI)</t>
  </si>
  <si>
    <t>$532 (VAP)</t>
  </si>
  <si>
    <t>$343 (TPA)</t>
  </si>
  <si>
    <t>$412 (TPA)</t>
  </si>
  <si>
    <t>$352 (TPA)</t>
  </si>
  <si>
    <t>$378 (TPA)</t>
  </si>
  <si>
    <t>$317 (TPA)</t>
  </si>
  <si>
    <t>$369 (VAP)</t>
  </si>
  <si>
    <t>$275 (VAP)</t>
  </si>
  <si>
    <t>$438 (TPA)</t>
  </si>
  <si>
    <t>Price in Bolivia</t>
  </si>
  <si>
    <t>$232 (CHU)</t>
  </si>
  <si>
    <t>$1.579 (CHU)</t>
  </si>
  <si>
    <t>$292 (CHU)</t>
  </si>
  <si>
    <t>Price in Argentina</t>
  </si>
  <si>
    <t>$601 (LB)</t>
  </si>
  <si>
    <t>$901 (LB)</t>
  </si>
  <si>
    <t>Price in España</t>
  </si>
  <si>
    <t>$1.030 (SA)</t>
  </si>
  <si>
    <t>$1.055 (SAI)</t>
  </si>
  <si>
    <t>$918 (SAI)</t>
  </si>
  <si>
    <t>$1.047 (SAI)</t>
  </si>
  <si>
    <t>$1.193 (SAI)</t>
  </si>
  <si>
    <t>$3.157 (SAI)</t>
  </si>
  <si>
    <t>$987 (SAI)</t>
  </si>
  <si>
    <t>$884 (SAI)</t>
  </si>
  <si>
    <t>$1.004 (SAI)</t>
  </si>
  <si>
    <t>$3.055 (SAI)</t>
  </si>
  <si>
    <t>$867 (SAI)</t>
  </si>
  <si>
    <t>$944 (SAI)</t>
  </si>
  <si>
    <t>$1.175 (VAP)</t>
  </si>
  <si>
    <t>$935 (VAP)</t>
  </si>
  <si>
    <t>$1.150 (SAI)</t>
  </si>
  <si>
    <t>$1.270 (SAI)</t>
  </si>
  <si>
    <t>$3.149 (SAI)</t>
  </si>
  <si>
    <t>$1.313 (SAI)</t>
  </si>
  <si>
    <t>$1.304 (SAI)</t>
  </si>
  <si>
    <t>$1.356 (SAI)</t>
  </si>
  <si>
    <t>$3.252 (SAI)</t>
  </si>
  <si>
    <t xml:space="preserve">Price in Estados Unidos </t>
  </si>
  <si>
    <t>$94.999 (AMB)</t>
  </si>
  <si>
    <t>$169.337 (AMB)</t>
  </si>
  <si>
    <t>$1.742 (VAP)</t>
  </si>
  <si>
    <t>$8.812 (SAI)</t>
  </si>
  <si>
    <t>$35.333 (SAI)</t>
  </si>
  <si>
    <t>Average Demand</t>
  </si>
  <si>
    <t>Std. Dev. Demand</t>
  </si>
  <si>
    <t>Ordering Cost (A)</t>
  </si>
  <si>
    <t>Cost of ordering</t>
  </si>
  <si>
    <t># Trucks</t>
  </si>
  <si>
    <t>Transportation Cost</t>
  </si>
  <si>
    <t>Inventory Cost Cycle</t>
  </si>
  <si>
    <t>Cost Inventory in Transit</t>
  </si>
  <si>
    <t>Purchasing costs</t>
  </si>
  <si>
    <t>Safety Stock Cost SS</t>
  </si>
  <si>
    <t>Stockout SO</t>
  </si>
  <si>
    <t>Cost of Ordering</t>
  </si>
  <si>
    <t>Max demand</t>
  </si>
  <si>
    <t>Dicember</t>
  </si>
  <si>
    <t>MAX Values Q</t>
  </si>
  <si>
    <t>:(</t>
  </si>
  <si>
    <t>Q</t>
  </si>
  <si>
    <t>TLC</t>
  </si>
  <si>
    <t>Total Households</t>
  </si>
  <si>
    <t># Households</t>
  </si>
  <si>
    <t>Mode</t>
  </si>
  <si>
    <t>Cost of Ordering (Transp)</t>
  </si>
  <si>
    <t>Cost of cycle inv.</t>
  </si>
  <si>
    <t>Cost of Safety Stock</t>
  </si>
  <si>
    <t>Cost of in-transit inv</t>
  </si>
  <si>
    <t>Formula</t>
  </si>
  <si>
    <t>A* D/Q</t>
  </si>
  <si>
    <t>h * Q/2</t>
  </si>
  <si>
    <t>h *ss</t>
  </si>
  <si>
    <t>h * D * TT</t>
  </si>
  <si>
    <t>Holding Cost per Veg</t>
  </si>
  <si>
    <t>Huechuraba</t>
  </si>
  <si>
    <t>Inventory holding rate</t>
  </si>
  <si>
    <t>Holding cost</t>
  </si>
  <si>
    <t>Service level</t>
  </si>
  <si>
    <t>Truck capacity (Kg)</t>
  </si>
  <si>
    <t>Avg Holding Cost</t>
  </si>
  <si>
    <t>SUM</t>
  </si>
  <si>
    <t>Average Lead Time (hours)</t>
  </si>
  <si>
    <t>Average Trans. Costs</t>
  </si>
  <si>
    <t>STDV Lead time</t>
  </si>
  <si>
    <t>Acquisition Price</t>
  </si>
  <si>
    <t>Reorder Pt</t>
  </si>
  <si>
    <t>Mean DLT</t>
  </si>
  <si>
    <t>Safety Stock</t>
  </si>
  <si>
    <t>MAX Values</t>
  </si>
  <si>
    <t>Transportation costs</t>
  </si>
  <si>
    <t>15% Demand (KG)</t>
  </si>
  <si>
    <t>X Coordinate</t>
  </si>
  <si>
    <t>Y Coordinate</t>
  </si>
  <si>
    <t>15% Households</t>
  </si>
  <si>
    <t xml:space="preserve">September </t>
  </si>
  <si>
    <t>Average</t>
  </si>
  <si>
    <t>number of pallets</t>
  </si>
  <si>
    <t>average consumption per month</t>
  </si>
  <si>
    <t>average consumption per week</t>
  </si>
  <si>
    <t>Area Calculation for Dark store</t>
  </si>
  <si>
    <t>Dark store</t>
  </si>
  <si>
    <t>Area of a single pallet</t>
  </si>
  <si>
    <t>Total number of pallets</t>
  </si>
  <si>
    <t>Total Area</t>
  </si>
  <si>
    <t>15% Monthly Per-household Demand</t>
  </si>
  <si>
    <t>Maximum demand</t>
  </si>
  <si>
    <t xml:space="preserve"> </t>
  </si>
  <si>
    <t>Months</t>
  </si>
  <si>
    <t>Cauliflower Average</t>
  </si>
  <si>
    <t>Cauliflower Std.dev.</t>
  </si>
  <si>
    <t>Cauliflower LB</t>
  </si>
  <si>
    <t>Cauliflower UB</t>
  </si>
  <si>
    <t>Asparragus Average</t>
  </si>
  <si>
    <t>Asparragus Std.dev.</t>
  </si>
  <si>
    <t>Asparragus LB</t>
  </si>
  <si>
    <t>Asparragus UB</t>
  </si>
  <si>
    <t>Avocado Average</t>
  </si>
  <si>
    <t>Avocado Std.dev.</t>
  </si>
  <si>
    <t>Avocado LB</t>
  </si>
  <si>
    <t>Avocado UB</t>
  </si>
  <si>
    <t>Pineapple Average</t>
  </si>
  <si>
    <t>Pineapple Std.dev.</t>
  </si>
  <si>
    <t>Pineapple LB</t>
  </si>
  <si>
    <t>Pineapple UB</t>
  </si>
  <si>
    <t>Banana Average</t>
  </si>
  <si>
    <t>Banana Std.dev.</t>
  </si>
  <si>
    <t>Banana LB</t>
  </si>
  <si>
    <t>Banana UB</t>
  </si>
  <si>
    <t>Tomato Average</t>
  </si>
  <si>
    <t>Tomato Std.dev.</t>
  </si>
  <si>
    <t>Tomato LB</t>
  </si>
  <si>
    <t>Tomato UB</t>
  </si>
  <si>
    <t>Green Bell Pepper Average</t>
  </si>
  <si>
    <t>Green Bell Pepper Std.dev.</t>
  </si>
  <si>
    <t>Green Bell Pepper LB</t>
  </si>
  <si>
    <t>Green Bell Pepper UB</t>
  </si>
  <si>
    <t>Broccoli Average</t>
  </si>
  <si>
    <t>Broccoli Std.dev.</t>
  </si>
  <si>
    <t>Broccoli LB</t>
  </si>
  <si>
    <t>Broccoli UB</t>
  </si>
  <si>
    <t>Total m^2</t>
  </si>
  <si>
    <t xml:space="preserve">DC </t>
  </si>
  <si>
    <t>DS 1</t>
  </si>
  <si>
    <t>DS 2</t>
  </si>
  <si>
    <t>DS 3</t>
  </si>
  <si>
    <t>DS 4</t>
  </si>
  <si>
    <t>DS 5</t>
  </si>
  <si>
    <t>DS 6</t>
  </si>
  <si>
    <t>DS 7</t>
  </si>
  <si>
    <t>DS 8</t>
  </si>
  <si>
    <t>DS 9</t>
  </si>
  <si>
    <t>total area of ds</t>
  </si>
  <si>
    <t>DC</t>
  </si>
  <si>
    <t>DS</t>
  </si>
  <si>
    <t>Total investment</t>
  </si>
  <si>
    <t xml:space="preserve">Location DC </t>
  </si>
  <si>
    <t>Location DS 1</t>
  </si>
  <si>
    <t>Location DS 2</t>
  </si>
  <si>
    <t>Location DS 3</t>
  </si>
  <si>
    <t>Location DS 4</t>
  </si>
  <si>
    <t>Location DS 5</t>
  </si>
  <si>
    <t>Location DS 6</t>
  </si>
  <si>
    <t>Location DS 7</t>
  </si>
  <si>
    <t>Location DS 8</t>
  </si>
  <si>
    <t>Location DS 9</t>
  </si>
  <si>
    <t>Total population covered</t>
  </si>
  <si>
    <t>In consumption by comuna first row</t>
  </si>
  <si>
    <t>Built M2</t>
  </si>
  <si>
    <t>Parking M2</t>
  </si>
  <si>
    <t>Total M2</t>
  </si>
  <si>
    <t>Quantity</t>
  </si>
  <si>
    <t>Trucks Long Haul</t>
  </si>
  <si>
    <t>COMUNA</t>
  </si>
  <si>
    <t>Name</t>
  </si>
  <si>
    <t>Santiago</t>
  </si>
  <si>
    <t>Comuna (Market) Served</t>
  </si>
  <si>
    <t>Puente Alto</t>
  </si>
  <si>
    <t>Households in Comunas Served:</t>
  </si>
  <si>
    <t>San Bernardo</t>
  </si>
  <si>
    <t>Ñuñoa</t>
  </si>
  <si>
    <t>Peñalolén</t>
  </si>
  <si>
    <t>Pudahuel</t>
  </si>
  <si>
    <t>Quilicura</t>
  </si>
  <si>
    <t>Recoleta</t>
  </si>
  <si>
    <t>La Pintana</t>
  </si>
  <si>
    <t>Estación Central</t>
  </si>
  <si>
    <t>Renca</t>
  </si>
  <si>
    <t>Macul</t>
  </si>
  <si>
    <t>Colina</t>
  </si>
  <si>
    <t>San Miguel</t>
  </si>
  <si>
    <t>Conchalí</t>
  </si>
  <si>
    <t>Quinta Normal</t>
  </si>
  <si>
    <t>Independencia</t>
  </si>
  <si>
    <t>La Granja</t>
  </si>
  <si>
    <t>Lo Prado</t>
  </si>
  <si>
    <t>Lampa</t>
  </si>
  <si>
    <t>San Joaquín</t>
  </si>
  <si>
    <t>La Cisterna</t>
  </si>
  <si>
    <t>La Reina</t>
  </si>
  <si>
    <t>Lo Espejo</t>
  </si>
  <si>
    <t>San Ramón</t>
  </si>
  <si>
    <t>Cerrillos</t>
  </si>
  <si>
    <t>Pirque</t>
  </si>
  <si>
    <t>Tiltil</t>
  </si>
  <si>
    <t>San José de Maipo</t>
  </si>
  <si>
    <t>Area Calculation for Distribution Centre</t>
  </si>
  <si>
    <t>demand per month</t>
  </si>
  <si>
    <t>total area</t>
  </si>
  <si>
    <t>6,24,086</t>
  </si>
  <si>
    <t>2,51,115</t>
  </si>
  <si>
    <t>1,01,383</t>
  </si>
  <si>
    <t>1,11,074</t>
  </si>
  <si>
    <t>TOTAL AREA OCCUPIED BY PALLETS</t>
  </si>
  <si>
    <t>EXTRA AREA FOR OTHER OPERATIONS</t>
  </si>
  <si>
    <t>TOTAL AREA OF EACH DS</t>
  </si>
  <si>
    <t>Area for parking for DC</t>
  </si>
  <si>
    <t xml:space="preserve">Number of trucks </t>
  </si>
  <si>
    <t>area occupied by a truck in m2</t>
  </si>
  <si>
    <t>total parking area</t>
  </si>
  <si>
    <t>excess area for moving the vehicles to move</t>
  </si>
  <si>
    <t>area of the DS</t>
  </si>
  <si>
    <t>Area for parking dark store</t>
  </si>
  <si>
    <t>DS1</t>
  </si>
  <si>
    <t>DS2</t>
  </si>
  <si>
    <t>DS3</t>
  </si>
  <si>
    <t>DS4</t>
  </si>
  <si>
    <t>DS5</t>
  </si>
  <si>
    <t>DS6</t>
  </si>
  <si>
    <t>DS7</t>
  </si>
  <si>
    <t>DS8</t>
  </si>
  <si>
    <t>DS9</t>
  </si>
  <si>
    <r>
      <rPr>
        <rFont val="Calibri"/>
        <b/>
        <color theme="1"/>
        <sz val="11.0"/>
      </rPr>
      <t xml:space="preserve">Population by </t>
    </r>
    <r>
      <rPr>
        <rFont val="Calibri"/>
        <b/>
        <i/>
        <color theme="1"/>
        <sz val="11.0"/>
      </rPr>
      <t>comuna</t>
    </r>
  </si>
  <si>
    <t>Tomato consumption</t>
  </si>
  <si>
    <t>Banana consumption</t>
  </si>
  <si>
    <t>Cauliflower consumption</t>
  </si>
  <si>
    <t>Avocado consumption</t>
  </si>
  <si>
    <t>Pineapple consumption</t>
  </si>
  <si>
    <t>Broccoli consumption</t>
  </si>
  <si>
    <t>Asparagus consumption</t>
  </si>
  <si>
    <t>Green Bell Pepper consumption</t>
  </si>
  <si>
    <t>Total consumption of each communa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</si>
  <si>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</si>
  <si>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</si>
  <si>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</si>
  <si>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</si>
  <si>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</si>
  <si>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</si>
  <si>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</si>
  <si>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</si>
  <si>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</si>
  <si>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</si>
  <si>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</si>
  <si>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</si>
  <si>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</si>
  <si>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</si>
  <si>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</si>
  <si>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</si>
  <si>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</si>
  <si>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</si>
  <si>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</si>
  <si>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</si>
  <si>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</si>
  <si>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</si>
  <si>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</si>
  <si>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</si>
  <si>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</si>
  <si>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</si>
  <si>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</si>
  <si>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</si>
  <si>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</si>
  <si>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</si>
  <si>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</si>
  <si>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</si>
  <si>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</si>
  <si>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</si>
  <si>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</si>
  <si>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</si>
  <si>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</si>
  <si>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</si>
  <si>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</si>
  <si>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TOTAL</t>
  </si>
  <si>
    <t>BY DAY</t>
  </si>
  <si>
    <t xml:space="preserve">BY WEEK </t>
  </si>
  <si>
    <t>BY MONTH</t>
  </si>
  <si>
    <t>Decision Variables</t>
  </si>
  <si>
    <t>Parameters</t>
  </si>
  <si>
    <t>Formulas</t>
  </si>
  <si>
    <t>Values Only</t>
  </si>
  <si>
    <t>Objective Function</t>
  </si>
  <si>
    <t>Location Decisions</t>
  </si>
  <si>
    <t>z_Huecharaba</t>
  </si>
  <si>
    <t>Binary</t>
  </si>
  <si>
    <t>Fixed Costs</t>
  </si>
  <si>
    <t>F_Huecharaba</t>
  </si>
  <si>
    <t>min Investment + Shipping Costs</t>
  </si>
  <si>
    <t>z_CerroNovia</t>
  </si>
  <si>
    <t>F_CerroNovia</t>
  </si>
  <si>
    <t>Huecharaba DC to DS</t>
  </si>
  <si>
    <t>x_HDS1</t>
  </si>
  <si>
    <t>Nonnegative</t>
  </si>
  <si>
    <t>Transportation Costs Per Truckload</t>
  </si>
  <si>
    <t>c_HDS1</t>
  </si>
  <si>
    <t>x_HDS2</t>
  </si>
  <si>
    <t>c_HDS2</t>
  </si>
  <si>
    <t>Constraints</t>
  </si>
  <si>
    <t>x_HDS3</t>
  </si>
  <si>
    <t>c_HDS3</t>
  </si>
  <si>
    <t>Demand Satisfaction DS1</t>
  </si>
  <si>
    <t>x_HDS4</t>
  </si>
  <si>
    <t>c_HDS4</t>
  </si>
  <si>
    <t>Demand Satisfaction DS2</t>
  </si>
  <si>
    <t>x_HDS5</t>
  </si>
  <si>
    <t>c_HDS5</t>
  </si>
  <si>
    <t>Demand Satisfaction DS3</t>
  </si>
  <si>
    <t>x_HDS6</t>
  </si>
  <si>
    <t>c_HDS6</t>
  </si>
  <si>
    <t>Demand Satisfaction DS4</t>
  </si>
  <si>
    <t>x_HDS7</t>
  </si>
  <si>
    <t>c_HDS7</t>
  </si>
  <si>
    <t>Demand Satisfaction DS5</t>
  </si>
  <si>
    <t>x_HDS8</t>
  </si>
  <si>
    <t>c_HDS8</t>
  </si>
  <si>
    <t>Demand Satisfaction DS6</t>
  </si>
  <si>
    <t>x_HDS9</t>
  </si>
  <si>
    <t>c_HDS9</t>
  </si>
  <si>
    <t>Demand Satisfaction DS7</t>
  </si>
  <si>
    <t>Cerro Novia DC to DS</t>
  </si>
  <si>
    <t>x_CNDS1</t>
  </si>
  <si>
    <t>c_CNDS1</t>
  </si>
  <si>
    <t>Demand Satisfaction DS8</t>
  </si>
  <si>
    <t>x_CNDS2</t>
  </si>
  <si>
    <t>c_CNDS2</t>
  </si>
  <si>
    <t>Demand Satisfaction DS9</t>
  </si>
  <si>
    <t>x_CNDS3</t>
  </si>
  <si>
    <t>c_CNDS3</t>
  </si>
  <si>
    <t>Capacity Limits DC1</t>
  </si>
  <si>
    <t>x_CNDS4</t>
  </si>
  <si>
    <t>c_CNDS4</t>
  </si>
  <si>
    <t>Capacity Limits DC2</t>
  </si>
  <si>
    <t>x_CNDS5</t>
  </si>
  <si>
    <t>c_CNDS5</t>
  </si>
  <si>
    <t>x_CNDS6</t>
  </si>
  <si>
    <t>c_CNDS6</t>
  </si>
  <si>
    <t>x_CNDS7</t>
  </si>
  <si>
    <t>c_CNDS7</t>
  </si>
  <si>
    <t>x_CNDS8</t>
  </si>
  <si>
    <t>c_CNDS8</t>
  </si>
  <si>
    <t>x_CNDS9</t>
  </si>
  <si>
    <t>c_CNDS9</t>
  </si>
  <si>
    <t>Cumulative Expected Annual Demand (in Truckloads) Per DS</t>
  </si>
  <si>
    <t>d_DS1</t>
  </si>
  <si>
    <t>d_DS2</t>
  </si>
  <si>
    <t>d_DS3</t>
  </si>
  <si>
    <t>d_DS4</t>
  </si>
  <si>
    <t>d_DS5</t>
  </si>
  <si>
    <t>d_DS6</t>
  </si>
  <si>
    <t>d_DS7</t>
  </si>
  <si>
    <t>d_DS8</t>
  </si>
  <si>
    <t>d_DS9</t>
  </si>
  <si>
    <t>Maximum DC Capacity</t>
  </si>
  <si>
    <t>A_Huecharaba</t>
  </si>
  <si>
    <t>A_CerroNovia</t>
  </si>
  <si>
    <t>Distance Km</t>
  </si>
  <si>
    <t>CLP to USD conversion</t>
  </si>
  <si>
    <t>Transportation Costs by Mini Truck from DC to Dark Stores</t>
  </si>
  <si>
    <t>One-Way Distance Km</t>
  </si>
  <si>
    <t>Cost/trip (CLP)</t>
  </si>
  <si>
    <t>Cost/trip (USD)</t>
  </si>
  <si>
    <t>DC1</t>
  </si>
  <si>
    <t>DC2</t>
  </si>
  <si>
    <t>Capacity (kg)</t>
  </si>
  <si>
    <t>Cost/m^2 (CLP)</t>
  </si>
  <si>
    <t>Investment Cost (CLP)</t>
  </si>
  <si>
    <t>Investment Cost (USD)</t>
  </si>
  <si>
    <t>DC1_Huecharaba</t>
  </si>
  <si>
    <t>Av. Recoleta 5905, 8580842 Santiago, Huechuraba, Región Metropolitana, Chile</t>
  </si>
  <si>
    <t>DC2_CerroNavia</t>
  </si>
  <si>
    <t>5786 Leonor de La Corte Quinta Normal, Santiago Metropolitan Region</t>
  </si>
  <si>
    <t>k2</t>
  </si>
  <si>
    <t>T</t>
  </si>
  <si>
    <t>Prices (Prom)</t>
  </si>
  <si>
    <t>ROMA TOMATO</t>
  </si>
  <si>
    <t>Costo desperdicio tomates roma</t>
  </si>
  <si>
    <t>Days after Harvest</t>
  </si>
  <si>
    <t>Decay</t>
  </si>
  <si>
    <t>Fraction Remaining Shielf Life_t</t>
  </si>
  <si>
    <t>Days ShelfLife Remaining_t</t>
  </si>
  <si>
    <t>Promedio</t>
  </si>
  <si>
    <t>BANANA</t>
  </si>
  <si>
    <t>Desperdicio Banana</t>
  </si>
  <si>
    <t>CAULIFLOWER</t>
  </si>
  <si>
    <t>Desperdicio Cauliflower</t>
  </si>
  <si>
    <t>AVOCADO</t>
  </si>
  <si>
    <t>Desperdicio Avocado</t>
  </si>
  <si>
    <t>PINEAPPLE</t>
  </si>
  <si>
    <t>Desperdicio Pineapple</t>
  </si>
  <si>
    <t>BROCOLLI</t>
  </si>
  <si>
    <t>Desperdicio Brocoli</t>
  </si>
  <si>
    <t>ASPARAGUS</t>
  </si>
  <si>
    <t>Desperdicio Asparagus</t>
  </si>
  <si>
    <t>GREEN B PEPPER</t>
  </si>
  <si>
    <t>Desperdicio Green B Pepper</t>
  </si>
  <si>
    <t xml:space="preserve">Communas </t>
  </si>
  <si>
    <t>Trucks needed per week (10 ton truck)</t>
  </si>
  <si>
    <t>distance matrix in kms</t>
  </si>
  <si>
    <t>Distribution Centre</t>
  </si>
  <si>
    <t>DS 1 Lo Barnechea</t>
  </si>
  <si>
    <t>DS 2 Las condes</t>
  </si>
  <si>
    <t>DS 3 Providencia</t>
  </si>
  <si>
    <t>DS 4 Vitacura</t>
  </si>
  <si>
    <t>DS 5 La Florida</t>
  </si>
  <si>
    <t>DS 6 Cerro Navia</t>
  </si>
  <si>
    <t>DS 7 Pedro Cerda</t>
  </si>
  <si>
    <t>DS 8 El Bosque</t>
  </si>
  <si>
    <t>DS 9 Maipú</t>
  </si>
  <si>
    <r>
      <rPr/>
      <t xml:space="preserve">We plan to use a 10 ton izuzu truck. The price of the truck is  </t>
    </r>
    <r>
      <rPr>
        <color rgb="FF1155CC"/>
        <u/>
      </rPr>
      <t>https://www.alibaba.com/product-detail/2023-Factory-Price-Isuzu-Trucks-10_1600982077972.html?s=p.</t>
    </r>
  </si>
  <si>
    <t>The price of the truck</t>
  </si>
  <si>
    <t>Pooling communas/ direct transfer</t>
  </si>
  <si>
    <t>number of trucks per week</t>
  </si>
  <si>
    <t>number of trucks per year</t>
  </si>
  <si>
    <t>kms travelled by a single truck</t>
  </si>
  <si>
    <t>Total kms travelled in a year</t>
  </si>
  <si>
    <t>Revenue Per Order due to delivery fee (CLP):</t>
  </si>
  <si>
    <t>https://cotap.org/carbon-footprint-calculator/?gclid=CjwKCAiA9ourBhAVEiwA3L5RFjF43c08aZYFT5WzZ0fjLkAmodMImYm2DDdK5oQomlUbEP-9-Bd-fhoCNl4QAvD_BwE</t>
  </si>
  <si>
    <t>Transportation from Suppliers to DC:</t>
  </si>
  <si>
    <t>Number of Truckloads per month per product is from the Aggregated EOQ sheet</t>
  </si>
  <si>
    <t>Distances Traveled per truck are assumed the same for each trip, and are twice the value of the distance in the Variability in transit times sheet to account for round trip travel</t>
  </si>
  <si>
    <t>Manually Cross-referenced Supplier for each month to get correct distance</t>
  </si>
  <si>
    <t>Pouunds CO2 emitted by one gallon of gasoline:</t>
  </si>
  <si>
    <t>https://cotap.org/methodology/</t>
  </si>
  <si>
    <t>Assumed efficiency (mpg):</t>
  </si>
  <si>
    <t>https://www.quora.com/What-is-the-fuel-consumption-for-a-40ft-trailer#:~:text=A%20broad%20estimate%20put%20the,the%20edge%20on%20the%20highway.</t>
  </si>
  <si>
    <t>Km per Mi:</t>
  </si>
  <si>
    <t>Tonnes per pound:</t>
  </si>
  <si>
    <t>Tonnes CO2 emitted per truck per kilometer:</t>
  </si>
  <si>
    <t>Table: Tonnes CO2</t>
  </si>
  <si>
    <t>Total Annual Tonnes CO2 Suppliers to DC:</t>
  </si>
  <si>
    <t>Transportation from DC to Dark store</t>
  </si>
  <si>
    <t>total annual tonnes Co2 DC to Dark Stores</t>
  </si>
  <si>
    <t>Last Mile Delivery from dark store to customer</t>
  </si>
  <si>
    <t>https://thrustcarbon.com/insights/how-to-calculate-motorbike-co2-emissions</t>
  </si>
  <si>
    <t>Assumed efficiency (kmpl):</t>
  </si>
  <si>
    <t>total number of motorbikes</t>
  </si>
  <si>
    <t>Km travelled by a driver in a day</t>
  </si>
  <si>
    <t>total km travelled by a 441 drivers in day</t>
  </si>
  <si>
    <t>total km travelled by a 441 drivers in an year</t>
  </si>
  <si>
    <t>total annual tonnes Co2 from dark store to end user</t>
  </si>
  <si>
    <t>Order Size (Kg)</t>
  </si>
  <si>
    <t>Frequency (days between orders)</t>
  </si>
  <si>
    <t>Expected daily demand (Total over all comunas, 15% households)</t>
  </si>
  <si>
    <t>-</t>
  </si>
  <si>
    <t>1 Municipality (Maipu, 15% households)</t>
  </si>
  <si>
    <t>Extrapolation to all municipalities</t>
  </si>
  <si>
    <t>Number of vehicles</t>
  </si>
  <si>
    <t># Calculated using the inverse of a Poisson distribution on hourly orders at 95% service level assuming the Assumed number of deliveries per hour in Cell F17. No inverse Poisson fxn in excel, so used matlab</t>
  </si>
  <si>
    <t>Cost per vehicle (CLP)</t>
  </si>
  <si>
    <r>
      <rPr>
        <rFont val="Calibri, sans-serif"/>
        <color rgb="FF1155CC"/>
        <sz val="11.0"/>
        <u/>
      </rPr>
      <t>https://www.alibaba.com/product-detail/2023-hot-selling-best-quality-946_60665590303.html?spm=a2700.galleryofferlist.normal_offer.d_title.6d234489TLXAES</t>
    </r>
    <r>
      <rPr>
        <rFont val="Calibri, sans-serif"/>
        <color rgb="FF0563C1"/>
        <sz val="11.0"/>
        <u/>
      </rPr>
      <t xml:space="preserve"> </t>
    </r>
  </si>
  <si>
    <t>&lt;- estimated enough storage space for 5 orders</t>
  </si>
  <si>
    <t># Average stops / 8 hr shift</t>
  </si>
  <si>
    <t>8 hrs times number of deliveries per hour</t>
  </si>
  <si>
    <t>Average speed (km/hr)</t>
  </si>
  <si>
    <t>Standardized information</t>
  </si>
  <si>
    <t>Average distance between stops (km)</t>
  </si>
  <si>
    <t>Distance traveled is a function of average speed and number of stops</t>
  </si>
  <si>
    <t>Assumed # Deliveries/hour:</t>
  </si>
  <si>
    <t>Service time per order (min)</t>
  </si>
  <si>
    <t>Assumed # returns to DS/ hour (counting initial loading):</t>
  </si>
  <si>
    <t>Fuel cost/km</t>
  </si>
  <si>
    <t>Standardized information + 10 km/L ((1300 CLP/L) / (10 km/L) = 130)</t>
  </si>
  <si>
    <t>Motorcycle Efficiency (km/L):</t>
  </si>
  <si>
    <t>Driver cost/km (CLP)</t>
  </si>
  <si>
    <r>
      <rPr>
        <rFont val="Calibri, sans-serif"/>
        <color rgb="FF0563C1"/>
        <sz val="11.0"/>
        <u/>
      </rPr>
      <t xml:space="preserve">1) </t>
    </r>
    <r>
      <rPr>
        <rFont val="Calibri, sans-serif"/>
        <color rgb="FF0563C1"/>
        <sz val="11.0"/>
        <u/>
      </rPr>
      <t>https://doi.org/10.1007/s11116-020-10127-7</t>
    </r>
    <r>
      <rPr>
        <rFont val="Calibri, sans-serif"/>
        <color rgb="FF0563C1"/>
        <sz val="11.0"/>
        <u/>
      </rPr>
      <t xml:space="preserve"> (used median value in Figure 3)</t>
    </r>
  </si>
  <si>
    <t xml:space="preserve">Interest rate </t>
  </si>
  <si>
    <t>Years of Loan</t>
  </si>
  <si>
    <t>Capital recovery cost/km</t>
  </si>
  <si>
    <t>https://en.wikipedia.org/wiki/Capital_recovery_factor</t>
  </si>
  <si>
    <t>Total km/day</t>
  </si>
  <si>
    <t>Average stops per 13 hours (8am to 9pm) of deliveries per day times distance between stops</t>
  </si>
  <si>
    <t xml:space="preserve">Assumed delivery hours per day (from Project Info): </t>
  </si>
  <si>
    <t>Total cost per day per vehicle</t>
  </si>
  <si>
    <t>Sum of per kilometer costs times km per day</t>
  </si>
  <si>
    <t>365 times daily costs</t>
  </si>
  <si>
    <t>Fuel Cost</t>
  </si>
  <si>
    <t>$CLP per liter</t>
  </si>
  <si>
    <t>Estimate the consumption according to vehicle and distance traveled</t>
  </si>
  <si>
    <t>Average speed</t>
  </si>
  <si>
    <t>Km per hour</t>
  </si>
  <si>
    <t>Service Time (to deliver one order per house)</t>
  </si>
  <si>
    <t>Minutes per house</t>
  </si>
  <si>
    <t>Total Deliveries per day (# vehicles * # hrs * num deliveries per hr):</t>
  </si>
  <si>
    <t>Total Deliveries per Year</t>
  </si>
  <si>
    <t>Total Order Revenue (Assuming $2 USD ie 1736.03 CLP)</t>
  </si>
  <si>
    <t>Assumption 1:</t>
  </si>
  <si>
    <t>The savings method is the same for all communas, so the consumption of the largest communa is taken and that is replicated</t>
  </si>
  <si>
    <t>Assumption 2:</t>
  </si>
  <si>
    <t>The commune is divided into 10 blocks, where each block is equally uniform to the other and the distribution within the block is the same for the other blocks.</t>
  </si>
  <si>
    <t>Assumption 3:</t>
  </si>
  <si>
    <t>The round trip distance is the same, that is, going 3-4 is the same as going 4-3.</t>
  </si>
  <si>
    <t>A truck yields an average of 8 km/liter.</t>
  </si>
  <si>
    <t>Dark store:</t>
  </si>
  <si>
    <t>The one located in the commune of La Florida</t>
  </si>
  <si>
    <t>Households/block</t>
  </si>
  <si>
    <t>Capacity Truck</t>
  </si>
  <si>
    <t>kg</t>
  </si>
  <si>
    <t>Average Speed</t>
  </si>
  <si>
    <t>km/hr</t>
  </si>
  <si>
    <t>CLP/ltr</t>
  </si>
  <si>
    <t>Service Time</t>
  </si>
  <si>
    <t>hr</t>
  </si>
  <si>
    <t>Service Time in block</t>
  </si>
  <si>
    <t>Consumption in PA (year)</t>
  </si>
  <si>
    <t>Kg</t>
  </si>
  <si>
    <t>Consumption in PA (daily)</t>
  </si>
  <si>
    <t>Gasto Camión</t>
  </si>
  <si>
    <t>km/litro</t>
  </si>
  <si>
    <t>Nº Trabajadores/bloque</t>
  </si>
  <si>
    <t>Households per worker</t>
  </si>
  <si>
    <t>Driver Shift</t>
  </si>
  <si>
    <t>hours</t>
  </si>
  <si>
    <t>TIme to prepare orders</t>
  </si>
  <si>
    <t xml:space="preserve">Hourly wage </t>
  </si>
  <si>
    <t>CLP per hour</t>
  </si>
  <si>
    <t>Savings</t>
  </si>
  <si>
    <t>Blocks</t>
  </si>
  <si>
    <t>Y</t>
  </si>
  <si>
    <t>Distance (Km)</t>
  </si>
  <si>
    <t>Consumption</t>
  </si>
  <si>
    <t>Bloque</t>
  </si>
  <si>
    <t>Time</t>
  </si>
  <si>
    <t>Costs</t>
  </si>
  <si>
    <t>K</t>
  </si>
  <si>
    <t>Value</t>
  </si>
  <si>
    <t>Nodo</t>
  </si>
  <si>
    <t>Feasible</t>
  </si>
  <si>
    <t>Route</t>
  </si>
  <si>
    <t>Computations for each truck</t>
  </si>
  <si>
    <t>CAP</t>
  </si>
  <si>
    <t>Travel distance (kg)</t>
  </si>
  <si>
    <t>Travel time (hrs)</t>
  </si>
  <si>
    <t>Service time (hrs)</t>
  </si>
  <si>
    <t>Time to prepare order</t>
  </si>
  <si>
    <t>Total time per route</t>
  </si>
  <si>
    <t xml:space="preserve">Transportation </t>
  </si>
  <si>
    <t>Driver</t>
  </si>
  <si>
    <t>Yes</t>
  </si>
  <si>
    <t>D</t>
  </si>
  <si>
    <t>No</t>
  </si>
  <si>
    <t>Total costs (500 trucks)</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</si>
</sst>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quot;$&quot;#,##0"/>
    <numFmt numFmtId="165" formatCode="&quot;$&quot;#,##0.00"/>
    <numFmt numFmtId="166" formatCode="&quot;$&quot;\ #,##0.00"/>
    <numFmt numFmtId="167" formatCode="_ &quot;$&quot;* #,##0_ ;_ &quot;$&quot;* \-#,##0_ ;_ &quot;$&quot;* &quot;-&quot;_ ;_ @_ "/>
    <numFmt numFmtId="168" formatCode="0.000000"/>
    <numFmt numFmtId="169" formatCode="#,##0.000"/>
    <numFmt numFmtId="170" formatCode="_(&quot;$&quot;* #,##0_);_(&quot;$&quot;* \(#,##0\);_(&quot;$&quot;* &quot;-&quot;??_);_(@_)"/>
    <numFmt numFmtId="171" formatCode="_(&quot;$&quot;* #,##0.00_);_(&quot;$&quot;* \(#,##0.00\);_(&quot;$&quot;* &quot;-&quot;??_);_(@_)"/>
    <numFmt numFmtId="172" formatCode="#,##0.0"/>
    <numFmt numFmtId="173" formatCode="_(&quot;$&quot;* #,##0.00_);_(&quot;$&quot;* \(#,##0.00\);_(&quot;$&quot;* &quot;-&quot;??.00_);_(@_)"/>
    <numFmt numFmtId="174" formatCode="0.000"/>
    <numFmt numFmtId="175" formatCode="m/d/yyyy"/>
    <numFmt numFmtId="176" formatCode="0.0"/>
    <numFmt numFmtId="177" formatCode="0.0000"/>
  </numFmts>
  <fonts count="32">
    <font>
      <sz val="11.0"/>
      <color theme="1"/>
      <name val="Calibri"/>
      <scheme val="minor"/>
    </font>
    <font>
      <sz val="11.0"/>
      <color theme="1"/>
      <name val="Calibri"/>
    </font>
    <font/>
    <font>
      <b/>
      <sz val="11.0"/>
      <color theme="1"/>
      <name val="Calibri"/>
    </font>
    <font>
      <color theme="1"/>
      <name val="Calibri"/>
      <scheme val="minor"/>
    </font>
    <font>
      <b/>
      <color theme="1"/>
      <name val="Calibri"/>
      <scheme val="minor"/>
    </font>
    <font>
      <sz val="11.0"/>
      <color rgb="FF000000"/>
      <name val="Calibri"/>
    </font>
    <font>
      <u/>
      <color rgb="FF0000FF"/>
      <name val="Calibri"/>
    </font>
    <font>
      <color theme="1"/>
      <name val="Calibri"/>
    </font>
    <font>
      <b/>
      <color theme="1"/>
      <name val="Calibri"/>
    </font>
    <font>
      <u/>
      <color rgb="FF0000FF"/>
    </font>
    <font>
      <b/>
      <sz val="11.0"/>
      <color rgb="FF000000"/>
      <name val="Calibri"/>
    </font>
    <font>
      <sz val="9.0"/>
      <color rgb="FF000000"/>
      <name val="Arial"/>
    </font>
    <font>
      <color rgb="FF000000"/>
      <name val="Calibri"/>
    </font>
    <font>
      <sz val="11.0"/>
      <color rgb="FF222222"/>
      <name val="Calibri"/>
    </font>
    <font>
      <sz val="11.0"/>
      <color theme="1"/>
      <name val="Arial"/>
    </font>
    <font>
      <color theme="1"/>
      <name val="Arial"/>
    </font>
    <font>
      <b/>
      <u/>
      <sz val="11.0"/>
      <color theme="1"/>
      <name val="Calibri"/>
    </font>
    <font>
      <b/>
      <u/>
      <sz val="11.0"/>
      <color theme="1"/>
      <name val="Calibri"/>
    </font>
    <font>
      <b/>
      <color theme="1"/>
      <name val="Times New Roman"/>
    </font>
    <font>
      <color theme="1"/>
      <name val="Times New Roman"/>
    </font>
    <font>
      <b/>
      <sz val="11.0"/>
      <color theme="1"/>
      <name val="Times New Roman"/>
    </font>
    <font>
      <sz val="11.0"/>
      <color theme="1"/>
      <name val="Times New Roman"/>
    </font>
    <font>
      <sz val="11.0"/>
      <color rgb="FF000000"/>
      <name val="Times New Roman"/>
    </font>
    <font>
      <u/>
      <color rgb="FF0000FF"/>
    </font>
    <font>
      <u/>
      <color rgb="FF0000FF"/>
    </font>
    <font>
      <sz val="9.0"/>
      <color rgb="FFF7981D"/>
      <name val="&quot;Google Sans Mono&quot;"/>
    </font>
    <font>
      <sz val="9.0"/>
      <color rgb="FF7E3794"/>
      <name val="&quot;Google Sans Mono&quot;"/>
    </font>
    <font>
      <b/>
      <color rgb="FF000000"/>
      <name val="Calibri"/>
    </font>
    <font>
      <sz val="9.0"/>
      <color rgb="FF000000"/>
      <name val="&quot;Google Sans Mono&quot;"/>
    </font>
    <font>
      <u/>
      <sz val="11.0"/>
      <color rgb="FF0563C1"/>
      <name val="Calibri"/>
    </font>
    <font>
      <u/>
      <color rgb="FF0000FF"/>
    </font>
  </fonts>
  <fills count="18">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8DB3E2"/>
        <bgColor rgb="FF8DB3E2"/>
      </patternFill>
    </fill>
    <fill>
      <patternFill patternType="solid">
        <fgColor rgb="FF92D050"/>
        <bgColor rgb="FF92D050"/>
      </patternFill>
    </fill>
    <fill>
      <patternFill patternType="solid">
        <fgColor rgb="FFCCCCCC"/>
        <bgColor rgb="FFCCCCCC"/>
      </patternFill>
    </fill>
    <fill>
      <patternFill patternType="solid">
        <fgColor rgb="FFFFFFFF"/>
        <bgColor rgb="FFFFFFFF"/>
      </patternFill>
    </fill>
    <fill>
      <patternFill patternType="solid">
        <fgColor rgb="FF93C47D"/>
        <bgColor rgb="FF93C47D"/>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FCE5CD"/>
        <bgColor rgb="FFFCE5CD"/>
      </patternFill>
    </fill>
    <fill>
      <patternFill patternType="solid">
        <fgColor rgb="FFCBCBCB"/>
        <bgColor rgb="FFCBCBCB"/>
      </patternFill>
    </fill>
    <fill>
      <patternFill patternType="solid">
        <fgColor theme="8"/>
        <bgColor theme="8"/>
      </patternFill>
    </fill>
    <fill>
      <patternFill patternType="solid">
        <fgColor rgb="FFA4C2F4"/>
        <bgColor rgb="FFA4C2F4"/>
      </patternFill>
    </fill>
    <fill>
      <patternFill patternType="solid">
        <fgColor theme="9"/>
        <bgColor theme="9"/>
      </patternFill>
    </fill>
    <fill>
      <patternFill patternType="solid">
        <fgColor rgb="FFF2F2F2"/>
        <bgColor rgb="FFF2F2F2"/>
      </patternFill>
    </fill>
  </fills>
  <borders count="126">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right/>
      <top/>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top style="medium">
        <color rgb="FF000000"/>
      </top>
    </border>
    <border>
      <left/>
      <right/>
    </border>
    <border>
      <left style="medium">
        <color rgb="FF000000"/>
      </left>
      <top style="medium">
        <color rgb="FF000000"/>
      </top>
    </border>
    <border>
      <top style="medium">
        <color rgb="FF000000"/>
      </top>
    </border>
    <border>
      <right style="medium">
        <color rgb="FF000000"/>
      </right>
      <top style="medium">
        <color rgb="FF000000"/>
      </top>
    </border>
    <border>
      <left/>
      <top/>
      <bottom/>
    </border>
    <border>
      <top/>
      <bottom/>
    </border>
    <border>
      <right/>
      <top/>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bottom/>
    </border>
    <border>
      <left style="thin">
        <color rgb="FF000000"/>
      </left>
      <right style="thin">
        <color rgb="FF000000"/>
      </right>
      <bottom style="thin">
        <color rgb="FF000000"/>
      </bottom>
    </border>
    <border>
      <left/>
      <right/>
      <bottom/>
    </border>
    <border>
      <left style="thin">
        <color rgb="FF000000"/>
      </left>
      <right style="medium">
        <color rgb="FF000000"/>
      </right>
      <top/>
      <bottom style="medium">
        <color rgb="FF000000"/>
      </bottom>
    </border>
    <border>
      <left style="thin">
        <color rgb="FF000000"/>
      </left>
      <top style="thin">
        <color rgb="FF000000"/>
      </top>
      <bottom style="thin">
        <color rgb="FF000000"/>
      </bottom>
    </border>
    <border>
      <left style="thin">
        <color rgb="FF000000"/>
      </left>
      <right style="medium">
        <color rgb="FF000000"/>
      </right>
      <bottom style="medium">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rder>
    <border>
      <left style="medium">
        <color rgb="FF000000"/>
      </left>
      <top style="thin">
        <color rgb="FF000000"/>
      </top>
      <bottom style="medium">
        <color rgb="FF000000"/>
      </bottom>
    </border>
    <border>
      <left/>
      <right/>
      <top/>
    </border>
    <border>
      <left/>
      <top/>
    </border>
    <border>
      <right/>
      <top/>
    </border>
    <border>
      <left style="medium">
        <color rgb="FF000000"/>
      </left>
      <right style="medium">
        <color rgb="FF000000"/>
      </right>
      <top style="medium">
        <color rgb="FF000000"/>
      </top>
      <bottom style="medium">
        <color rgb="FF000000"/>
      </bottom>
    </border>
    <border>
      <top/>
    </border>
    <border>
      <left style="thick">
        <color rgb="FF000000"/>
      </left>
      <right style="thick">
        <color rgb="FF000000"/>
      </right>
      <top style="thick">
        <color rgb="FF000000"/>
      </top>
      <bottom style="thick">
        <color rgb="FF000000"/>
      </bottom>
    </border>
    <border>
      <left style="medium">
        <color rgb="FF000000"/>
      </left>
      <right style="medium">
        <color rgb="FF000000"/>
      </right>
      <top style="medium">
        <color rgb="FF000000"/>
      </top>
    </border>
    <border>
      <right style="medium">
        <color rgb="FF000000"/>
      </right>
      <top style="medium">
        <color rgb="FF000000"/>
      </top>
      <bottom style="thin">
        <color rgb="FF000000"/>
      </bottom>
    </border>
    <border>
      <left style="medium">
        <color rgb="FF000000"/>
      </left>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medium">
        <color rgb="FF000000"/>
      </right>
      <bottom style="thin">
        <color rgb="FF000000"/>
      </bottom>
    </border>
    <border>
      <left style="medium">
        <color rgb="FF000000"/>
      </left>
      <right style="thin">
        <color rgb="FF000000"/>
      </right>
      <top style="medium">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medium">
        <color rgb="FF000000"/>
      </right>
      <top/>
      <bottom/>
    </border>
    <border>
      <left style="medium">
        <color rgb="FF000000"/>
      </left>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style="thin">
        <color rgb="FF000000"/>
      </left>
      <right style="thin">
        <color rgb="FF000000"/>
      </right>
      <top style="thin">
        <color rgb="FF000000"/>
      </top>
    </border>
    <border>
      <left style="thin">
        <color rgb="FF000000"/>
      </left>
      <right style="thin">
        <color rgb="FF000000"/>
      </right>
    </border>
    <border>
      <top style="medium">
        <color rgb="FF000000"/>
      </top>
      <bottom style="thin">
        <color rgb="FF000000"/>
      </bottom>
    </border>
    <border>
      <left style="medium">
        <color rgb="FF000000"/>
      </left>
      <right style="thin">
        <color rgb="FF000000"/>
      </right>
    </border>
    <border>
      <right style="medium">
        <color rgb="FF000000"/>
      </right>
      <top style="thin">
        <color rgb="FF000000"/>
      </top>
      <bottom style="thin">
        <color rgb="FF000000"/>
      </bottom>
    </border>
    <border>
      <right style="thin">
        <color rgb="FFCCCCCC"/>
      </right>
      <top style="medium">
        <color rgb="FF000000"/>
      </top>
      <bottom style="medium">
        <color rgb="FF000000"/>
      </bottom>
    </border>
    <border>
      <left style="thin">
        <color rgb="FFCCCCCC"/>
      </left>
      <right style="thin">
        <color rgb="FFCCCCCC"/>
      </right>
      <top style="medium">
        <color rgb="FF000000"/>
      </top>
      <bottom style="medium">
        <color rgb="FF000000"/>
      </bottom>
    </border>
    <border>
      <left style="thin">
        <color rgb="FFCCCCCC"/>
      </left>
      <right style="medium">
        <color rgb="FF000000"/>
      </right>
      <top style="medium">
        <color rgb="FF000000"/>
      </top>
      <bottom style="medium">
        <color rgb="FF000000"/>
      </bottom>
    </border>
    <border>
      <left style="medium">
        <color rgb="FF000000"/>
      </left>
      <right style="medium">
        <color rgb="FF000000"/>
      </right>
      <bottom style="thin">
        <color rgb="FFCCCCCC"/>
      </bottom>
    </border>
    <border>
      <right style="thin">
        <color rgb="FFCCCCCC"/>
      </right>
      <bottom style="thin">
        <color rgb="FFCCCCCC"/>
      </bottom>
    </border>
    <border>
      <left style="thin">
        <color rgb="FFCCCCCC"/>
      </left>
      <right style="thin">
        <color rgb="FFCCCCCC"/>
      </right>
      <bottom style="thin">
        <color rgb="FFCCCCCC"/>
      </bottom>
    </border>
    <border>
      <left style="thin">
        <color rgb="FFCCCCCC"/>
      </left>
      <right style="medium">
        <color rgb="FF000000"/>
      </right>
      <bottom style="thin">
        <color rgb="FFCCCCCC"/>
      </bottom>
    </border>
    <border>
      <left style="medium">
        <color rgb="FF000000"/>
      </left>
      <right style="medium">
        <color rgb="FF000000"/>
      </right>
      <top style="thin">
        <color rgb="FFCCCCCC"/>
      </top>
      <bottom style="thin">
        <color rgb="FFCCCCCC"/>
      </bottom>
    </border>
    <border>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
      <left style="thin">
        <color rgb="FFCCCCCC"/>
      </left>
      <right style="medium">
        <color rgb="FF000000"/>
      </right>
      <top style="thin">
        <color rgb="FFCCCCCC"/>
      </top>
      <bottom style="thin">
        <color rgb="FFCCCCCC"/>
      </bottom>
    </border>
    <border>
      <left style="medium">
        <color rgb="FF000000"/>
      </left>
      <right style="medium">
        <color rgb="FF000000"/>
      </right>
      <top style="thin">
        <color rgb="FFCCCCCC"/>
      </top>
      <bottom style="medium">
        <color rgb="FF000000"/>
      </bottom>
    </border>
    <border>
      <right style="thin">
        <color rgb="FFCCCCCC"/>
      </right>
      <top style="thin">
        <color rgb="FFCCCCCC"/>
      </top>
      <bottom style="medium">
        <color rgb="FF000000"/>
      </bottom>
    </border>
    <border>
      <left style="thin">
        <color rgb="FFCCCCCC"/>
      </left>
      <right style="thin">
        <color rgb="FFCCCCCC"/>
      </right>
      <top style="thin">
        <color rgb="FFCCCCCC"/>
      </top>
      <bottom style="medium">
        <color rgb="FF000000"/>
      </bottom>
    </border>
    <border>
      <left style="thin">
        <color rgb="FFCCCCCC"/>
      </left>
      <right style="medium">
        <color rgb="FF000000"/>
      </right>
      <top style="thin">
        <color rgb="FFCCCCCC"/>
      </top>
      <bottom style="medium">
        <color rgb="FF000000"/>
      </bottom>
    </border>
    <border>
      <left style="thin">
        <color rgb="FFCCCCCC"/>
      </left>
      <right style="thin">
        <color rgb="FFCCCCCC"/>
      </right>
      <top style="thin">
        <color rgb="FFCCCCCC"/>
      </top>
    </border>
    <border>
      <top style="thin">
        <color rgb="FFCCCCCC"/>
      </top>
      <bottom style="thin">
        <color rgb="FFCCCCCC"/>
      </bottom>
    </border>
    <border>
      <left style="thin">
        <color rgb="FFCCCCCC"/>
      </left>
      <right style="thin">
        <color rgb="FFCCCCCC"/>
      </right>
      <bottom style="medium">
        <color rgb="FF000000"/>
      </bottom>
    </border>
    <border>
      <bottom style="medium">
        <color rgb="FF000000"/>
      </bottom>
    </border>
    <border>
      <left style="medium">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top style="thin">
        <color rgb="FF000000"/>
      </top>
      <bottom style="thin">
        <color rgb="FF000000"/>
      </bottom>
    </border>
    <border>
      <left style="medium">
        <color rgb="FF000000"/>
      </left>
      <right style="medium">
        <color rgb="FF000000"/>
      </right>
      <top style="thin">
        <color rgb="FF000000"/>
      </top>
    </border>
    <border>
      <left style="thin">
        <color rgb="FF000000"/>
      </left>
      <bottom style="thin">
        <color rgb="FF000000"/>
      </bottom>
    </border>
    <border>
      <right style="medium">
        <color rgb="FF000000"/>
      </right>
      <bottom style="thin">
        <color rgb="FF000000"/>
      </bottom>
    </border>
    <border>
      <right style="thin">
        <color rgb="FF000000"/>
      </right>
      <bottom style="thin">
        <color rgb="FF000000"/>
      </bottom>
    </border>
    <border>
      <left style="medium">
        <color rgb="FF000000"/>
      </left>
      <right style="medium">
        <color rgb="FF000000"/>
      </right>
      <bottom style="thin">
        <color rgb="FF000000"/>
      </bottom>
    </border>
    <border>
      <left style="medium">
        <color rgb="FF000000"/>
      </left>
      <right style="medium">
        <color rgb="FF000000"/>
      </right>
      <top style="thin">
        <color rgb="FF000000"/>
      </top>
      <bottom style="thin">
        <color rgb="FF000000"/>
      </bottom>
    </border>
    <border>
      <right style="thin">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top style="medium">
        <color rgb="FF000000"/>
      </top>
    </border>
    <border>
      <left/>
    </border>
    <border>
      <right/>
    </border>
    <border>
      <left/>
      <bottom/>
    </border>
    <border>
      <right/>
      <bottom/>
    </border>
    <border>
      <left/>
      <right style="medium">
        <color rgb="FF000000"/>
      </right>
      <top/>
      <bottom/>
    </border>
    <border>
      <left style="thin">
        <color rgb="FF000000"/>
      </left>
      <top style="thin">
        <color rgb="FF000000"/>
      </top>
    </border>
    <border>
      <left style="medium">
        <color rgb="FF000000"/>
      </left>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thin">
        <color rgb="FF000000"/>
      </left>
      <right style="medium">
        <color rgb="FF000000"/>
      </right>
      <top style="thin">
        <color rgb="FF000000"/>
      </top>
      <bottom/>
    </border>
    <border>
      <right style="thin">
        <color rgb="FF000000"/>
      </right>
      <top style="thin">
        <color rgb="FF000000"/>
      </top>
    </border>
    <border>
      <right style="thin">
        <color rgb="FF000000"/>
      </right>
    </border>
    <border>
      <bottom style="thin">
        <color rgb="FF000000"/>
      </bottom>
    </border>
    <border>
      <left style="medium">
        <color rgb="FF000000"/>
      </left>
      <top/>
      <bottom style="medium">
        <color rgb="FF000000"/>
      </bottom>
    </border>
    <border>
      <top/>
      <bottom style="medium">
        <color rgb="FF000000"/>
      </bottom>
    </border>
    <border>
      <left style="thick">
        <color rgb="FFFF0000"/>
      </left>
      <top style="thick">
        <color rgb="FFFF0000"/>
      </top>
    </border>
    <border>
      <top style="thick">
        <color rgb="FFFF0000"/>
      </top>
    </border>
    <border>
      <right style="thick">
        <color rgb="FFFF0000"/>
      </right>
      <top style="thick">
        <color rgb="FFFF0000"/>
      </top>
    </border>
    <border>
      <left style="thick">
        <color rgb="FFFF0000"/>
      </left>
    </border>
    <border>
      <right style="thick">
        <color rgb="FFFF0000"/>
      </right>
    </border>
    <border>
      <left style="thin">
        <color rgb="FF000000"/>
      </left>
      <right style="thin">
        <color rgb="FF000000"/>
      </right>
      <top style="thick">
        <color rgb="FFFF0000"/>
      </top>
      <bottom style="thin">
        <color rgb="FF000000"/>
      </bottom>
    </border>
    <border>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right style="thin">
        <color rgb="FF000000"/>
      </right>
      <top style="thin">
        <color rgb="FF000000"/>
      </top>
      <bottom style="thin">
        <color rgb="FF000000"/>
      </bottom>
    </border>
    <border>
      <left style="thick">
        <color rgb="FFFF0000"/>
      </left>
      <right style="thin">
        <color rgb="FF000000"/>
      </right>
      <bottom style="thin">
        <color rgb="FF000000"/>
      </bottom>
    </border>
    <border>
      <left style="thick">
        <color rgb="FFFF0000"/>
      </left>
      <bottom style="thick">
        <color rgb="FFFF0000"/>
      </bottom>
    </border>
    <border>
      <bottom style="thick">
        <color rgb="FFFF0000"/>
      </bottom>
    </border>
    <border>
      <left style="thick">
        <color rgb="FFFF0000"/>
      </left>
      <right style="thin">
        <color rgb="FF000000"/>
      </right>
      <bottom style="thick">
        <color rgb="FFFF0000"/>
      </bottom>
    </border>
    <border>
      <right style="thick">
        <color rgb="FFFF0000"/>
      </right>
      <bottom style="thick">
        <color rgb="FFFF0000"/>
      </bottom>
    </border>
    <border>
      <top style="thin">
        <color rgb="FF000000"/>
      </top>
    </border>
    <border>
      <left style="thin">
        <color rgb="FF000000"/>
      </left>
    </border>
  </borders>
  <cellStyleXfs count="1">
    <xf borderId="0" fillId="0" fontId="0" numFmtId="0" applyAlignment="1" applyFont="1"/>
  </cellStyleXfs>
  <cellXfs count="596">
    <xf borderId="0" fillId="0" fontId="0" numFmtId="0" xfId="0" applyAlignment="1" applyFont="1">
      <alignment readingOrder="0" shrinkToFit="0" vertical="bottom" wrapText="0"/>
    </xf>
    <xf borderId="1" fillId="0" fontId="1" numFmtId="0" xfId="0" applyBorder="1" applyFont="1"/>
    <xf borderId="2" fillId="0" fontId="1" numFmtId="0" xfId="0" applyAlignment="1" applyBorder="1" applyFont="1">
      <alignment readingOrder="0"/>
    </xf>
    <xf borderId="3" fillId="0" fontId="1" numFmtId="0" xfId="0" applyAlignment="1" applyBorder="1" applyFont="1">
      <alignment readingOrder="0"/>
    </xf>
    <xf borderId="4" fillId="0" fontId="1" numFmtId="0" xfId="0" applyBorder="1" applyFont="1"/>
    <xf borderId="5" fillId="2" fontId="1" numFmtId="0" xfId="0" applyBorder="1" applyFill="1" applyFont="1"/>
    <xf borderId="6" fillId="3" fontId="1" numFmtId="164" xfId="0" applyBorder="1" applyFill="1" applyFont="1" applyNumberFormat="1"/>
    <xf borderId="7" fillId="4" fontId="1" numFmtId="164" xfId="0" applyBorder="1" applyFill="1" applyFont="1" applyNumberFormat="1"/>
    <xf borderId="8" fillId="4" fontId="1" numFmtId="164" xfId="0" applyBorder="1" applyFont="1" applyNumberFormat="1"/>
    <xf borderId="9" fillId="5" fontId="1" numFmtId="164" xfId="0" applyBorder="1" applyFill="1" applyFont="1" applyNumberFormat="1"/>
    <xf borderId="10" fillId="2" fontId="1" numFmtId="0" xfId="0" applyAlignment="1" applyBorder="1" applyFont="1">
      <alignment horizontal="center" shrinkToFit="0" wrapText="1"/>
    </xf>
    <xf borderId="10" fillId="2" fontId="1" numFmtId="0" xfId="0" applyAlignment="1" applyBorder="1" applyFont="1">
      <alignment horizontal="center" shrinkToFit="0" vertical="center" wrapText="1"/>
    </xf>
    <xf borderId="11" fillId="2" fontId="1" numFmtId="0" xfId="0" applyAlignment="1" applyBorder="1" applyFont="1">
      <alignment horizontal="center" shrinkToFit="0" vertical="center" wrapText="1"/>
    </xf>
    <xf borderId="11" fillId="0" fontId="2" numFmtId="0" xfId="0" applyBorder="1" applyFont="1"/>
    <xf borderId="5" fillId="2" fontId="1" numFmtId="165" xfId="0" applyBorder="1" applyFont="1" applyNumberFormat="1"/>
    <xf borderId="5" fillId="2" fontId="1" numFmtId="164" xfId="0" applyBorder="1" applyFont="1" applyNumberFormat="1"/>
    <xf borderId="12" fillId="0" fontId="3" numFmtId="0" xfId="0" applyAlignment="1" applyBorder="1" applyFont="1">
      <alignment horizontal="center" shrinkToFit="0" vertical="center" wrapText="1"/>
    </xf>
    <xf borderId="13" fillId="0" fontId="2" numFmtId="0" xfId="0" applyBorder="1" applyFont="1"/>
    <xf borderId="14" fillId="0" fontId="2" numFmtId="0" xfId="0" applyBorder="1" applyFont="1"/>
    <xf borderId="0" fillId="0" fontId="1" numFmtId="0" xfId="0" applyAlignment="1" applyFont="1">
      <alignment horizontal="center" shrinkToFit="0" vertical="center" wrapText="1"/>
    </xf>
    <xf borderId="15" fillId="2" fontId="1" numFmtId="0" xfId="0" applyAlignment="1" applyBorder="1" applyFont="1">
      <alignment horizontal="center" readingOrder="0" shrinkToFit="0" vertical="center" wrapText="1"/>
    </xf>
    <xf borderId="16" fillId="0" fontId="2" numFmtId="0" xfId="0" applyBorder="1" applyFont="1"/>
    <xf borderId="17" fillId="0" fontId="2" numFmtId="0" xfId="0" applyBorder="1" applyFont="1"/>
    <xf borderId="5" fillId="2"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2" fillId="0" fontId="1" numFmtId="0" xfId="0" applyAlignment="1" applyBorder="1" applyFont="1">
      <alignment horizontal="center" vertical="center"/>
    </xf>
    <xf borderId="2"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0" fillId="6" fontId="4" numFmtId="0" xfId="0" applyAlignment="1" applyFill="1" applyFont="1">
      <alignment readingOrder="0"/>
    </xf>
    <xf borderId="18" fillId="0" fontId="1" numFmtId="0" xfId="0" applyAlignment="1" applyBorder="1" applyFont="1">
      <alignment horizontal="center" shrinkToFit="0" wrapText="1"/>
    </xf>
    <xf borderId="19" fillId="0" fontId="1" numFmtId="164" xfId="0" applyAlignment="1" applyBorder="1" applyFont="1" applyNumberFormat="1">
      <alignment horizontal="center" shrinkToFit="0" vertical="center" wrapText="1"/>
    </xf>
    <xf borderId="19" fillId="0" fontId="1" numFmtId="3" xfId="0" applyAlignment="1" applyBorder="1" applyFont="1" applyNumberFormat="1">
      <alignment horizontal="center" shrinkToFit="0" vertical="center" wrapText="1"/>
    </xf>
    <xf borderId="19" fillId="7" fontId="1" numFmtId="3" xfId="0" applyAlignment="1" applyBorder="1" applyFill="1" applyFont="1" applyNumberFormat="1">
      <alignment horizontal="center" shrinkToFit="0" vertical="center" wrapText="1"/>
    </xf>
    <xf borderId="20" fillId="7" fontId="1" numFmtId="164" xfId="0" applyAlignment="1" applyBorder="1" applyFont="1" applyNumberFormat="1">
      <alignment horizontal="center" shrinkToFit="0" vertical="center" wrapText="1"/>
    </xf>
    <xf borderId="0" fillId="0" fontId="4" numFmtId="0" xfId="0" applyAlignment="1" applyFont="1">
      <alignment readingOrder="0"/>
    </xf>
    <xf borderId="0" fillId="0" fontId="4" numFmtId="0" xfId="0" applyFont="1"/>
    <xf borderId="21" fillId="0" fontId="1" numFmtId="0" xfId="0" applyAlignment="1" applyBorder="1" applyFont="1">
      <alignment horizontal="center" shrinkToFit="0" wrapText="1"/>
    </xf>
    <xf borderId="19" fillId="0" fontId="1" numFmtId="164" xfId="0" applyAlignment="1" applyBorder="1" applyFont="1" applyNumberFormat="1">
      <alignment horizontal="center" readingOrder="0" shrinkToFit="0" vertical="center" wrapText="1"/>
    </xf>
    <xf borderId="19" fillId="7" fontId="1" numFmtId="164" xfId="0" applyAlignment="1" applyBorder="1" applyFont="1" applyNumberFormat="1">
      <alignment horizontal="center" shrinkToFit="0" vertical="center" wrapText="1"/>
    </xf>
    <xf borderId="22" fillId="0" fontId="1" numFmtId="0" xfId="0" applyAlignment="1" applyBorder="1" applyFont="1">
      <alignment horizontal="center" shrinkToFit="0" wrapText="1"/>
    </xf>
    <xf borderId="7" fillId="0" fontId="1" numFmtId="164" xfId="0" applyAlignment="1" applyBorder="1" applyFont="1" applyNumberFormat="1">
      <alignment horizontal="center" readingOrder="0" shrinkToFit="0" vertical="center" wrapText="1"/>
    </xf>
    <xf borderId="7" fillId="0" fontId="1" numFmtId="3" xfId="0" applyAlignment="1" applyBorder="1" applyFont="1" applyNumberFormat="1">
      <alignment horizontal="center" shrinkToFit="0" vertical="center" wrapText="1"/>
    </xf>
    <xf borderId="7" fillId="7" fontId="1" numFmtId="164" xfId="0" applyAlignment="1" applyBorder="1" applyFont="1" applyNumberFormat="1">
      <alignment horizontal="center" shrinkToFit="0" vertical="center" wrapText="1"/>
    </xf>
    <xf borderId="5" fillId="2" fontId="1" numFmtId="3" xfId="0" applyAlignment="1" applyBorder="1" applyFont="1" applyNumberFormat="1">
      <alignment horizontal="center" shrinkToFit="0" vertical="center" wrapText="1"/>
    </xf>
    <xf borderId="23" fillId="7" fontId="1" numFmtId="0" xfId="0" applyAlignment="1" applyBorder="1" applyFont="1">
      <alignment horizontal="center" shrinkToFit="0" vertical="center" wrapText="1"/>
    </xf>
    <xf borderId="24" fillId="3" fontId="1" numFmtId="164" xfId="0" applyAlignment="1" applyBorder="1" applyFont="1" applyNumberFormat="1">
      <alignment horizontal="center" shrinkToFit="0" vertical="center" wrapText="1"/>
    </xf>
    <xf borderId="0" fillId="8" fontId="5" numFmtId="0" xfId="0" applyAlignment="1" applyFill="1" applyFont="1">
      <alignment readingOrder="0"/>
    </xf>
    <xf borderId="0" fillId="8" fontId="5" numFmtId="0" xfId="0" applyFont="1"/>
    <xf borderId="0" fillId="3" fontId="5" numFmtId="0" xfId="0" applyFont="1"/>
    <xf borderId="25" fillId="2" fontId="3" numFmtId="0" xfId="0" applyAlignment="1" applyBorder="1" applyFont="1">
      <alignment horizontal="center" shrinkToFit="0" vertical="center" wrapText="1"/>
    </xf>
    <xf borderId="26" fillId="0" fontId="2" numFmtId="0" xfId="0" applyBorder="1" applyFont="1"/>
    <xf borderId="27" fillId="0" fontId="2" numFmtId="0" xfId="0" applyBorder="1" applyFont="1"/>
    <xf borderId="2" fillId="0" fontId="1" numFmtId="3" xfId="0" applyAlignment="1" applyBorder="1" applyFont="1" applyNumberFormat="1">
      <alignment horizontal="center" shrinkToFit="0" vertical="center" wrapText="1"/>
    </xf>
    <xf borderId="4" fillId="0" fontId="1" numFmtId="166" xfId="0" applyAlignment="1" applyBorder="1" applyFont="1" applyNumberFormat="1">
      <alignment horizontal="center" shrinkToFit="0" vertical="center" wrapText="1"/>
    </xf>
    <xf borderId="28" fillId="2" fontId="1" numFmtId="0" xfId="0" applyAlignment="1" applyBorder="1" applyFont="1">
      <alignment horizontal="center" shrinkToFit="0" vertical="center" wrapText="1"/>
    </xf>
    <xf borderId="19" fillId="0" fontId="1" numFmtId="165" xfId="0" applyAlignment="1" applyBorder="1" applyFont="1" applyNumberFormat="1">
      <alignment horizontal="center" shrinkToFit="0" vertical="center" wrapText="1"/>
    </xf>
    <xf borderId="20" fillId="0" fontId="1" numFmtId="164" xfId="0" applyAlignment="1" applyBorder="1" applyFont="1" applyNumberFormat="1">
      <alignment horizontal="center" shrinkToFit="0" vertical="center" wrapText="1"/>
    </xf>
    <xf borderId="29" fillId="0" fontId="1" numFmtId="0" xfId="0" applyAlignment="1" applyBorder="1" applyFont="1">
      <alignment horizontal="center" shrinkToFit="0" wrapText="1"/>
    </xf>
    <xf borderId="7" fillId="0" fontId="1" numFmtId="165" xfId="0" applyAlignment="1" applyBorder="1" applyFont="1" applyNumberFormat="1">
      <alignment horizontal="center" shrinkToFit="0" vertical="center" wrapText="1"/>
    </xf>
    <xf borderId="30" fillId="2" fontId="1" numFmtId="0" xfId="0" applyAlignment="1" applyBorder="1" applyFont="1">
      <alignment horizontal="center" shrinkToFit="0" vertical="center" wrapText="1"/>
    </xf>
    <xf borderId="22" fillId="2" fontId="1" numFmtId="0" xfId="0" applyAlignment="1" applyBorder="1" applyFont="1">
      <alignment horizontal="center" shrinkToFit="0" vertical="center" wrapText="1"/>
    </xf>
    <xf borderId="31" fillId="4" fontId="1" numFmtId="164" xfId="0" applyAlignment="1" applyBorder="1" applyFont="1" applyNumberFormat="1">
      <alignment horizontal="center" shrinkToFit="0" vertical="center" wrapText="1"/>
    </xf>
    <xf borderId="3" fillId="0" fontId="1" numFmtId="0" xfId="0" applyAlignment="1" applyBorder="1" applyFont="1">
      <alignment horizontal="center" shrinkToFit="0" vertical="center" wrapText="1"/>
    </xf>
    <xf borderId="19" fillId="0" fontId="1" numFmtId="0" xfId="0" applyAlignment="1" applyBorder="1" applyFont="1">
      <alignment horizontal="center" shrinkToFit="0" vertical="center" wrapText="1"/>
    </xf>
    <xf borderId="32" fillId="0" fontId="1" numFmtId="164" xfId="0" applyAlignment="1" applyBorder="1" applyFont="1" applyNumberFormat="1">
      <alignment horizontal="center" shrinkToFit="0" vertical="center" wrapText="1"/>
    </xf>
    <xf borderId="7" fillId="0" fontId="1" numFmtId="0" xfId="0" applyAlignment="1" applyBorder="1" applyFont="1">
      <alignment horizontal="center" shrinkToFit="0" vertical="center" wrapText="1"/>
    </xf>
    <xf borderId="7" fillId="0" fontId="1" numFmtId="164" xfId="0" applyAlignment="1" applyBorder="1" applyFont="1" applyNumberFormat="1">
      <alignment horizontal="center" shrinkToFit="0" vertical="center" wrapText="1"/>
    </xf>
    <xf borderId="8" fillId="0" fontId="1" numFmtId="164" xfId="0" applyAlignment="1" applyBorder="1" applyFont="1" applyNumberFormat="1">
      <alignment horizontal="center" shrinkToFit="0" vertical="center" wrapText="1"/>
    </xf>
    <xf borderId="9" fillId="0" fontId="1" numFmtId="164" xfId="0" applyAlignment="1" applyBorder="1" applyFont="1" applyNumberFormat="1">
      <alignment horizontal="center" shrinkToFit="0" vertical="center" wrapText="1"/>
    </xf>
    <xf borderId="22" fillId="0" fontId="1" numFmtId="0" xfId="0" applyAlignment="1" applyBorder="1" applyFont="1">
      <alignment horizontal="center" shrinkToFit="0" vertical="center" wrapText="1"/>
    </xf>
    <xf borderId="33" fillId="0" fontId="1" numFmtId="164" xfId="0" applyAlignment="1" applyBorder="1" applyFont="1" applyNumberFormat="1">
      <alignment horizontal="center" shrinkToFit="0" vertical="center" wrapText="1"/>
    </xf>
    <xf borderId="0" fillId="2" fontId="1" numFmtId="0" xfId="0" applyAlignment="1" applyFont="1">
      <alignment horizontal="center" shrinkToFit="0" vertical="center" wrapText="1"/>
    </xf>
    <xf borderId="5" fillId="2" fontId="3" numFmtId="0" xfId="0" applyAlignment="1" applyBorder="1" applyFont="1">
      <alignment shrinkToFit="0" vertical="center" wrapText="1"/>
    </xf>
    <xf borderId="12" fillId="2"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34" fillId="0" fontId="1" numFmtId="0" xfId="0" applyAlignment="1" applyBorder="1" applyFont="1">
      <alignment horizontal="center" shrinkToFit="0" vertical="center" wrapText="1"/>
    </xf>
    <xf borderId="17" fillId="2" fontId="1" numFmtId="0" xfId="0" applyAlignment="1" applyBorder="1" applyFont="1">
      <alignment horizontal="center" shrinkToFit="0" vertical="center" wrapText="1"/>
    </xf>
    <xf borderId="35" fillId="0" fontId="1" numFmtId="0" xfId="0" applyAlignment="1" applyBorder="1" applyFont="1">
      <alignment horizontal="center" shrinkToFit="0" vertical="center" wrapText="1"/>
    </xf>
    <xf borderId="36" fillId="0" fontId="1" numFmtId="0" xfId="0" applyAlignment="1" applyBorder="1" applyFont="1">
      <alignment horizontal="center" shrinkToFit="0" vertical="center" wrapText="1"/>
    </xf>
    <xf borderId="37" fillId="0" fontId="1" numFmtId="0" xfId="0" applyAlignment="1" applyBorder="1" applyFont="1">
      <alignment horizontal="center" shrinkToFit="0" vertical="center" wrapText="1"/>
    </xf>
    <xf borderId="30" fillId="2" fontId="1" numFmtId="164" xfId="0" applyAlignment="1" applyBorder="1" applyFont="1" applyNumberFormat="1">
      <alignment horizontal="center" shrinkToFit="0" vertical="center" wrapText="1"/>
    </xf>
    <xf borderId="38" fillId="2" fontId="1" numFmtId="0" xfId="0" applyAlignment="1" applyBorder="1" applyFont="1">
      <alignment horizontal="center" shrinkToFit="0" vertical="center" wrapText="1"/>
    </xf>
    <xf borderId="15" fillId="2" fontId="1" numFmtId="0" xfId="0" applyAlignment="1" applyBorder="1" applyFont="1">
      <alignment horizontal="center" shrinkToFit="0" vertical="center" wrapText="1"/>
    </xf>
    <xf borderId="16" fillId="2" fontId="1" numFmtId="0" xfId="0" applyAlignment="1" applyBorder="1" applyFont="1">
      <alignment horizontal="center" shrinkToFit="0" vertical="center" wrapText="1"/>
    </xf>
    <xf borderId="0" fillId="0" fontId="4" numFmtId="0" xfId="0" applyFont="1"/>
    <xf borderId="39" fillId="2" fontId="1" numFmtId="0" xfId="0" applyAlignment="1" applyBorder="1" applyFont="1">
      <alignment horizontal="center" readingOrder="0" shrinkToFit="0" vertical="center" wrapText="1"/>
    </xf>
    <xf borderId="40" fillId="0" fontId="2" numFmtId="0" xfId="0" applyBorder="1" applyFont="1"/>
    <xf borderId="41" fillId="2" fontId="1" numFmtId="0" xfId="0" applyAlignment="1" applyBorder="1" applyFont="1">
      <alignment horizontal="center" shrinkToFit="0" vertical="center" wrapText="1"/>
    </xf>
    <xf borderId="41" fillId="2" fontId="1" numFmtId="0" xfId="0" applyAlignment="1" applyBorder="1" applyFont="1">
      <alignment horizontal="center" readingOrder="0" shrinkToFit="0" vertical="center" wrapText="1"/>
    </xf>
    <xf borderId="41" fillId="2" fontId="1" numFmtId="0" xfId="0" applyAlignment="1" applyBorder="1" applyFont="1">
      <alignment horizontal="center" shrinkToFit="0" vertical="center" wrapText="1"/>
    </xf>
    <xf borderId="41" fillId="2" fontId="1" numFmtId="164" xfId="0" applyAlignment="1" applyBorder="1" applyFont="1" applyNumberFormat="1">
      <alignment horizontal="center" shrinkToFit="0" vertical="center" wrapText="1"/>
    </xf>
    <xf borderId="5" fillId="2" fontId="1" numFmtId="164" xfId="0" applyAlignment="1" applyBorder="1" applyFont="1" applyNumberFormat="1">
      <alignment horizontal="center" shrinkToFit="0" vertical="center" wrapText="1"/>
    </xf>
    <xf borderId="42" fillId="0" fontId="2" numFmtId="0" xfId="0" applyBorder="1" applyFont="1"/>
    <xf borderId="43" fillId="2" fontId="1" numFmtId="0" xfId="0" applyAlignment="1" applyBorder="1" applyFont="1">
      <alignment horizontal="center" readingOrder="0" shrinkToFit="0" vertical="center" wrapText="1"/>
    </xf>
    <xf borderId="43" fillId="2" fontId="1" numFmtId="0" xfId="0" applyAlignment="1" applyBorder="1" applyFont="1">
      <alignment horizontal="center" shrinkToFit="0" vertical="center" wrapText="1"/>
    </xf>
    <xf borderId="43" fillId="2" fontId="1" numFmtId="165" xfId="0" applyAlignment="1" applyBorder="1" applyFont="1" applyNumberFormat="1">
      <alignment horizontal="center" readingOrder="0" shrinkToFit="0" vertical="center" wrapText="1"/>
    </xf>
    <xf borderId="40" fillId="2" fontId="1" numFmtId="0" xfId="0" applyAlignment="1" applyBorder="1" applyFont="1">
      <alignment horizontal="center" shrinkToFit="0" vertical="center" wrapText="1"/>
    </xf>
    <xf borderId="44" fillId="2" fontId="1"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center" wrapText="1"/>
    </xf>
    <xf borderId="4" fillId="2" fontId="1" numFmtId="0" xfId="0" applyAlignment="1" applyBorder="1" applyFont="1">
      <alignment horizontal="center" shrinkToFit="0" vertical="center" wrapText="1"/>
    </xf>
    <xf borderId="18" fillId="2" fontId="1" numFmtId="0" xfId="0" applyAlignment="1" applyBorder="1" applyFont="1">
      <alignment horizontal="center" readingOrder="0" shrinkToFit="0" vertical="center" wrapText="1"/>
    </xf>
    <xf borderId="19" fillId="2" fontId="1" numFmtId="0" xfId="0" applyAlignment="1" applyBorder="1" applyFont="1">
      <alignment horizontal="center" readingOrder="0" shrinkToFit="0" vertical="center" wrapText="1"/>
    </xf>
    <xf borderId="20" fillId="2" fontId="1"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7" fillId="2" fontId="1" numFmtId="0" xfId="0" applyAlignment="1" applyBorder="1" applyFont="1">
      <alignment horizontal="center" readingOrder="0" shrinkToFit="0" vertical="center" wrapText="1"/>
    </xf>
    <xf borderId="9" fillId="2" fontId="1" numFmtId="165" xfId="0" applyAlignment="1" applyBorder="1" applyFont="1" applyNumberFormat="1">
      <alignment horizontal="center" shrinkToFit="0" vertical="center" wrapText="1"/>
    </xf>
    <xf borderId="12" fillId="0" fontId="1" numFmtId="0" xfId="0" applyAlignment="1" applyBorder="1" applyFont="1">
      <alignment horizontal="center"/>
    </xf>
    <xf borderId="34" fillId="2" fontId="3" numFmtId="0" xfId="0" applyAlignment="1" applyBorder="1" applyFont="1">
      <alignment horizontal="center" shrinkToFit="0" vertical="center" wrapText="1"/>
    </xf>
    <xf borderId="45" fillId="0" fontId="2" numFmtId="0" xfId="0" applyBorder="1" applyFont="1"/>
    <xf borderId="46" fillId="0" fontId="2" numFmtId="0" xfId="0" applyBorder="1" applyFont="1"/>
    <xf borderId="47" fillId="0" fontId="1" numFmtId="0" xfId="0" applyAlignment="1" applyBorder="1" applyFont="1">
      <alignment horizontal="center" shrinkToFit="0" vertical="center" wrapText="1"/>
    </xf>
    <xf borderId="48" fillId="0" fontId="1" numFmtId="0" xfId="0" applyAlignment="1" applyBorder="1" applyFont="1">
      <alignment horizontal="center" shrinkToFit="0" vertical="center" wrapText="1"/>
    </xf>
    <xf borderId="35" fillId="0" fontId="1" numFmtId="0" xfId="0" applyAlignment="1" applyBorder="1" applyFont="1">
      <alignment horizontal="center"/>
    </xf>
    <xf borderId="1" fillId="0" fontId="1" numFmtId="0" xfId="0" applyAlignment="1" applyBorder="1" applyFont="1">
      <alignment horizontal="center" shrinkToFit="0" wrapText="1"/>
    </xf>
    <xf borderId="4" fillId="0" fontId="1" numFmtId="167" xfId="0" applyAlignment="1" applyBorder="1" applyFont="1" applyNumberFormat="1">
      <alignment horizontal="center" shrinkToFit="0" vertical="center" wrapText="1"/>
    </xf>
    <xf borderId="17" fillId="2" fontId="1" numFmtId="0" xfId="0" applyBorder="1" applyFont="1"/>
    <xf borderId="49" fillId="0" fontId="1" numFmtId="167" xfId="0" applyAlignment="1" applyBorder="1" applyFont="1" applyNumberFormat="1">
      <alignment horizontal="center" shrinkToFit="0" vertical="center" wrapText="1"/>
    </xf>
    <xf borderId="33" fillId="0" fontId="1" numFmtId="167" xfId="0" applyAlignment="1" applyBorder="1" applyFont="1" applyNumberFormat="1">
      <alignment horizontal="center" shrinkToFit="0" vertical="center" wrapText="1"/>
    </xf>
    <xf borderId="30" fillId="2" fontId="1" numFmtId="0" xfId="0" applyBorder="1" applyFont="1"/>
    <xf borderId="30" fillId="2" fontId="1" numFmtId="2" xfId="0" applyAlignment="1" applyBorder="1" applyFont="1" applyNumberFormat="1">
      <alignment horizontal="center" shrinkToFit="0" vertical="center" wrapText="1"/>
    </xf>
    <xf borderId="50" fillId="2" fontId="1" numFmtId="0" xfId="0" applyAlignment="1" applyBorder="1" applyFont="1">
      <alignment horizontal="center" shrinkToFit="0" vertical="center" wrapText="1"/>
    </xf>
    <xf borderId="32" fillId="2" fontId="3" numFmtId="0" xfId="0" applyAlignment="1" applyBorder="1" applyFont="1">
      <alignment horizontal="center" shrinkToFit="0" vertical="center" wrapText="1"/>
    </xf>
    <xf borderId="51" fillId="0" fontId="2" numFmtId="0" xfId="0" applyBorder="1" applyFont="1"/>
    <xf borderId="52" fillId="0" fontId="2" numFmtId="0" xfId="0" applyBorder="1" applyFont="1"/>
    <xf borderId="21" fillId="0" fontId="2" numFmtId="0" xfId="0" applyBorder="1" applyFont="1"/>
    <xf borderId="53" fillId="2" fontId="1" numFmtId="0" xfId="0" applyAlignment="1" applyBorder="1" applyFont="1">
      <alignment horizontal="center" shrinkToFit="0" vertical="center" wrapText="1"/>
    </xf>
    <xf borderId="0" fillId="0" fontId="1" numFmtId="0" xfId="0" applyAlignment="1" applyFont="1">
      <alignment horizontal="center"/>
    </xf>
    <xf borderId="54" fillId="2" fontId="1" numFmtId="0" xfId="0" applyAlignment="1" applyBorder="1" applyFont="1">
      <alignment horizontal="center" shrinkToFit="0" vertical="center" wrapText="1"/>
    </xf>
    <xf borderId="35" fillId="0" fontId="1" numFmtId="0" xfId="0" applyAlignment="1" applyBorder="1" applyFont="1">
      <alignment horizontal="center" shrinkToFit="0" wrapText="1"/>
    </xf>
    <xf borderId="19" fillId="0" fontId="1" numFmtId="4" xfId="0" applyAlignment="1" applyBorder="1" applyFont="1" applyNumberFormat="1">
      <alignment horizontal="right"/>
    </xf>
    <xf borderId="19" fillId="0" fontId="1" numFmtId="10" xfId="0" applyBorder="1" applyFont="1" applyNumberFormat="1"/>
    <xf borderId="19" fillId="0" fontId="1" numFmtId="2" xfId="0" applyBorder="1" applyFont="1" applyNumberFormat="1"/>
    <xf borderId="19" fillId="0" fontId="1" numFmtId="3" xfId="0" applyAlignment="1" applyBorder="1" applyFont="1" applyNumberFormat="1">
      <alignment horizontal="right"/>
    </xf>
    <xf borderId="0" fillId="0" fontId="1" numFmtId="10" xfId="0" applyFont="1" applyNumberFormat="1"/>
    <xf borderId="0" fillId="0" fontId="1" numFmtId="168" xfId="0" applyFont="1" applyNumberFormat="1"/>
    <xf borderId="46" fillId="0" fontId="1" numFmtId="0" xfId="0" applyAlignment="1" applyBorder="1" applyFont="1">
      <alignment horizontal="center" shrinkToFit="0" wrapText="1"/>
    </xf>
    <xf borderId="5" fillId="2" fontId="1" numFmtId="10" xfId="0" applyBorder="1" applyFont="1" applyNumberFormat="1"/>
    <xf borderId="5" fillId="2" fontId="1" numFmtId="168" xfId="0" applyBorder="1" applyFont="1" applyNumberFormat="1"/>
    <xf borderId="55" fillId="0" fontId="1" numFmtId="0" xfId="0" applyAlignment="1" applyBorder="1" applyFont="1">
      <alignment horizontal="center"/>
    </xf>
    <xf borderId="44" fillId="0" fontId="6" numFmtId="0" xfId="0" applyAlignment="1" applyBorder="1" applyFont="1">
      <alignment horizontal="center" readingOrder="1" shrinkToFit="0" vertical="center" wrapText="1"/>
    </xf>
    <xf borderId="25" fillId="0" fontId="6" numFmtId="0" xfId="0" applyAlignment="1" applyBorder="1" applyFont="1">
      <alignment horizontal="center" readingOrder="1" shrinkToFit="0" vertical="center" wrapText="1"/>
    </xf>
    <xf borderId="56" fillId="0" fontId="2" numFmtId="0" xfId="0" applyBorder="1" applyFont="1"/>
    <xf borderId="57" fillId="0" fontId="2" numFmtId="0" xfId="0" applyBorder="1" applyFont="1"/>
    <xf borderId="41" fillId="0" fontId="6" numFmtId="0" xfId="0" applyAlignment="1" applyBorder="1" applyFont="1">
      <alignment horizontal="center" readingOrder="1" shrinkToFit="0" vertical="center" wrapText="1"/>
    </xf>
    <xf borderId="41" fillId="3" fontId="6" numFmtId="0" xfId="0" applyAlignment="1" applyBorder="1" applyFont="1">
      <alignment horizontal="center" readingOrder="1" shrinkToFit="0" vertical="center" wrapText="1"/>
    </xf>
    <xf borderId="0" fillId="0" fontId="7" numFmtId="0" xfId="0" applyFont="1"/>
    <xf borderId="19" fillId="0" fontId="8" numFmtId="0" xfId="0" applyBorder="1" applyFont="1"/>
    <xf borderId="58" fillId="0" fontId="8" numFmtId="0" xfId="0" applyAlignment="1" applyBorder="1" applyFont="1">
      <alignment horizontal="center" vertical="center"/>
    </xf>
    <xf borderId="19" fillId="0" fontId="8" numFmtId="0" xfId="0" applyAlignment="1" applyBorder="1" applyFont="1">
      <alignment horizontal="center"/>
    </xf>
    <xf borderId="59" fillId="0" fontId="2" numFmtId="0" xfId="0" applyBorder="1" applyFont="1"/>
    <xf borderId="29" fillId="0" fontId="2" numFmtId="0" xfId="0" applyBorder="1" applyFont="1"/>
    <xf borderId="58" fillId="0" fontId="8" numFmtId="0" xfId="0" applyAlignment="1" applyBorder="1" applyFont="1">
      <alignment horizontal="center" shrinkToFit="0" vertical="center" wrapText="0"/>
    </xf>
    <xf borderId="19" fillId="0" fontId="8" numFmtId="3" xfId="0" applyAlignment="1" applyBorder="1" applyFont="1" applyNumberFormat="1">
      <alignment horizontal="center"/>
    </xf>
    <xf borderId="19" fillId="0" fontId="8" numFmtId="169" xfId="0" applyBorder="1" applyFont="1" applyNumberFormat="1"/>
    <xf borderId="0" fillId="0" fontId="8" numFmtId="0" xfId="0" applyFont="1"/>
    <xf borderId="19" fillId="0" fontId="9" numFmtId="0" xfId="0" applyBorder="1" applyFont="1"/>
    <xf borderId="32" fillId="0" fontId="9" numFmtId="0" xfId="0" applyAlignment="1" applyBorder="1" applyFont="1">
      <alignment horizontal="center"/>
    </xf>
    <xf borderId="19" fillId="0" fontId="8" numFmtId="3" xfId="0" applyBorder="1" applyFont="1" applyNumberFormat="1"/>
    <xf borderId="19" fillId="0" fontId="8" numFmtId="4" xfId="0" applyBorder="1" applyFont="1" applyNumberFormat="1"/>
    <xf borderId="19" fillId="0" fontId="8" numFmtId="170" xfId="0" applyBorder="1" applyFont="1" applyNumberFormat="1"/>
    <xf borderId="19" fillId="0" fontId="10" numFmtId="0" xfId="0" applyBorder="1" applyFont="1"/>
    <xf borderId="19" fillId="0" fontId="8" numFmtId="164" xfId="0" applyBorder="1" applyFont="1" applyNumberFormat="1"/>
    <xf borderId="19" fillId="0" fontId="3" numFmtId="0" xfId="0" applyAlignment="1" applyBorder="1" applyFont="1">
      <alignment horizontal="center" shrinkToFit="0" wrapText="1"/>
    </xf>
    <xf borderId="19" fillId="0" fontId="1" numFmtId="0" xfId="0" applyAlignment="1" applyBorder="1" applyFont="1">
      <alignment horizontal="center" shrinkToFit="0" wrapText="1"/>
    </xf>
    <xf borderId="32" fillId="2" fontId="6" numFmtId="0" xfId="0" applyAlignment="1" applyBorder="1" applyFont="1">
      <alignment horizontal="left" shrinkToFit="0" vertical="center" wrapText="0"/>
    </xf>
    <xf borderId="32" fillId="0" fontId="6" numFmtId="0" xfId="0" applyAlignment="1" applyBorder="1" applyFont="1">
      <alignment horizontal="left" shrinkToFit="0" vertical="center" wrapText="0"/>
    </xf>
    <xf borderId="19" fillId="2" fontId="6" numFmtId="0" xfId="0" applyAlignment="1" applyBorder="1" applyFont="1">
      <alignment horizontal="center" shrinkToFit="0" vertical="center" wrapText="1"/>
    </xf>
    <xf borderId="19" fillId="2" fontId="1" numFmtId="0" xfId="0" applyAlignment="1" applyBorder="1" applyFont="1">
      <alignment horizontal="center"/>
    </xf>
    <xf borderId="32" fillId="2" fontId="1" numFmtId="0" xfId="0" applyAlignment="1" applyBorder="1" applyFont="1">
      <alignment horizontal="left" shrinkToFit="0" wrapText="0"/>
    </xf>
    <xf borderId="32" fillId="2" fontId="1" numFmtId="0" xfId="0" applyAlignment="1" applyBorder="1" applyFont="1">
      <alignment horizontal="left"/>
    </xf>
    <xf borderId="50" fillId="2" fontId="11" numFmtId="0" xfId="0" applyAlignment="1" applyBorder="1" applyFont="1">
      <alignment horizontal="center" shrinkToFit="0" vertical="center" wrapText="1"/>
    </xf>
    <xf borderId="3" fillId="2" fontId="3" numFmtId="0" xfId="0" applyAlignment="1" applyBorder="1" applyFont="1">
      <alignment horizontal="center" shrinkToFit="0" vertical="center" wrapText="1"/>
    </xf>
    <xf borderId="60" fillId="0" fontId="2" numFmtId="0" xfId="0" applyBorder="1" applyFont="1"/>
    <xf borderId="61" fillId="0" fontId="2" numFmtId="0" xfId="0" applyBorder="1" applyFont="1"/>
    <xf borderId="32" fillId="2" fontId="11" numFmtId="0" xfId="0" applyAlignment="1" applyBorder="1" applyFont="1">
      <alignment horizontal="center" shrinkToFit="0" vertical="center" wrapText="1"/>
    </xf>
    <xf borderId="62" fillId="0" fontId="2" numFmtId="0" xfId="0" applyBorder="1" applyFont="1"/>
    <xf borderId="19" fillId="7" fontId="6" numFmtId="0" xfId="0" applyAlignment="1" applyBorder="1" applyFont="1">
      <alignment horizontal="center" shrinkToFit="0" vertical="center" wrapText="1"/>
    </xf>
    <xf borderId="20" fillId="2" fontId="6" numFmtId="0" xfId="0" applyAlignment="1" applyBorder="1" applyFont="1">
      <alignment horizontal="center" shrinkToFit="0" vertical="center" wrapText="1"/>
    </xf>
    <xf borderId="19" fillId="9" fontId="6" numFmtId="0" xfId="0" applyAlignment="1" applyBorder="1" applyFill="1" applyFont="1">
      <alignment horizontal="center" shrinkToFit="0" vertical="center" wrapText="1"/>
    </xf>
    <xf borderId="19" fillId="0" fontId="6" numFmtId="0" xfId="0" applyAlignment="1" applyBorder="1" applyFont="1">
      <alignment horizontal="center" shrinkToFit="0" vertical="center" wrapText="1"/>
    </xf>
    <xf borderId="19" fillId="9" fontId="1" numFmtId="0" xfId="0" applyAlignment="1" applyBorder="1" applyFont="1">
      <alignment horizontal="center" shrinkToFit="0" vertical="center" wrapText="1"/>
    </xf>
    <xf borderId="5" fillId="2" fontId="3" numFmtId="0" xfId="0" applyBorder="1" applyFont="1"/>
    <xf borderId="38" fillId="2" fontId="3" numFmtId="0" xfId="0" applyBorder="1" applyFont="1"/>
    <xf borderId="38" fillId="2" fontId="1" numFmtId="0" xfId="0" applyBorder="1" applyFont="1"/>
    <xf borderId="16" fillId="2" fontId="3" numFmtId="0" xfId="0" applyAlignment="1" applyBorder="1" applyFont="1">
      <alignment horizontal="center" shrinkToFit="0" vertical="center" wrapText="1"/>
    </xf>
    <xf borderId="17" fillId="2" fontId="3" numFmtId="0" xfId="0" applyAlignment="1" applyBorder="1" applyFont="1">
      <alignment horizontal="center" shrinkToFit="0" vertical="center" wrapText="1"/>
    </xf>
    <xf borderId="16" fillId="2" fontId="11" numFmtId="0" xfId="0" applyAlignment="1" applyBorder="1" applyFont="1">
      <alignment horizontal="center" shrinkToFit="0" vertical="center" wrapText="1"/>
    </xf>
    <xf borderId="17" fillId="2" fontId="11" numFmtId="0" xfId="0" applyAlignment="1" applyBorder="1" applyFont="1">
      <alignment horizontal="center" shrinkToFit="0" vertical="center" wrapText="1"/>
    </xf>
    <xf borderId="17" fillId="2" fontId="6" numFmtId="0" xfId="0" applyAlignment="1" applyBorder="1" applyFont="1">
      <alignment horizontal="center" shrinkToFit="0" vertical="center" wrapText="1"/>
    </xf>
    <xf borderId="5" fillId="2" fontId="6" numFmtId="0" xfId="0" applyAlignment="1" applyBorder="1" applyFont="1">
      <alignment horizontal="center" shrinkToFit="0" vertical="center" wrapText="1"/>
    </xf>
    <xf borderId="0" fillId="0" fontId="6" numFmtId="0" xfId="0" applyAlignment="1" applyFont="1">
      <alignment horizontal="center" shrinkToFit="0" vertical="center" wrapText="1"/>
    </xf>
    <xf borderId="25" fillId="0" fontId="11" numFmtId="0" xfId="0" applyAlignment="1" applyBorder="1" applyFont="1">
      <alignment horizontal="center" readingOrder="1"/>
    </xf>
    <xf borderId="41" fillId="0" fontId="6" numFmtId="0" xfId="0" applyAlignment="1" applyBorder="1" applyFont="1">
      <alignment horizontal="center" readingOrder="1" vertical="center"/>
    </xf>
    <xf borderId="63" fillId="0" fontId="6" numFmtId="0" xfId="0" applyAlignment="1" applyBorder="1" applyFont="1">
      <alignment horizontal="center" vertical="center"/>
    </xf>
    <xf borderId="64" fillId="0" fontId="6" numFmtId="0" xfId="0" applyAlignment="1" applyBorder="1" applyFont="1">
      <alignment horizontal="center" vertical="center"/>
    </xf>
    <xf borderId="65" fillId="0" fontId="6" numFmtId="0" xfId="0" applyAlignment="1" applyBorder="1" applyFont="1">
      <alignment horizontal="center" vertical="center"/>
    </xf>
    <xf borderId="0" fillId="0" fontId="1" numFmtId="0" xfId="0" applyAlignment="1" applyFont="1">
      <alignment horizontal="center" shrinkToFit="0" wrapText="1"/>
    </xf>
    <xf borderId="66" fillId="0" fontId="6" numFmtId="0" xfId="0" applyAlignment="1" applyBorder="1" applyFont="1">
      <alignment horizontal="center" readingOrder="1"/>
    </xf>
    <xf borderId="67" fillId="0" fontId="6" numFmtId="0" xfId="0" applyAlignment="1" applyBorder="1" applyFont="1">
      <alignment horizontal="center" readingOrder="1"/>
    </xf>
    <xf borderId="68" fillId="0" fontId="6" numFmtId="0" xfId="0" applyAlignment="1" applyBorder="1" applyFont="1">
      <alignment horizontal="center" readingOrder="1"/>
    </xf>
    <xf borderId="69" fillId="0" fontId="6" numFmtId="0" xfId="0" applyAlignment="1" applyBorder="1" applyFont="1">
      <alignment horizontal="center" readingOrder="1"/>
    </xf>
    <xf borderId="70" fillId="0" fontId="6" numFmtId="0" xfId="0" applyAlignment="1" applyBorder="1" applyFont="1">
      <alignment horizontal="center" readingOrder="1"/>
    </xf>
    <xf borderId="71" fillId="0" fontId="6" numFmtId="0" xfId="0" applyAlignment="1" applyBorder="1" applyFont="1">
      <alignment horizontal="center" readingOrder="1"/>
    </xf>
    <xf borderId="72" fillId="0" fontId="6" numFmtId="0" xfId="0" applyAlignment="1" applyBorder="1" applyFont="1">
      <alignment horizontal="center" readingOrder="1"/>
    </xf>
    <xf borderId="73" fillId="0" fontId="6" numFmtId="0" xfId="0" applyAlignment="1" applyBorder="1" applyFont="1">
      <alignment horizontal="center" readingOrder="1"/>
    </xf>
    <xf borderId="74" fillId="3" fontId="6" numFmtId="0" xfId="0" applyAlignment="1" applyBorder="1" applyFont="1">
      <alignment horizontal="center" readingOrder="1"/>
    </xf>
    <xf borderId="75" fillId="0" fontId="6" numFmtId="165" xfId="0" applyAlignment="1" applyBorder="1" applyFont="1" applyNumberFormat="1">
      <alignment horizontal="center" readingOrder="1"/>
    </xf>
    <xf borderId="76" fillId="0" fontId="6" numFmtId="165" xfId="0" applyAlignment="1" applyBorder="1" applyFont="1" applyNumberFormat="1">
      <alignment horizontal="center" readingOrder="1"/>
    </xf>
    <xf borderId="76" fillId="0" fontId="6" numFmtId="165" xfId="0" applyAlignment="1" applyBorder="1" applyFont="1" applyNumberFormat="1">
      <alignment horizontal="center"/>
    </xf>
    <xf borderId="77" fillId="0" fontId="6" numFmtId="165" xfId="0" applyAlignment="1" applyBorder="1" applyFont="1" applyNumberFormat="1">
      <alignment horizontal="center"/>
    </xf>
    <xf borderId="0" fillId="0" fontId="1" numFmtId="0" xfId="0" applyFont="1"/>
    <xf borderId="63" fillId="0" fontId="6" numFmtId="0" xfId="0" applyAlignment="1" applyBorder="1" applyFont="1">
      <alignment horizontal="center" shrinkToFit="0" vertical="center" wrapText="1"/>
    </xf>
    <xf borderId="64" fillId="0" fontId="6" numFmtId="0" xfId="0" applyAlignment="1" applyBorder="1" applyFont="1">
      <alignment horizontal="center" shrinkToFit="0" vertical="center" wrapText="1"/>
    </xf>
    <xf borderId="65" fillId="0" fontId="6" numFmtId="0" xfId="0" applyAlignment="1" applyBorder="1" applyFont="1">
      <alignment horizontal="center" shrinkToFit="0" vertical="center" wrapText="1"/>
    </xf>
    <xf borderId="75" fillId="0" fontId="6" numFmtId="3" xfId="0" applyAlignment="1" applyBorder="1" applyFont="1" applyNumberFormat="1">
      <alignment horizontal="center" readingOrder="1"/>
    </xf>
    <xf borderId="76" fillId="0" fontId="6" numFmtId="0" xfId="0" applyAlignment="1" applyBorder="1" applyFont="1">
      <alignment horizontal="center" readingOrder="1"/>
    </xf>
    <xf borderId="76" fillId="0" fontId="6" numFmtId="0" xfId="0" applyAlignment="1" applyBorder="1" applyFont="1">
      <alignment horizontal="center"/>
    </xf>
    <xf borderId="77" fillId="0" fontId="6" numFmtId="0" xfId="0" applyAlignment="1" applyBorder="1" applyFont="1">
      <alignment horizontal="center"/>
    </xf>
    <xf borderId="76" fillId="0" fontId="6" numFmtId="164" xfId="0" applyAlignment="1" applyBorder="1" applyFont="1" applyNumberFormat="1">
      <alignment horizontal="center" readingOrder="1"/>
    </xf>
    <xf borderId="76" fillId="0" fontId="6" numFmtId="164" xfId="0" applyAlignment="1" applyBorder="1" applyFont="1" applyNumberFormat="1">
      <alignment horizontal="center"/>
    </xf>
    <xf borderId="77" fillId="0" fontId="6" numFmtId="164" xfId="0" applyAlignment="1" applyBorder="1" applyFont="1" applyNumberFormat="1">
      <alignment horizontal="center"/>
    </xf>
    <xf borderId="78" fillId="0" fontId="6" numFmtId="0" xfId="0" applyAlignment="1" applyBorder="1" applyFont="1">
      <alignment horizontal="center" readingOrder="1"/>
    </xf>
    <xf borderId="79" fillId="0" fontId="6" numFmtId="0" xfId="0" applyAlignment="1" applyBorder="1" applyFont="1">
      <alignment horizontal="center" readingOrder="1"/>
    </xf>
    <xf borderId="0" fillId="0" fontId="6" numFmtId="165" xfId="0" applyAlignment="1" applyFont="1" applyNumberFormat="1">
      <alignment horizontal="center"/>
    </xf>
    <xf borderId="80" fillId="0" fontId="6" numFmtId="165" xfId="0" applyAlignment="1" applyBorder="1" applyFont="1" applyNumberFormat="1">
      <alignment horizontal="center" readingOrder="1"/>
    </xf>
    <xf borderId="81" fillId="7" fontId="12" numFmtId="165" xfId="0" applyBorder="1" applyFont="1" applyNumberFormat="1"/>
    <xf borderId="82" fillId="2" fontId="1" numFmtId="0" xfId="0" applyAlignment="1" applyBorder="1" applyFont="1">
      <alignment shrinkToFit="0" wrapText="1"/>
    </xf>
    <xf borderId="83" fillId="2" fontId="1" numFmtId="0" xfId="0" applyAlignment="1" applyBorder="1" applyFont="1">
      <alignment shrinkToFit="0" wrapText="1"/>
    </xf>
    <xf borderId="25" fillId="2" fontId="1" numFmtId="0" xfId="0" applyAlignment="1" applyBorder="1" applyFont="1">
      <alignment horizontal="center" shrinkToFit="0" wrapText="1"/>
    </xf>
    <xf borderId="0" fillId="2" fontId="1" numFmtId="0" xfId="0" applyAlignment="1" applyFont="1">
      <alignment horizontal="center" shrinkToFit="0" wrapText="1"/>
    </xf>
    <xf borderId="84" fillId="2" fontId="1" numFmtId="0" xfId="0" applyAlignment="1" applyBorder="1" applyFont="1">
      <alignment shrinkToFit="0" wrapText="1"/>
    </xf>
    <xf borderId="85" fillId="0" fontId="1" numFmtId="0" xfId="0" applyAlignment="1" applyBorder="1" applyFont="1">
      <alignment horizontal="center" shrinkToFit="0" vertical="center" wrapText="1"/>
    </xf>
    <xf borderId="21" fillId="2" fontId="1" numFmtId="0" xfId="0" applyAlignment="1" applyBorder="1" applyFont="1">
      <alignment horizontal="center" shrinkToFit="0" wrapText="1"/>
    </xf>
    <xf borderId="29" fillId="2" fontId="1" numFmtId="0" xfId="0" applyAlignment="1" applyBorder="1" applyFont="1">
      <alignment horizontal="center" shrinkToFit="0" wrapText="1"/>
    </xf>
    <xf borderId="29" fillId="3" fontId="1" numFmtId="0" xfId="0" applyAlignment="1" applyBorder="1" applyFont="1">
      <alignment horizontal="center" shrinkToFit="0" wrapText="1"/>
    </xf>
    <xf borderId="86" fillId="2" fontId="1" numFmtId="0" xfId="0" applyAlignment="1" applyBorder="1" applyFont="1">
      <alignment horizontal="center" shrinkToFit="0" wrapText="1"/>
    </xf>
    <xf borderId="29" fillId="7" fontId="6" numFmtId="0" xfId="0" applyAlignment="1" applyBorder="1" applyFont="1">
      <alignment horizontal="center"/>
    </xf>
    <xf borderId="87" fillId="2" fontId="1" numFmtId="0" xfId="0" applyAlignment="1" applyBorder="1" applyFont="1">
      <alignment horizontal="center" shrinkToFit="0" wrapText="1"/>
    </xf>
    <xf borderId="49" fillId="2" fontId="1" numFmtId="0" xfId="0" applyAlignment="1" applyBorder="1" applyFont="1">
      <alignment horizontal="center" shrinkToFit="0" wrapText="1"/>
    </xf>
    <xf borderId="88" fillId="2" fontId="1" numFmtId="0" xfId="0" applyAlignment="1" applyBorder="1" applyFont="1">
      <alignment horizontal="center" shrinkToFit="0" wrapText="1"/>
    </xf>
    <xf borderId="0" fillId="7" fontId="6" numFmtId="0" xfId="0" applyAlignment="1" applyFont="1">
      <alignment horizontal="center"/>
    </xf>
    <xf borderId="89" fillId="0" fontId="2" numFmtId="0" xfId="0" applyBorder="1" applyFont="1"/>
    <xf borderId="18" fillId="2" fontId="1" numFmtId="0" xfId="0" applyAlignment="1" applyBorder="1" applyFont="1">
      <alignment horizontal="center" shrinkToFit="0" wrapText="1"/>
    </xf>
    <xf borderId="19" fillId="2" fontId="1" numFmtId="0" xfId="0" applyAlignment="1" applyBorder="1" applyFont="1">
      <alignment horizontal="center" shrinkToFit="0" wrapText="1"/>
    </xf>
    <xf borderId="20" fillId="2" fontId="1" numFmtId="0" xfId="0" applyAlignment="1" applyBorder="1" applyFont="1">
      <alignment horizontal="center" shrinkToFit="0" wrapText="1"/>
    </xf>
    <xf borderId="58" fillId="2" fontId="1" numFmtId="0" xfId="0" applyAlignment="1" applyBorder="1" applyFont="1">
      <alignment horizontal="center" shrinkToFit="0" wrapText="1"/>
    </xf>
    <xf borderId="0" fillId="0" fontId="8" numFmtId="3" xfId="0" applyFont="1" applyNumberFormat="1"/>
    <xf borderId="90" fillId="0" fontId="1" numFmtId="0" xfId="0" applyAlignment="1" applyBorder="1" applyFont="1">
      <alignment horizontal="center" shrinkToFit="0" wrapText="1"/>
    </xf>
    <xf borderId="52" fillId="0" fontId="1" numFmtId="3" xfId="0" applyAlignment="1" applyBorder="1" applyFont="1" applyNumberFormat="1">
      <alignment horizontal="right" vertical="bottom"/>
    </xf>
    <xf borderId="19" fillId="2" fontId="1" numFmtId="171" xfId="0" applyAlignment="1" applyBorder="1" applyFont="1" applyNumberFormat="1">
      <alignment horizontal="center" shrinkToFit="0" wrapText="1"/>
    </xf>
    <xf borderId="20" fillId="2" fontId="1" numFmtId="4" xfId="0" applyAlignment="1" applyBorder="1" applyFont="1" applyNumberFormat="1">
      <alignment horizontal="center" shrinkToFit="0" wrapText="1"/>
    </xf>
    <xf borderId="19" fillId="0" fontId="1" numFmtId="3" xfId="0" applyAlignment="1" applyBorder="1" applyFont="1" applyNumberFormat="1">
      <alignment horizontal="right" vertical="bottom"/>
    </xf>
    <xf borderId="19" fillId="2" fontId="1" numFmtId="4" xfId="0" applyAlignment="1" applyBorder="1" applyFont="1" applyNumberFormat="1">
      <alignment horizontal="center" shrinkToFit="0" wrapText="1"/>
    </xf>
    <xf borderId="32" fillId="2" fontId="1" numFmtId="171" xfId="0" applyAlignment="1" applyBorder="1" applyFont="1" applyNumberFormat="1">
      <alignment horizontal="center" shrinkToFit="0" wrapText="1"/>
    </xf>
    <xf borderId="19" fillId="7" fontId="6" numFmtId="171" xfId="0" applyBorder="1" applyFont="1" applyNumberFormat="1"/>
    <xf borderId="52" fillId="2" fontId="1" numFmtId="171" xfId="0" applyAlignment="1" applyBorder="1" applyFont="1" applyNumberFormat="1">
      <alignment horizontal="center" shrinkToFit="0" wrapText="1"/>
    </xf>
    <xf borderId="20" fillId="7" fontId="1" numFmtId="4" xfId="0" applyAlignment="1" applyBorder="1" applyFont="1" applyNumberFormat="1">
      <alignment horizontal="center" shrinkToFit="0" vertical="bottom" wrapText="1"/>
    </xf>
    <xf borderId="20" fillId="7" fontId="6" numFmtId="4" xfId="0" applyBorder="1" applyFont="1" applyNumberFormat="1"/>
    <xf borderId="19" fillId="7" fontId="6" numFmtId="4" xfId="0" applyBorder="1" applyFont="1" applyNumberFormat="1"/>
    <xf borderId="89" fillId="0" fontId="1" numFmtId="0" xfId="0" applyAlignment="1" applyBorder="1" applyFont="1">
      <alignment horizontal="center" shrinkToFit="0" wrapText="1"/>
    </xf>
    <xf borderId="0" fillId="7" fontId="1" numFmtId="171" xfId="0" applyAlignment="1" applyFont="1" applyNumberFormat="1">
      <alignment horizontal="right" shrinkToFit="0" vertical="bottom" wrapText="1"/>
    </xf>
    <xf borderId="58" fillId="2" fontId="1" numFmtId="171" xfId="0" applyAlignment="1" applyBorder="1" applyFont="1" applyNumberFormat="1">
      <alignment horizontal="center" shrinkToFit="0" wrapText="1"/>
    </xf>
    <xf borderId="29" fillId="7" fontId="1" numFmtId="171" xfId="0" applyAlignment="1" applyBorder="1" applyFont="1" applyNumberFormat="1">
      <alignment horizontal="center" shrinkToFit="0" vertical="bottom" wrapText="1"/>
    </xf>
    <xf borderId="32" fillId="0" fontId="1" numFmtId="3" xfId="0" applyAlignment="1" applyBorder="1" applyFont="1" applyNumberFormat="1">
      <alignment horizontal="right" vertical="bottom"/>
    </xf>
    <xf borderId="5" fillId="2" fontId="1" numFmtId="171" xfId="0" applyAlignment="1" applyBorder="1" applyFont="1" applyNumberFormat="1">
      <alignment shrinkToFit="0" wrapText="1"/>
    </xf>
    <xf borderId="19" fillId="7" fontId="1" numFmtId="171" xfId="0" applyAlignment="1" applyBorder="1" applyFont="1" applyNumberFormat="1">
      <alignment horizontal="right" shrinkToFit="0" vertical="bottom" wrapText="1"/>
    </xf>
    <xf borderId="19" fillId="0" fontId="1" numFmtId="171" xfId="0" applyAlignment="1" applyBorder="1" applyFont="1" applyNumberFormat="1">
      <alignment horizontal="center" shrinkToFit="0" wrapText="1"/>
    </xf>
    <xf borderId="29" fillId="2" fontId="1" numFmtId="171" xfId="0" applyAlignment="1" applyBorder="1" applyFont="1" applyNumberFormat="1">
      <alignment horizontal="center" shrinkToFit="0" wrapText="1"/>
    </xf>
    <xf borderId="57" fillId="0" fontId="1" numFmtId="0" xfId="0" applyAlignment="1" applyBorder="1" applyFont="1">
      <alignment horizontal="center" shrinkToFit="0" wrapText="1"/>
    </xf>
    <xf borderId="91" fillId="0" fontId="1" numFmtId="3" xfId="0" applyAlignment="1" applyBorder="1" applyFont="1" applyNumberFormat="1">
      <alignment horizontal="right" vertical="bottom"/>
    </xf>
    <xf borderId="7" fillId="2" fontId="1" numFmtId="171" xfId="0" applyAlignment="1" applyBorder="1" applyFont="1" applyNumberFormat="1">
      <alignment horizontal="center" shrinkToFit="0" wrapText="1"/>
    </xf>
    <xf borderId="92" fillId="7" fontId="1" numFmtId="171" xfId="0" applyAlignment="1" applyBorder="1" applyFont="1" applyNumberFormat="1">
      <alignment horizontal="center" shrinkToFit="0" vertical="bottom" wrapText="1"/>
    </xf>
    <xf borderId="9" fillId="2" fontId="1" numFmtId="4" xfId="0" applyAlignment="1" applyBorder="1" applyFont="1" applyNumberFormat="1">
      <alignment horizontal="center" shrinkToFit="0" wrapText="1"/>
    </xf>
    <xf borderId="7" fillId="0" fontId="1" numFmtId="3" xfId="0" applyAlignment="1" applyBorder="1" applyFont="1" applyNumberFormat="1">
      <alignment horizontal="right" vertical="bottom"/>
    </xf>
    <xf borderId="7" fillId="2" fontId="1" numFmtId="4" xfId="0" applyAlignment="1" applyBorder="1" applyFont="1" applyNumberFormat="1">
      <alignment horizontal="center" shrinkToFit="0" wrapText="1"/>
    </xf>
    <xf borderId="8" fillId="2" fontId="1" numFmtId="171" xfId="0" applyAlignment="1" applyBorder="1" applyFont="1" applyNumberFormat="1">
      <alignment horizontal="center" shrinkToFit="0" wrapText="1"/>
    </xf>
    <xf borderId="7" fillId="7" fontId="6" numFmtId="171" xfId="0" applyBorder="1" applyFont="1" applyNumberFormat="1"/>
    <xf borderId="91" fillId="2" fontId="1" numFmtId="171" xfId="0" applyAlignment="1" applyBorder="1" applyFont="1" applyNumberFormat="1">
      <alignment horizontal="center" shrinkToFit="0" wrapText="1"/>
    </xf>
    <xf borderId="9" fillId="7" fontId="1" numFmtId="4" xfId="0" applyAlignment="1" applyBorder="1" applyFont="1" applyNumberFormat="1">
      <alignment horizontal="center" shrinkToFit="0" vertical="bottom" wrapText="1"/>
    </xf>
    <xf borderId="81" fillId="7" fontId="1" numFmtId="171" xfId="0" applyAlignment="1" applyBorder="1" applyFont="1" applyNumberFormat="1">
      <alignment horizontal="right" shrinkToFit="0" vertical="bottom" wrapText="1"/>
    </xf>
    <xf borderId="9" fillId="7" fontId="6" numFmtId="4" xfId="0" applyBorder="1" applyFont="1" applyNumberFormat="1"/>
    <xf borderId="92" fillId="2" fontId="1" numFmtId="171" xfId="0" applyAlignment="1" applyBorder="1" applyFont="1" applyNumberFormat="1">
      <alignment horizontal="center" shrinkToFit="0" wrapText="1"/>
    </xf>
    <xf borderId="8" fillId="0" fontId="1" numFmtId="3" xfId="0" applyAlignment="1" applyBorder="1" applyFont="1" applyNumberFormat="1">
      <alignment horizontal="right" vertical="bottom"/>
    </xf>
    <xf borderId="7" fillId="7" fontId="1" numFmtId="171" xfId="0" applyAlignment="1" applyBorder="1" applyFont="1" applyNumberFormat="1">
      <alignment horizontal="right" shrinkToFit="0" vertical="bottom" wrapText="1"/>
    </xf>
    <xf borderId="7" fillId="7" fontId="6" numFmtId="4" xfId="0" applyBorder="1" applyFont="1" applyNumberFormat="1"/>
    <xf borderId="30" fillId="2" fontId="1" numFmtId="0" xfId="0" applyAlignment="1" applyBorder="1" applyFont="1">
      <alignment shrinkToFit="0" wrapText="1"/>
    </xf>
    <xf borderId="11" fillId="2" fontId="1" numFmtId="0" xfId="0" applyAlignment="1" applyBorder="1" applyFont="1">
      <alignment shrinkToFit="0" wrapText="1"/>
    </xf>
    <xf borderId="0" fillId="2" fontId="1" numFmtId="0" xfId="0" applyAlignment="1" applyFont="1">
      <alignment shrinkToFit="0" wrapText="1"/>
    </xf>
    <xf borderId="1" fillId="2" fontId="1" numFmtId="0" xfId="0" applyAlignment="1" applyBorder="1" applyFont="1">
      <alignment shrinkToFit="0" wrapText="1"/>
    </xf>
    <xf borderId="93" fillId="0" fontId="1" numFmtId="0" xfId="0" applyAlignment="1" applyBorder="1" applyFont="1">
      <alignment horizontal="center" shrinkToFit="0" vertical="center" wrapText="1"/>
    </xf>
    <xf borderId="34" fillId="2" fontId="1" numFmtId="0" xfId="0" applyAlignment="1" applyBorder="1" applyFont="1">
      <alignment horizontal="center" shrinkToFit="0" wrapText="1"/>
    </xf>
    <xf borderId="17" fillId="2" fontId="1" numFmtId="0" xfId="0" applyAlignment="1" applyBorder="1" applyFont="1">
      <alignment shrinkToFit="0" wrapText="1"/>
    </xf>
    <xf borderId="5" fillId="2" fontId="1" numFmtId="0" xfId="0" applyAlignment="1" applyBorder="1" applyFont="1">
      <alignment shrinkToFit="0" wrapText="1"/>
    </xf>
    <xf borderId="18" fillId="0" fontId="1" numFmtId="0" xfId="0" applyAlignment="1" applyBorder="1" applyFont="1">
      <alignment horizontal="center" shrinkToFit="0" vertical="center" wrapText="1"/>
    </xf>
    <xf borderId="49" fillId="0" fontId="2" numFmtId="0" xfId="0" applyBorder="1" applyFont="1"/>
    <xf borderId="18" fillId="10" fontId="1" numFmtId="0" xfId="0" applyAlignment="1" applyBorder="1" applyFill="1" applyFont="1">
      <alignment horizontal="center" shrinkToFit="0" wrapText="1"/>
    </xf>
    <xf borderId="18" fillId="2" fontId="1" numFmtId="4" xfId="0" applyAlignment="1" applyBorder="1" applyFont="1" applyNumberFormat="1">
      <alignment shrinkToFit="0" wrapText="1"/>
    </xf>
    <xf borderId="20" fillId="2" fontId="1" numFmtId="171" xfId="0" applyAlignment="1" applyBorder="1" applyFont="1" applyNumberFormat="1">
      <alignment shrinkToFit="0" wrapText="1"/>
    </xf>
    <xf borderId="5" fillId="2" fontId="1" numFmtId="4" xfId="0" applyAlignment="1" applyBorder="1" applyFont="1" applyNumberFormat="1">
      <alignment shrinkToFit="0" wrapText="1"/>
    </xf>
    <xf borderId="6" fillId="0" fontId="1" numFmtId="0" xfId="0" applyAlignment="1" applyBorder="1" applyFont="1">
      <alignment horizontal="center" shrinkToFit="0" vertical="center" wrapText="1"/>
    </xf>
    <xf borderId="6" fillId="2" fontId="1" numFmtId="4" xfId="0" applyAlignment="1" applyBorder="1" applyFont="1" applyNumberFormat="1">
      <alignment shrinkToFit="0" wrapText="1"/>
    </xf>
    <xf borderId="9" fillId="2" fontId="1" numFmtId="171" xfId="0" applyAlignment="1" applyBorder="1" applyFont="1" applyNumberFormat="1">
      <alignment shrinkToFit="0" wrapText="1"/>
    </xf>
    <xf borderId="38" fillId="2" fontId="1" numFmtId="0" xfId="0" applyAlignment="1" applyBorder="1" applyFont="1">
      <alignment shrinkToFit="0" wrapText="1"/>
    </xf>
    <xf borderId="41" fillId="2" fontId="3" numFmtId="0" xfId="0" applyAlignment="1" applyBorder="1" applyFont="1">
      <alignment shrinkToFit="0" wrapText="1"/>
    </xf>
    <xf borderId="41" fillId="2" fontId="3" numFmtId="3" xfId="0" applyAlignment="1" applyBorder="1" applyFont="1" applyNumberFormat="1">
      <alignment shrinkToFit="0" wrapText="1"/>
    </xf>
    <xf borderId="0" fillId="0" fontId="1" numFmtId="0" xfId="0" applyAlignment="1" applyFont="1">
      <alignment shrinkToFit="0" wrapText="1"/>
    </xf>
    <xf borderId="19" fillId="2" fontId="3" numFmtId="0" xfId="0" applyAlignment="1" applyBorder="1" applyFont="1">
      <alignment shrinkToFit="0" wrapText="1"/>
    </xf>
    <xf borderId="19" fillId="0" fontId="11" numFmtId="0" xfId="0" applyAlignment="1" applyBorder="1" applyFont="1">
      <alignment shrinkToFit="0" vertical="bottom" wrapText="1"/>
    </xf>
    <xf borderId="52" fillId="0" fontId="11" numFmtId="0" xfId="0" applyAlignment="1" applyBorder="1" applyFont="1">
      <alignment horizontal="center" shrinkToFit="0" vertical="bottom" wrapText="1"/>
    </xf>
    <xf borderId="29" fillId="0" fontId="6" numFmtId="0" xfId="0" applyAlignment="1" applyBorder="1" applyFont="1">
      <alignment shrinkToFit="0" vertical="bottom" wrapText="1"/>
    </xf>
    <xf borderId="88" fillId="0" fontId="11" numFmtId="0" xfId="0" applyAlignment="1" applyBorder="1" applyFont="1">
      <alignment horizontal="center" shrinkToFit="0" vertical="bottom" wrapText="1"/>
    </xf>
    <xf borderId="40" fillId="2" fontId="1" numFmtId="0" xfId="0" applyAlignment="1" applyBorder="1" applyFont="1">
      <alignment shrinkToFit="0" wrapText="1"/>
    </xf>
    <xf borderId="32" fillId="7" fontId="6" numFmtId="0" xfId="0" applyAlignment="1" applyBorder="1" applyFont="1">
      <alignment horizontal="center"/>
    </xf>
    <xf borderId="0" fillId="0" fontId="13" numFmtId="0" xfId="0" applyFont="1"/>
    <xf borderId="0" fillId="2" fontId="6" numFmtId="0" xfId="0" applyAlignment="1" applyFont="1">
      <alignment shrinkToFit="0" wrapText="1"/>
    </xf>
    <xf borderId="94" fillId="2" fontId="1" numFmtId="0" xfId="0" applyAlignment="1" applyBorder="1" applyFont="1">
      <alignment shrinkToFit="0" wrapText="1"/>
    </xf>
    <xf borderId="95" fillId="0" fontId="2" numFmtId="0" xfId="0" applyBorder="1" applyFont="1"/>
    <xf borderId="58" fillId="2" fontId="1" numFmtId="0" xfId="0" applyAlignment="1" applyBorder="1" applyFont="1">
      <alignment shrinkToFit="0" wrapText="1"/>
    </xf>
    <xf borderId="58" fillId="3" fontId="1" numFmtId="10" xfId="0" applyAlignment="1" applyBorder="1" applyFont="1" applyNumberFormat="1">
      <alignment shrinkToFit="0" wrapText="1"/>
    </xf>
    <xf borderId="19" fillId="2" fontId="1" numFmtId="0" xfId="0" applyAlignment="1" applyBorder="1" applyFont="1">
      <alignment shrinkToFit="0" wrapText="1"/>
    </xf>
    <xf borderId="19" fillId="3" fontId="1" numFmtId="171" xfId="0" applyAlignment="1" applyBorder="1" applyFont="1" applyNumberFormat="1">
      <alignment shrinkToFit="0" wrapText="1"/>
    </xf>
    <xf borderId="41" fillId="2" fontId="1" numFmtId="0" xfId="0" applyAlignment="1" applyBorder="1" applyFont="1">
      <alignment shrinkToFit="0" wrapText="1"/>
    </xf>
    <xf borderId="25" fillId="2" fontId="1" numFmtId="9" xfId="0" applyAlignment="1" applyBorder="1" applyFont="1" applyNumberFormat="1">
      <alignment shrinkToFit="0" wrapText="1"/>
    </xf>
    <xf borderId="15" fillId="2" fontId="1" numFmtId="0" xfId="0" applyAlignment="1" applyBorder="1" applyFont="1">
      <alignment shrinkToFit="0" wrapText="1"/>
    </xf>
    <xf borderId="96" fillId="2" fontId="1" numFmtId="0" xfId="0" applyAlignment="1" applyBorder="1" applyFont="1">
      <alignment shrinkToFit="0" wrapText="1"/>
    </xf>
    <xf borderId="97" fillId="2" fontId="1" numFmtId="0" xfId="0" applyAlignment="1" applyBorder="1" applyFont="1">
      <alignment shrinkToFit="0" wrapText="1"/>
    </xf>
    <xf borderId="5" fillId="2" fontId="1" numFmtId="1" xfId="0" applyAlignment="1" applyBorder="1" applyFont="1" applyNumberFormat="1">
      <alignment horizontal="center" shrinkToFit="0" vertical="center" wrapText="1"/>
    </xf>
    <xf borderId="15" fillId="2" fontId="1" numFmtId="1" xfId="0" applyAlignment="1" applyBorder="1" applyFont="1" applyNumberFormat="1">
      <alignment horizontal="center" shrinkToFit="0" vertical="center" wrapText="1"/>
    </xf>
    <xf borderId="98" fillId="2" fontId="1" numFmtId="1" xfId="0" applyAlignment="1" applyBorder="1" applyFont="1" applyNumberFormat="1">
      <alignment horizontal="center" shrinkToFit="0" vertical="center" wrapText="1"/>
    </xf>
    <xf borderId="58" fillId="0" fontId="8" numFmtId="0" xfId="0" applyBorder="1" applyFont="1"/>
    <xf borderId="99" fillId="0" fontId="8" numFmtId="0" xfId="0" applyBorder="1" applyFont="1"/>
    <xf borderId="12" fillId="0" fontId="1" numFmtId="0" xfId="0" applyAlignment="1" applyBorder="1" applyFont="1">
      <alignment horizontal="center" shrinkToFit="0" vertical="center" wrapText="1"/>
    </xf>
    <xf borderId="41" fillId="0" fontId="8" numFmtId="0" xfId="0" applyBorder="1" applyFont="1"/>
    <xf borderId="52" fillId="0" fontId="8" numFmtId="3" xfId="0" applyBorder="1" applyFont="1" applyNumberFormat="1"/>
    <xf borderId="100" fillId="0" fontId="2" numFmtId="0" xfId="0" applyBorder="1" applyFont="1"/>
    <xf borderId="52" fillId="0" fontId="8" numFmtId="170" xfId="0" applyBorder="1" applyFont="1" applyNumberFormat="1"/>
    <xf borderId="0" fillId="0" fontId="8" numFmtId="170" xfId="0" applyFont="1" applyNumberFormat="1"/>
    <xf borderId="52" fillId="0" fontId="8" numFmtId="4" xfId="0" applyBorder="1" applyFont="1" applyNumberFormat="1"/>
    <xf borderId="55" fillId="0" fontId="2" numFmtId="0" xfId="0" applyBorder="1" applyFont="1"/>
    <xf borderId="12" fillId="0" fontId="1" numFmtId="0" xfId="0" applyAlignment="1" applyBorder="1" applyFont="1">
      <alignment horizontal="center" shrinkToFit="0" wrapText="1"/>
    </xf>
    <xf borderId="52" fillId="0" fontId="8" numFmtId="171" xfId="0" applyBorder="1" applyFont="1" applyNumberFormat="1"/>
    <xf borderId="19" fillId="0" fontId="8" numFmtId="171" xfId="0" applyBorder="1" applyFont="1" applyNumberFormat="1"/>
    <xf borderId="0" fillId="0" fontId="8" numFmtId="4" xfId="0" applyFont="1" applyNumberFormat="1"/>
    <xf borderId="19" fillId="0" fontId="8" numFmtId="172" xfId="0" applyBorder="1" applyFont="1" applyNumberFormat="1"/>
    <xf borderId="52" fillId="0" fontId="8" numFmtId="173" xfId="0" applyBorder="1" applyFont="1" applyNumberFormat="1"/>
    <xf borderId="19" fillId="0" fontId="8" numFmtId="173" xfId="0" applyBorder="1" applyFont="1" applyNumberFormat="1"/>
    <xf borderId="0" fillId="0" fontId="8" numFmtId="0" xfId="0" applyAlignment="1" applyFont="1">
      <alignment horizontal="center"/>
    </xf>
    <xf borderId="101" fillId="2" fontId="1" numFmtId="0" xfId="0" applyAlignment="1" applyBorder="1" applyFont="1">
      <alignment horizontal="center" shrinkToFit="0" wrapText="1"/>
    </xf>
    <xf borderId="102" fillId="0" fontId="2" numFmtId="0" xfId="0" applyBorder="1" applyFont="1"/>
    <xf borderId="103" fillId="0" fontId="2" numFmtId="0" xfId="0" applyBorder="1" applyFont="1"/>
    <xf borderId="102" fillId="2" fontId="1" numFmtId="0" xfId="0" applyAlignment="1" applyBorder="1" applyFont="1">
      <alignment horizontal="center" shrinkToFit="0" wrapText="1"/>
    </xf>
    <xf borderId="25" fillId="0" fontId="8" numFmtId="0" xfId="0" applyAlignment="1" applyBorder="1" applyFont="1">
      <alignment horizontal="center"/>
    </xf>
    <xf borderId="19" fillId="2" fontId="1" numFmtId="170" xfId="0" applyAlignment="1" applyBorder="1" applyFont="1" applyNumberFormat="1">
      <alignment horizontal="center" shrinkToFit="0" wrapText="1"/>
    </xf>
    <xf borderId="19" fillId="2" fontId="1" numFmtId="2" xfId="0" applyAlignment="1" applyBorder="1" applyFont="1" applyNumberFormat="1">
      <alignment horizontal="center" shrinkToFit="0" wrapText="1"/>
    </xf>
    <xf borderId="58" fillId="2" fontId="1" numFmtId="170" xfId="0" applyAlignment="1" applyBorder="1" applyFont="1" applyNumberFormat="1">
      <alignment horizontal="center" shrinkToFit="0" wrapText="1"/>
    </xf>
    <xf borderId="29" fillId="2" fontId="1" numFmtId="170" xfId="0" applyAlignment="1" applyBorder="1" applyFont="1" applyNumberFormat="1">
      <alignment horizontal="center" shrinkToFit="0" wrapText="1"/>
    </xf>
    <xf borderId="7" fillId="2" fontId="1" numFmtId="170" xfId="0" applyAlignment="1" applyBorder="1" applyFont="1" applyNumberFormat="1">
      <alignment horizontal="center" shrinkToFit="0" wrapText="1"/>
    </xf>
    <xf borderId="7" fillId="2" fontId="1" numFmtId="2" xfId="0" applyAlignment="1" applyBorder="1" applyFont="1" applyNumberFormat="1">
      <alignment horizontal="center" shrinkToFit="0" wrapText="1"/>
    </xf>
    <xf borderId="92" fillId="2" fontId="1" numFmtId="170" xfId="0" applyAlignment="1" applyBorder="1" applyFont="1" applyNumberFormat="1">
      <alignment horizontal="center" shrinkToFit="0" wrapText="1"/>
    </xf>
    <xf borderId="20" fillId="2" fontId="1" numFmtId="0" xfId="0" applyAlignment="1" applyBorder="1" applyFont="1">
      <alignment shrinkToFit="0" wrapText="1"/>
    </xf>
    <xf borderId="104" fillId="2" fontId="1" numFmtId="0" xfId="0" applyAlignment="1" applyBorder="1" applyFont="1">
      <alignment shrinkToFit="0" wrapText="1"/>
    </xf>
    <xf borderId="9" fillId="2" fontId="1" numFmtId="0" xfId="0" applyAlignment="1" applyBorder="1" applyFont="1">
      <alignment shrinkToFit="0" wrapText="1"/>
    </xf>
    <xf borderId="58" fillId="2" fontId="1" numFmtId="10" xfId="0" applyAlignment="1" applyBorder="1" applyFont="1" applyNumberFormat="1">
      <alignment shrinkToFit="0" wrapText="1"/>
    </xf>
    <xf borderId="19" fillId="2" fontId="1" numFmtId="171" xfId="0" applyAlignment="1" applyBorder="1" applyFont="1" applyNumberFormat="1">
      <alignment shrinkToFit="0" wrapText="1"/>
    </xf>
    <xf borderId="41" fillId="2" fontId="1" numFmtId="9" xfId="0" applyAlignment="1" applyBorder="1" applyFont="1" applyNumberFormat="1">
      <alignment shrinkToFit="0" wrapText="1"/>
    </xf>
    <xf borderId="32" fillId="2" fontId="1" numFmtId="0" xfId="0" applyAlignment="1" applyBorder="1" applyFont="1">
      <alignment horizontal="center" shrinkToFit="0" wrapText="1"/>
    </xf>
    <xf borderId="18" fillId="0" fontId="1" numFmtId="174" xfId="0" applyAlignment="1" applyBorder="1" applyFont="1" applyNumberFormat="1">
      <alignment horizontal="right" vertical="bottom"/>
    </xf>
    <xf borderId="62" fillId="0" fontId="1" numFmtId="174" xfId="0" applyAlignment="1" applyBorder="1" applyFont="1" applyNumberFormat="1">
      <alignment horizontal="right" vertical="bottom"/>
    </xf>
    <xf borderId="20" fillId="0" fontId="1" numFmtId="174" xfId="0" applyAlignment="1" applyBorder="1" applyFont="1" applyNumberFormat="1">
      <alignment horizontal="right" vertical="bottom"/>
    </xf>
    <xf borderId="52" fillId="0" fontId="1" numFmtId="174" xfId="0" applyAlignment="1" applyBorder="1" applyFont="1" applyNumberFormat="1">
      <alignment horizontal="right" vertical="bottom"/>
    </xf>
    <xf borderId="32" fillId="0" fontId="1" numFmtId="174" xfId="0" applyAlignment="1" applyBorder="1" applyFont="1" applyNumberFormat="1">
      <alignment horizontal="right" vertical="bottom"/>
    </xf>
    <xf borderId="6" fillId="0" fontId="1" numFmtId="174" xfId="0" applyAlignment="1" applyBorder="1" applyFont="1" applyNumberFormat="1">
      <alignment horizontal="right" vertical="bottom"/>
    </xf>
    <xf borderId="9" fillId="0" fontId="1" numFmtId="174" xfId="0" applyAlignment="1" applyBorder="1" applyFont="1" applyNumberFormat="1">
      <alignment horizontal="right" vertical="bottom"/>
    </xf>
    <xf borderId="91" fillId="0" fontId="1" numFmtId="174" xfId="0" applyAlignment="1" applyBorder="1" applyFont="1" applyNumberFormat="1">
      <alignment horizontal="right" vertical="bottom"/>
    </xf>
    <xf borderId="8" fillId="0" fontId="1" numFmtId="174" xfId="0" applyAlignment="1" applyBorder="1" applyFont="1" applyNumberFormat="1">
      <alignment horizontal="right" vertical="bottom"/>
    </xf>
    <xf borderId="0" fillId="7" fontId="1" numFmtId="0" xfId="0" applyAlignment="1" applyFont="1">
      <alignment shrinkToFit="0" vertical="bottom" wrapText="1"/>
    </xf>
    <xf borderId="0" fillId="7" fontId="1" numFmtId="0" xfId="0" applyAlignment="1" applyFont="1">
      <alignment vertical="bottom"/>
    </xf>
    <xf borderId="0" fillId="7" fontId="1" numFmtId="3" xfId="0" applyAlignment="1" applyFont="1" applyNumberFormat="1">
      <alignment horizontal="right" shrinkToFit="0" vertical="bottom" wrapText="1"/>
    </xf>
    <xf borderId="0" fillId="7" fontId="1" numFmtId="4" xfId="0" applyAlignment="1" applyFont="1" applyNumberFormat="1">
      <alignment horizontal="right" shrinkToFit="0" vertical="bottom" wrapText="1"/>
    </xf>
    <xf borderId="0" fillId="7" fontId="1" numFmtId="170" xfId="0" applyAlignment="1" applyFont="1" applyNumberFormat="1">
      <alignment horizontal="right" shrinkToFit="0" vertical="bottom" wrapText="1"/>
    </xf>
    <xf borderId="5" fillId="2" fontId="1" numFmtId="3" xfId="0" applyAlignment="1" applyBorder="1" applyFont="1" applyNumberFormat="1">
      <alignment shrinkToFit="0" wrapText="1"/>
    </xf>
    <xf borderId="5" fillId="2" fontId="1" numFmtId="170" xfId="0" applyAlignment="1" applyBorder="1" applyFont="1" applyNumberFormat="1">
      <alignment shrinkToFit="0" wrapText="1"/>
    </xf>
    <xf borderId="0" fillId="7" fontId="1" numFmtId="164" xfId="0" applyAlignment="1" applyFont="1" applyNumberFormat="1">
      <alignment horizontal="right" shrinkToFit="0" vertical="bottom" wrapText="1"/>
    </xf>
    <xf borderId="5" fillId="2" fontId="1" numFmtId="164" xfId="0" applyAlignment="1" applyBorder="1" applyFont="1" applyNumberFormat="1">
      <alignment shrinkToFit="0" wrapText="1"/>
    </xf>
    <xf borderId="0" fillId="0" fontId="9" numFmtId="0" xfId="0" applyAlignment="1" applyFont="1">
      <alignment horizontal="center"/>
    </xf>
    <xf borderId="0" fillId="0" fontId="9" numFmtId="0" xfId="0" applyFont="1"/>
    <xf borderId="0" fillId="0" fontId="4" numFmtId="3" xfId="0" applyFont="1" applyNumberFormat="1"/>
    <xf borderId="0" fillId="3" fontId="8" numFmtId="0" xfId="0" applyFont="1"/>
    <xf borderId="0" fillId="3" fontId="8" numFmtId="3" xfId="0" applyFont="1" applyNumberFormat="1"/>
    <xf borderId="0" fillId="2" fontId="8" numFmtId="0" xfId="0" applyFont="1"/>
    <xf borderId="0" fillId="0" fontId="8" numFmtId="172" xfId="0" applyFont="1" applyNumberFormat="1"/>
    <xf borderId="19" fillId="0" fontId="3" numFmtId="0" xfId="0" applyAlignment="1" applyBorder="1" applyFont="1">
      <alignment horizontal="center" vertical="top"/>
    </xf>
    <xf borderId="52" fillId="0" fontId="3" numFmtId="0" xfId="0" applyAlignment="1" applyBorder="1" applyFont="1">
      <alignment horizontal="center" vertical="top"/>
    </xf>
    <xf borderId="0" fillId="0" fontId="1" numFmtId="0" xfId="0" applyAlignment="1" applyFont="1">
      <alignment vertical="bottom"/>
    </xf>
    <xf borderId="0" fillId="0" fontId="1" numFmtId="174" xfId="0" applyAlignment="1" applyFont="1" applyNumberFormat="1">
      <alignment horizontal="right" vertical="bottom"/>
    </xf>
    <xf borderId="0" fillId="0" fontId="1" numFmtId="174" xfId="0" applyAlignment="1" applyFont="1" applyNumberFormat="1">
      <alignment vertical="bottom"/>
    </xf>
    <xf borderId="25" fillId="0" fontId="1" numFmtId="0" xfId="0" applyAlignment="1" applyBorder="1" applyFont="1">
      <alignment horizontal="center" shrinkToFit="0" vertical="center" wrapText="1"/>
    </xf>
    <xf borderId="0" fillId="0" fontId="14" numFmtId="0" xfId="0" applyFont="1"/>
    <xf borderId="0" fillId="0" fontId="8" numFmtId="175" xfId="0" applyFont="1" applyNumberFormat="1"/>
    <xf borderId="0" fillId="0" fontId="1" numFmtId="0" xfId="0" applyAlignment="1" applyFont="1">
      <alignment horizontal="center" readingOrder="0" shrinkToFit="0" vertical="center" wrapText="1"/>
    </xf>
    <xf borderId="41" fillId="0" fontId="1" numFmtId="0" xfId="0" applyAlignment="1" applyBorder="1" applyFont="1">
      <alignment horizontal="center" shrinkToFit="0" vertical="center" wrapText="1"/>
    </xf>
    <xf borderId="44" fillId="0" fontId="1" numFmtId="0" xfId="0" applyAlignment="1" applyBorder="1" applyFont="1">
      <alignment horizontal="center" shrinkToFit="0" vertical="center" wrapText="1"/>
    </xf>
    <xf borderId="100" fillId="0" fontId="1" numFmtId="0" xfId="0" applyAlignment="1" applyBorder="1" applyFont="1">
      <alignment horizontal="center" shrinkToFit="0" vertical="center" wrapText="1"/>
    </xf>
    <xf borderId="41" fillId="4" fontId="1" numFmtId="164" xfId="0" applyAlignment="1" applyBorder="1" applyFont="1" applyNumberFormat="1">
      <alignment horizontal="center" shrinkToFit="0" vertical="center" wrapText="1"/>
    </xf>
    <xf borderId="41" fillId="0" fontId="1" numFmtId="0" xfId="0" applyAlignment="1" applyBorder="1" applyFont="1">
      <alignment horizontal="center" readingOrder="0" shrinkToFit="0" vertical="center" wrapText="1"/>
    </xf>
    <xf borderId="19" fillId="0" fontId="15" numFmtId="0" xfId="0" applyAlignment="1" applyBorder="1" applyFont="1">
      <alignment horizontal="center" shrinkToFit="0" vertical="center" wrapText="1"/>
    </xf>
    <xf borderId="19" fillId="0" fontId="16" numFmtId="0" xfId="0" applyBorder="1" applyFont="1"/>
    <xf borderId="19" fillId="11" fontId="8" numFmtId="3" xfId="0" applyAlignment="1" applyBorder="1" applyFill="1" applyFont="1" applyNumberFormat="1">
      <alignment horizontal="center"/>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4" fillId="2" fontId="1" numFmtId="0" xfId="0" applyAlignment="1" applyBorder="1" applyFont="1">
      <alignment horizontal="center" shrinkToFit="0" vertical="center" wrapText="1"/>
    </xf>
    <xf borderId="19" fillId="10" fontId="1" numFmtId="0" xfId="0" applyAlignment="1" applyBorder="1" applyFont="1">
      <alignment horizontal="center" shrinkToFit="0" vertical="center" wrapText="1"/>
    </xf>
    <xf borderId="19" fillId="2" fontId="1" numFmtId="0" xfId="0" applyAlignment="1" applyBorder="1" applyFont="1">
      <alignment horizontal="center" shrinkToFit="0" vertical="center" wrapText="1"/>
    </xf>
    <xf borderId="20" fillId="2"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105" fillId="0" fontId="8" numFmtId="0" xfId="0" applyBorder="1" applyFont="1"/>
    <xf borderId="59" fillId="0" fontId="8" numFmtId="0" xfId="0" applyBorder="1" applyFont="1"/>
    <xf borderId="106" fillId="0" fontId="8" numFmtId="0" xfId="0" applyBorder="1" applyFont="1"/>
    <xf borderId="29" fillId="0" fontId="8" numFmtId="0" xfId="0" applyBorder="1" applyFont="1"/>
    <xf borderId="88" fillId="0" fontId="8" numFmtId="0" xfId="0" applyBorder="1" applyFont="1"/>
    <xf borderId="59" fillId="9" fontId="8" numFmtId="0" xfId="0" applyBorder="1" applyFont="1"/>
    <xf borderId="106" fillId="9" fontId="8" numFmtId="0" xfId="0" applyBorder="1" applyFont="1"/>
    <xf borderId="59" fillId="12" fontId="8" numFmtId="0" xfId="0" applyBorder="1" applyFill="1" applyFont="1"/>
    <xf borderId="58" fillId="12" fontId="8" numFmtId="0" xfId="0" applyBorder="1" applyFont="1"/>
    <xf borderId="59" fillId="10" fontId="8" numFmtId="0" xfId="0" applyBorder="1" applyFont="1"/>
    <xf borderId="29" fillId="9" fontId="8" numFmtId="0" xfId="0" applyBorder="1" applyFont="1"/>
    <xf borderId="19" fillId="0" fontId="1" numFmtId="0" xfId="0" applyAlignment="1" applyBorder="1" applyFont="1">
      <alignment horizontal="right" vertical="bottom"/>
    </xf>
    <xf borderId="19" fillId="0" fontId="1" numFmtId="0" xfId="0" applyAlignment="1" applyBorder="1" applyFont="1">
      <alignment vertical="bottom"/>
    </xf>
    <xf borderId="15" fillId="8" fontId="1" numFmtId="0" xfId="0" applyAlignment="1" applyBorder="1" applyFont="1">
      <alignment horizontal="center" readingOrder="0"/>
    </xf>
    <xf borderId="39" fillId="2" fontId="1" numFmtId="0" xfId="0" applyAlignment="1" applyBorder="1" applyFont="1">
      <alignment horizontal="center" readingOrder="0"/>
    </xf>
    <xf borderId="5" fillId="2" fontId="1" numFmtId="3" xfId="0" applyAlignment="1" applyBorder="1" applyFont="1" applyNumberFormat="1">
      <alignment horizontal="center"/>
    </xf>
    <xf borderId="19" fillId="8" fontId="1" numFmtId="0" xfId="0" applyAlignment="1" applyBorder="1" applyFont="1">
      <alignment horizontal="right" vertical="bottom"/>
    </xf>
    <xf borderId="19" fillId="8" fontId="1" numFmtId="0" xfId="0" applyAlignment="1" applyBorder="1" applyFont="1">
      <alignment vertical="bottom"/>
    </xf>
    <xf borderId="19" fillId="8" fontId="1" numFmtId="3" xfId="0" applyAlignment="1" applyBorder="1" applyFont="1" applyNumberFormat="1">
      <alignment horizontal="right" vertical="bottom"/>
    </xf>
    <xf borderId="96" fillId="2" fontId="1" numFmtId="0" xfId="0" applyAlignment="1" applyBorder="1" applyFont="1">
      <alignment horizontal="center" readingOrder="0"/>
    </xf>
    <xf borderId="97" fillId="0" fontId="2" numFmtId="0" xfId="0" applyBorder="1" applyFont="1"/>
    <xf borderId="5" fillId="2" fontId="1" numFmtId="3" xfId="0" applyBorder="1" applyFont="1" applyNumberFormat="1"/>
    <xf borderId="19" fillId="0" fontId="8" numFmtId="0" xfId="0" applyAlignment="1" applyBorder="1" applyFont="1">
      <alignment horizontal="right"/>
    </xf>
    <xf borderId="19" fillId="0" fontId="8" numFmtId="0" xfId="0" applyAlignment="1" applyBorder="1" applyFont="1">
      <alignment readingOrder="0"/>
    </xf>
    <xf borderId="19" fillId="0" fontId="8" numFmtId="165" xfId="0" applyBorder="1" applyFont="1" applyNumberFormat="1"/>
    <xf borderId="19" fillId="0" fontId="8" numFmtId="3" xfId="0" applyAlignment="1" applyBorder="1" applyFont="1" applyNumberFormat="1">
      <alignment horizontal="right"/>
    </xf>
    <xf borderId="29" fillId="0" fontId="1" numFmtId="0" xfId="0" applyAlignment="1" applyBorder="1" applyFont="1">
      <alignment horizontal="right" vertical="bottom"/>
    </xf>
    <xf borderId="52" fillId="0" fontId="8" numFmtId="0" xfId="0" applyBorder="1" applyFont="1"/>
    <xf borderId="52" fillId="0" fontId="1" numFmtId="0" xfId="0" applyAlignment="1" applyBorder="1" applyFont="1">
      <alignment vertical="bottom"/>
    </xf>
    <xf borderId="29" fillId="0" fontId="1" numFmtId="0" xfId="0" applyAlignment="1" applyBorder="1" applyFont="1">
      <alignment vertical="bottom"/>
    </xf>
    <xf borderId="88" fillId="0" fontId="1" numFmtId="0" xfId="0" applyAlignment="1" applyBorder="1" applyFont="1">
      <alignment vertical="bottom"/>
    </xf>
    <xf borderId="107" fillId="0" fontId="1" numFmtId="0" xfId="0" applyAlignment="1" applyBorder="1" applyFont="1">
      <alignment shrinkToFit="0" vertical="bottom" wrapText="0"/>
    </xf>
    <xf borderId="32" fillId="0" fontId="8" numFmtId="0" xfId="0" applyBorder="1" applyFont="1"/>
    <xf borderId="19" fillId="7" fontId="3" numFmtId="3" xfId="0" applyAlignment="1" applyBorder="1" applyFont="1" applyNumberFormat="1">
      <alignment horizontal="left"/>
    </xf>
    <xf borderId="19" fillId="0" fontId="3" numFmtId="3" xfId="0" applyAlignment="1" applyBorder="1" applyFont="1" applyNumberFormat="1">
      <alignment horizontal="left"/>
    </xf>
    <xf borderId="19" fillId="7" fontId="3" numFmtId="3" xfId="0" applyAlignment="1" applyBorder="1" applyFont="1" applyNumberFormat="1">
      <alignment horizontal="left" shrinkToFit="0" wrapText="1"/>
    </xf>
    <xf borderId="19" fillId="7" fontId="1" numFmtId="3" xfId="0" applyAlignment="1" applyBorder="1" applyFont="1" applyNumberFormat="1">
      <alignment horizontal="left"/>
    </xf>
    <xf borderId="19" fillId="7" fontId="1" numFmtId="3" xfId="0" applyAlignment="1" applyBorder="1" applyFont="1" applyNumberFormat="1">
      <alignment horizontal="right"/>
    </xf>
    <xf borderId="19" fillId="7" fontId="1" numFmtId="49" xfId="0" applyAlignment="1" applyBorder="1" applyFont="1" applyNumberFormat="1">
      <alignment horizontal="left"/>
    </xf>
    <xf borderId="0" fillId="11" fontId="8" numFmtId="3" xfId="0" applyFont="1" applyNumberFormat="1"/>
    <xf borderId="0" fillId="0" fontId="17" numFmtId="0" xfId="0" applyAlignment="1" applyFont="1">
      <alignment horizontal="center"/>
    </xf>
    <xf borderId="0" fillId="0" fontId="18" numFmtId="0" xfId="0" applyFont="1"/>
    <xf borderId="0" fillId="0" fontId="3" numFmtId="0" xfId="0" applyFont="1"/>
    <xf borderId="0" fillId="0" fontId="8" numFmtId="165" xfId="0" applyFont="1" applyNumberFormat="1"/>
    <xf borderId="5" fillId="5" fontId="1" numFmtId="0" xfId="0" applyBorder="1" applyFont="1"/>
    <xf borderId="0" fillId="0" fontId="1" numFmtId="3" xfId="0" applyFont="1" applyNumberFormat="1"/>
    <xf borderId="23" fillId="0" fontId="1" numFmtId="0" xfId="0" applyAlignment="1" applyBorder="1" applyFont="1">
      <alignment horizontal="center" shrinkToFit="0" vertical="center" wrapText="1"/>
    </xf>
    <xf borderId="24" fillId="0" fontId="1" numFmtId="164" xfId="0" applyAlignment="1" applyBorder="1" applyFont="1" applyNumberFormat="1">
      <alignment horizontal="center" shrinkToFit="0" vertical="center" wrapText="1"/>
    </xf>
    <xf borderId="108" fillId="2" fontId="3" numFmtId="0" xfId="0" applyAlignment="1" applyBorder="1" applyFont="1">
      <alignment horizontal="center" shrinkToFit="0" vertical="center" wrapText="1"/>
    </xf>
    <xf borderId="109" fillId="0" fontId="2" numFmtId="0" xfId="0" applyBorder="1" applyFont="1"/>
    <xf borderId="20" fillId="0" fontId="1" numFmtId="165" xfId="0" applyAlignment="1" applyBorder="1" applyFont="1" applyNumberFormat="1">
      <alignment horizontal="center" shrinkToFit="0" vertical="center" wrapText="1"/>
    </xf>
    <xf borderId="19" fillId="0" fontId="1" numFmtId="172" xfId="0" applyAlignment="1" applyBorder="1" applyFont="1" applyNumberFormat="1">
      <alignment horizontal="center" shrinkToFit="0" vertical="center" wrapText="1"/>
    </xf>
    <xf borderId="7" fillId="0" fontId="1" numFmtId="172" xfId="0" applyAlignment="1" applyBorder="1" applyFont="1" applyNumberFormat="1">
      <alignment horizontal="center" shrinkToFit="0" vertical="center" wrapText="1"/>
    </xf>
    <xf borderId="19" fillId="0" fontId="1" numFmtId="176" xfId="0" applyAlignment="1" applyBorder="1" applyFont="1" applyNumberFormat="1">
      <alignment horizontal="center" shrinkToFit="0" vertical="center" wrapText="1"/>
    </xf>
    <xf borderId="7" fillId="0" fontId="1" numFmtId="176" xfId="0" applyAlignment="1" applyBorder="1" applyFont="1" applyNumberFormat="1">
      <alignment horizontal="center" shrinkToFit="0" vertical="center" wrapText="1"/>
    </xf>
    <xf borderId="0" fillId="0" fontId="1" numFmtId="165" xfId="0" applyFont="1" applyNumberFormat="1"/>
    <xf borderId="19" fillId="13" fontId="19" numFmtId="0" xfId="0" applyAlignment="1" applyBorder="1" applyFill="1" applyFont="1">
      <alignment horizontal="center"/>
    </xf>
    <xf borderId="52" fillId="13" fontId="19" numFmtId="0" xfId="0" applyAlignment="1" applyBorder="1" applyFont="1">
      <alignment horizontal="center"/>
    </xf>
    <xf borderId="29" fillId="0" fontId="20" numFmtId="0" xfId="0" applyAlignment="1" applyBorder="1" applyFont="1">
      <alignment horizontal="center"/>
    </xf>
    <xf borderId="88" fillId="0" fontId="20" numFmtId="0" xfId="0" applyAlignment="1" applyBorder="1" applyFont="1">
      <alignment horizontal="center"/>
    </xf>
    <xf borderId="88" fillId="0" fontId="20" numFmtId="170" xfId="0" applyAlignment="1" applyBorder="1" applyFont="1" applyNumberFormat="1">
      <alignment horizontal="center"/>
    </xf>
    <xf borderId="88" fillId="0" fontId="20" numFmtId="171" xfId="0" applyAlignment="1" applyBorder="1" applyFont="1" applyNumberFormat="1">
      <alignment horizontal="center"/>
    </xf>
    <xf borderId="88" fillId="0" fontId="20" numFmtId="173" xfId="0" applyAlignment="1" applyBorder="1" applyFont="1" applyNumberFormat="1">
      <alignment horizontal="center"/>
    </xf>
    <xf borderId="0" fillId="0" fontId="19" numFmtId="0" xfId="0" applyFont="1"/>
    <xf borderId="107" fillId="0" fontId="1" numFmtId="0" xfId="0" applyAlignment="1" applyBorder="1" applyFont="1">
      <alignment vertical="bottom"/>
    </xf>
    <xf borderId="19" fillId="7" fontId="6" numFmtId="0" xfId="0" applyAlignment="1" applyBorder="1" applyFont="1">
      <alignment vertical="bottom"/>
    </xf>
    <xf borderId="29" fillId="0" fontId="19" numFmtId="0" xfId="0" applyAlignment="1" applyBorder="1" applyFont="1">
      <alignment horizontal="center"/>
    </xf>
    <xf borderId="88" fillId="0" fontId="21" numFmtId="0" xfId="0" applyAlignment="1" applyBorder="1" applyFont="1">
      <alignment horizontal="center" shrinkToFit="0" wrapText="1"/>
    </xf>
    <xf borderId="29" fillId="2" fontId="22" numFmtId="0" xfId="0" applyAlignment="1" applyBorder="1" applyFont="1">
      <alignment horizontal="right" vertical="bottom"/>
    </xf>
    <xf borderId="29" fillId="0" fontId="22" numFmtId="0" xfId="0" applyAlignment="1" applyBorder="1" applyFont="1">
      <alignment horizontal="right" vertical="bottom"/>
    </xf>
    <xf borderId="88" fillId="0" fontId="22" numFmtId="0" xfId="0" applyAlignment="1" applyBorder="1" applyFont="1">
      <alignment horizontal="right" vertical="bottom"/>
    </xf>
    <xf borderId="19" fillId="14" fontId="23" numFmtId="0" xfId="0" applyAlignment="1" applyBorder="1" applyFill="1" applyFont="1">
      <alignment horizontal="right" shrinkToFit="0" vertical="bottom" wrapText="0"/>
    </xf>
    <xf borderId="0" fillId="14" fontId="1" numFmtId="0" xfId="0" applyAlignment="1" applyFont="1">
      <alignment vertical="bottom"/>
    </xf>
    <xf borderId="29" fillId="14" fontId="22" numFmtId="0" xfId="0" applyAlignment="1" applyBorder="1" applyFont="1">
      <alignment horizontal="right" vertical="bottom"/>
    </xf>
    <xf borderId="88" fillId="14" fontId="22" numFmtId="0" xfId="0" applyAlignment="1" applyBorder="1" applyFont="1">
      <alignment horizontal="right" vertical="bottom"/>
    </xf>
    <xf borderId="0" fillId="0" fontId="23" numFmtId="0" xfId="0" applyAlignment="1" applyFont="1">
      <alignment shrinkToFit="0" vertical="bottom" wrapText="0"/>
    </xf>
    <xf borderId="0" fillId="0" fontId="19" numFmtId="0" xfId="0" applyAlignment="1" applyFont="1">
      <alignment shrinkToFit="0" wrapText="0"/>
    </xf>
    <xf borderId="110" fillId="0" fontId="4" numFmtId="0" xfId="0" applyAlignment="1" applyBorder="1" applyFont="1">
      <alignment readingOrder="0"/>
    </xf>
    <xf borderId="111" fillId="0" fontId="4" numFmtId="0" xfId="0" applyAlignment="1" applyBorder="1" applyFont="1">
      <alignment readingOrder="0"/>
    </xf>
    <xf borderId="112" fillId="0" fontId="4" numFmtId="0" xfId="0" applyAlignment="1" applyBorder="1" applyFont="1">
      <alignment readingOrder="0"/>
    </xf>
    <xf borderId="0" fillId="0" fontId="6" numFmtId="0" xfId="0" applyAlignment="1" applyFont="1">
      <alignment readingOrder="0" shrinkToFit="0" vertical="bottom" wrapText="0"/>
    </xf>
    <xf borderId="0" fillId="0" fontId="6" numFmtId="0" xfId="0" applyAlignment="1" applyFont="1">
      <alignment shrinkToFit="0" vertical="bottom" wrapText="0"/>
    </xf>
    <xf borderId="113" fillId="0" fontId="8" numFmtId="0" xfId="0" applyBorder="1" applyFont="1"/>
    <xf borderId="114" fillId="0" fontId="4" numFmtId="176" xfId="0" applyAlignment="1" applyBorder="1" applyFont="1" applyNumberFormat="1">
      <alignment readingOrder="0"/>
    </xf>
    <xf borderId="110" fillId="0" fontId="6" numFmtId="0" xfId="0" applyAlignment="1" applyBorder="1" applyFont="1">
      <alignment shrinkToFit="0" vertical="bottom" wrapText="0"/>
    </xf>
    <xf borderId="115" fillId="0" fontId="3" numFmtId="0" xfId="0" applyAlignment="1" applyBorder="1" applyFont="1">
      <alignment horizontal="center" readingOrder="0" shrinkToFit="0" vertical="top" wrapText="0"/>
    </xf>
    <xf borderId="116" fillId="0" fontId="3" numFmtId="0" xfId="0" applyAlignment="1" applyBorder="1" applyFont="1">
      <alignment horizontal="center" readingOrder="0" shrinkToFit="0" vertical="top" wrapText="0"/>
    </xf>
    <xf borderId="117" fillId="0" fontId="3" numFmtId="0" xfId="0" applyAlignment="1" applyBorder="1" applyFont="1">
      <alignment horizontal="center" readingOrder="0" shrinkToFit="0" vertical="top" wrapText="0"/>
    </xf>
    <xf borderId="0" fillId="0" fontId="4" numFmtId="0" xfId="0" applyAlignment="1" applyFont="1">
      <alignment readingOrder="0"/>
    </xf>
    <xf borderId="118" fillId="0" fontId="3" numFmtId="0" xfId="0" applyAlignment="1" applyBorder="1" applyFont="1">
      <alignment horizontal="center" readingOrder="0" shrinkToFit="0" vertical="top" wrapText="0"/>
    </xf>
    <xf borderId="0" fillId="0" fontId="6" numFmtId="0" xfId="0" applyAlignment="1" applyFont="1">
      <alignment horizontal="right" readingOrder="0" shrinkToFit="0" vertical="bottom" wrapText="0"/>
    </xf>
    <xf borderId="114" fillId="0" fontId="6" numFmtId="0" xfId="0" applyAlignment="1" applyBorder="1" applyFont="1">
      <alignment horizontal="right" readingOrder="0" shrinkToFit="0" vertical="bottom" wrapText="0"/>
    </xf>
    <xf borderId="119" fillId="0" fontId="3" numFmtId="0" xfId="0" applyAlignment="1" applyBorder="1" applyFont="1">
      <alignment horizontal="center" readingOrder="0" shrinkToFit="0" vertical="top" wrapText="0"/>
    </xf>
    <xf borderId="120" fillId="0" fontId="8" numFmtId="0" xfId="0" applyBorder="1" applyFont="1"/>
    <xf borderId="121" fillId="0" fontId="4" numFmtId="3" xfId="0" applyBorder="1" applyFont="1" applyNumberFormat="1"/>
    <xf borderId="121" fillId="0" fontId="4" numFmtId="0" xfId="0" applyBorder="1" applyFont="1"/>
    <xf borderId="122" fillId="0" fontId="3" numFmtId="0" xfId="0" applyAlignment="1" applyBorder="1" applyFont="1">
      <alignment horizontal="center" readingOrder="0" shrinkToFit="0" vertical="top" wrapText="0"/>
    </xf>
    <xf borderId="121" fillId="0" fontId="6" numFmtId="0" xfId="0" applyAlignment="1" applyBorder="1" applyFont="1">
      <alignment horizontal="right" readingOrder="0" shrinkToFit="0" vertical="bottom" wrapText="0"/>
    </xf>
    <xf borderId="123" fillId="0" fontId="6" numFmtId="0" xfId="0" applyAlignment="1" applyBorder="1" applyFont="1">
      <alignment horizontal="right" readingOrder="0" shrinkToFit="0" vertical="bottom" wrapText="0"/>
    </xf>
    <xf borderId="0" fillId="0" fontId="24" numFmtId="0" xfId="0" applyAlignment="1" applyFont="1">
      <alignment readingOrder="0"/>
    </xf>
    <xf borderId="0" fillId="0" fontId="4" numFmtId="3" xfId="0" applyAlignment="1" applyFont="1" applyNumberFormat="1">
      <alignment readingOrder="0"/>
    </xf>
    <xf borderId="0" fillId="0" fontId="4" numFmtId="176" xfId="0" applyAlignment="1" applyFont="1" applyNumberFormat="1">
      <alignment readingOrder="0"/>
    </xf>
    <xf borderId="114" fillId="0" fontId="4" numFmtId="0" xfId="0" applyBorder="1" applyFont="1"/>
    <xf borderId="120" fillId="0" fontId="4" numFmtId="0" xfId="0" applyAlignment="1" applyBorder="1" applyFont="1">
      <alignment readingOrder="0"/>
    </xf>
    <xf borderId="121" fillId="0" fontId="4" numFmtId="176" xfId="0" applyBorder="1" applyFont="1" applyNumberFormat="1"/>
    <xf borderId="121" fillId="3" fontId="4" numFmtId="0" xfId="0" applyBorder="1" applyFont="1"/>
    <xf borderId="123" fillId="0" fontId="4" numFmtId="0" xfId="0" applyBorder="1" applyFont="1"/>
    <xf borderId="99" fillId="0" fontId="4" numFmtId="0" xfId="0" applyAlignment="1" applyBorder="1" applyFont="1">
      <alignment readingOrder="0"/>
    </xf>
    <xf borderId="124" fillId="0" fontId="4" numFmtId="0" xfId="0" applyAlignment="1" applyBorder="1" applyFont="1">
      <alignment readingOrder="0"/>
    </xf>
    <xf borderId="105" fillId="0" fontId="4" numFmtId="0" xfId="0" applyAlignment="1" applyBorder="1" applyFont="1">
      <alignment readingOrder="0"/>
    </xf>
    <xf borderId="125" fillId="0" fontId="4" numFmtId="0" xfId="0" applyAlignment="1" applyBorder="1" applyFont="1">
      <alignment readingOrder="0"/>
    </xf>
    <xf borderId="106" fillId="0" fontId="4" numFmtId="0" xfId="0" applyBorder="1" applyFont="1"/>
    <xf borderId="86" fillId="0" fontId="4" numFmtId="0" xfId="0" applyBorder="1" applyFont="1"/>
    <xf borderId="107" fillId="0" fontId="4" numFmtId="0" xfId="0" applyAlignment="1" applyBorder="1" applyFont="1">
      <alignment readingOrder="0"/>
    </xf>
    <xf borderId="88" fillId="15" fontId="4" numFmtId="165" xfId="0" applyBorder="1" applyFill="1" applyFont="1" applyNumberFormat="1"/>
    <xf borderId="0" fillId="0" fontId="25" numFmtId="0" xfId="0" applyAlignment="1" applyFont="1">
      <alignment readingOrder="0"/>
    </xf>
    <xf borderId="124" fillId="0" fontId="4" numFmtId="0" xfId="0" applyBorder="1" applyFont="1"/>
    <xf borderId="105" fillId="0" fontId="4" numFmtId="0" xfId="0" applyBorder="1" applyFont="1"/>
    <xf borderId="125" fillId="0" fontId="4" numFmtId="0" xfId="0" applyBorder="1" applyFont="1"/>
    <xf borderId="125" fillId="0" fontId="4" numFmtId="0" xfId="0" applyAlignment="1" applyBorder="1" applyFont="1">
      <alignment horizontal="right" readingOrder="0"/>
    </xf>
    <xf borderId="0" fillId="0" fontId="4" numFmtId="0" xfId="0" applyAlignment="1" applyFont="1">
      <alignment horizontal="left" readingOrder="0"/>
    </xf>
    <xf borderId="106" fillId="0" fontId="4" numFmtId="0" xfId="0" applyAlignment="1" applyBorder="1" applyFont="1">
      <alignment readingOrder="0"/>
    </xf>
    <xf borderId="92" fillId="0" fontId="1" numFmtId="0" xfId="0" applyAlignment="1" applyBorder="1" applyFont="1">
      <alignment horizontal="center" shrinkToFit="0" wrapText="1"/>
    </xf>
    <xf borderId="106" fillId="8" fontId="4" numFmtId="0" xfId="0" applyBorder="1" applyFont="1"/>
    <xf borderId="86" fillId="0" fontId="4" numFmtId="0" xfId="0" applyAlignment="1" applyBorder="1" applyFont="1">
      <alignment horizontal="right" readingOrder="0"/>
    </xf>
    <xf borderId="107" fillId="0" fontId="2" numFmtId="0" xfId="0" applyBorder="1" applyFont="1"/>
    <xf borderId="107" fillId="8" fontId="4" numFmtId="0" xfId="0" applyBorder="1" applyFont="1"/>
    <xf borderId="107" fillId="0" fontId="4" numFmtId="0" xfId="0" applyBorder="1" applyFont="1"/>
    <xf borderId="88" fillId="0" fontId="4" numFmtId="0" xfId="0" applyBorder="1" applyFont="1"/>
    <xf borderId="125" fillId="0" fontId="4" numFmtId="0" xfId="0" applyBorder="1" applyFont="1"/>
    <xf borderId="0" fillId="0" fontId="4" numFmtId="176" xfId="0" applyFont="1" applyNumberFormat="1"/>
    <xf borderId="86" fillId="0" fontId="4" numFmtId="0" xfId="0" applyAlignment="1" applyBorder="1" applyFont="1">
      <alignment readingOrder="0"/>
    </xf>
    <xf borderId="107" fillId="16" fontId="4" numFmtId="0" xfId="0" applyBorder="1" applyFill="1" applyFont="1"/>
    <xf borderId="0" fillId="7" fontId="13" numFmtId="0" xfId="0" applyAlignment="1" applyFont="1">
      <alignment horizontal="left" readingOrder="0"/>
    </xf>
    <xf borderId="19" fillId="0" fontId="11" numFmtId="0" xfId="0" applyAlignment="1" applyBorder="1" applyFont="1">
      <alignment horizontal="center"/>
    </xf>
    <xf borderId="52" fillId="0" fontId="11" numFmtId="0" xfId="0" applyAlignment="1" applyBorder="1" applyFont="1">
      <alignment horizontal="center"/>
    </xf>
    <xf borderId="52" fillId="0" fontId="11" numFmtId="0" xfId="0" applyAlignment="1" applyBorder="1" applyFont="1">
      <alignment horizontal="center" readingOrder="0"/>
    </xf>
    <xf borderId="0" fillId="0" fontId="6" numFmtId="0" xfId="0" applyAlignment="1" applyFont="1">
      <alignment shrinkToFit="0" vertical="bottom" wrapText="0"/>
    </xf>
    <xf borderId="29" fillId="0" fontId="6" numFmtId="0" xfId="0" applyAlignment="1" applyBorder="1" applyFont="1">
      <alignment horizontal="center" vertical="bottom"/>
    </xf>
    <xf borderId="88" fillId="7" fontId="6" numFmtId="0" xfId="0" applyAlignment="1" applyBorder="1" applyFont="1">
      <alignment horizontal="center" vertical="bottom"/>
    </xf>
    <xf borderId="88" fillId="0" fontId="6" numFmtId="0" xfId="0" applyAlignment="1" applyBorder="1" applyFont="1">
      <alignment readingOrder="0" vertical="bottom"/>
    </xf>
    <xf borderId="0" fillId="7" fontId="26" numFmtId="0" xfId="0" applyFont="1"/>
    <xf borderId="0" fillId="7" fontId="27" numFmtId="0" xfId="0" applyAlignment="1" applyFont="1">
      <alignment readingOrder="0"/>
    </xf>
    <xf borderId="88" fillId="0" fontId="6" numFmtId="0" xfId="0" applyAlignment="1" applyBorder="1" applyFont="1">
      <alignment vertical="bottom"/>
    </xf>
    <xf borderId="0" fillId="0" fontId="6" numFmtId="0" xfId="0" applyAlignment="1" applyFont="1">
      <alignment vertical="bottom"/>
    </xf>
    <xf borderId="0" fillId="0" fontId="28" numFmtId="0" xfId="0" applyAlignment="1" applyFont="1">
      <alignment horizontal="center"/>
    </xf>
    <xf borderId="0" fillId="0" fontId="11" numFmtId="0" xfId="0" applyAlignment="1" applyFont="1">
      <alignment horizontal="center" vertical="bottom"/>
    </xf>
    <xf borderId="0" fillId="0" fontId="28" numFmtId="0" xfId="0" applyAlignment="1" applyFont="1">
      <alignment horizontal="center" readingOrder="0"/>
    </xf>
    <xf borderId="0" fillId="0" fontId="28" numFmtId="0" xfId="0" applyAlignment="1" applyFont="1">
      <alignment horizontal="center" vertical="bottom"/>
    </xf>
    <xf borderId="19" fillId="0" fontId="6" numFmtId="0" xfId="0" applyAlignment="1" applyBorder="1" applyFont="1">
      <alignment horizontal="center"/>
    </xf>
    <xf borderId="52" fillId="0" fontId="6" numFmtId="0" xfId="0" applyAlignment="1" applyBorder="1" applyFont="1">
      <alignment horizontal="center" readingOrder="0" vertical="bottom"/>
    </xf>
    <xf borderId="0" fillId="7" fontId="29" numFmtId="0" xfId="0" applyAlignment="1" applyFont="1">
      <alignment horizontal="center" readingOrder="0"/>
    </xf>
    <xf borderId="0" fillId="0" fontId="6" numFmtId="0" xfId="0" applyAlignment="1" applyFont="1">
      <alignment readingOrder="0" vertical="bottom"/>
    </xf>
    <xf borderId="29" fillId="0" fontId="6" numFmtId="0" xfId="0" applyAlignment="1" applyBorder="1" applyFont="1">
      <alignment horizontal="center" readingOrder="0"/>
    </xf>
    <xf borderId="88" fillId="0" fontId="6" numFmtId="165" xfId="0" applyAlignment="1" applyBorder="1" applyFont="1" applyNumberFormat="1">
      <alignment horizontal="center" readingOrder="0" vertical="bottom"/>
    </xf>
    <xf borderId="0" fillId="0" fontId="30" numFmtId="0" xfId="0" applyAlignment="1" applyFont="1">
      <alignment readingOrder="0"/>
    </xf>
    <xf borderId="0" fillId="0" fontId="6" numFmtId="0" xfId="0" applyAlignment="1" applyFont="1">
      <alignment readingOrder="0" shrinkToFit="0" vertical="bottom" wrapText="0"/>
    </xf>
    <xf borderId="29" fillId="0" fontId="6" numFmtId="0" xfId="0" applyAlignment="1" applyBorder="1" applyFont="1">
      <alignment horizontal="center"/>
    </xf>
    <xf borderId="88" fillId="0" fontId="6" numFmtId="0" xfId="0" applyAlignment="1" applyBorder="1" applyFont="1">
      <alignment horizontal="center" readingOrder="0" vertical="bottom"/>
    </xf>
    <xf borderId="88" fillId="0" fontId="6" numFmtId="0" xfId="0" applyAlignment="1" applyBorder="1" applyFont="1">
      <alignment horizontal="center" vertical="bottom"/>
    </xf>
    <xf borderId="0" fillId="0" fontId="6" numFmtId="0" xfId="0" applyAlignment="1" applyFont="1">
      <alignment horizontal="left" readingOrder="0" shrinkToFit="0" vertical="bottom" wrapText="0"/>
    </xf>
    <xf borderId="0" fillId="0" fontId="6" numFmtId="0" xfId="0" applyAlignment="1" applyFont="1">
      <alignment horizontal="center" readingOrder="0" shrinkToFit="0" vertical="bottom" wrapText="0"/>
    </xf>
    <xf borderId="88" fillId="0" fontId="6" numFmtId="165" xfId="0" applyAlignment="1" applyBorder="1" applyFont="1" applyNumberFormat="1">
      <alignment horizontal="center" vertical="bottom"/>
    </xf>
    <xf borderId="59" fillId="0" fontId="6" numFmtId="0" xfId="0" applyAlignment="1" applyBorder="1" applyFont="1">
      <alignment horizontal="center"/>
    </xf>
    <xf borderId="124" fillId="0" fontId="6" numFmtId="0" xfId="0" applyAlignment="1" applyBorder="1" applyFont="1">
      <alignment horizontal="center"/>
    </xf>
    <xf borderId="0" fillId="0" fontId="6" numFmtId="0" xfId="0" applyAlignment="1" applyFont="1">
      <alignment horizontal="center" vertical="bottom"/>
    </xf>
    <xf borderId="86" fillId="0" fontId="11" numFmtId="0" xfId="0" applyAlignment="1" applyBorder="1" applyFont="1">
      <alignment horizontal="center"/>
    </xf>
    <xf borderId="29" fillId="17" fontId="11" numFmtId="0" xfId="0" applyAlignment="1" applyBorder="1" applyFill="1" applyFont="1">
      <alignment horizontal="center"/>
    </xf>
    <xf borderId="88" fillId="3" fontId="6" numFmtId="0" xfId="0" applyAlignment="1" applyBorder="1" applyFont="1">
      <alignment horizontal="center" readingOrder="0"/>
    </xf>
    <xf borderId="88" fillId="3" fontId="6" numFmtId="0" xfId="0" applyAlignment="1" applyBorder="1" applyFont="1">
      <alignment horizontal="center"/>
    </xf>
    <xf borderId="0" fillId="0" fontId="4" numFmtId="165" xfId="0" applyFont="1" applyNumberFormat="1"/>
    <xf borderId="0" fillId="0" fontId="8" numFmtId="0" xfId="0" applyAlignment="1" applyFont="1">
      <alignment readingOrder="0"/>
    </xf>
    <xf borderId="0" fillId="0" fontId="31" numFmtId="0" xfId="0" applyFont="1"/>
    <xf borderId="0" fillId="0" fontId="8" numFmtId="171" xfId="0" applyFont="1" applyNumberFormat="1"/>
    <xf borderId="19" fillId="0" fontId="8" numFmtId="0" xfId="0" applyBorder="1" applyFont="1"/>
    <xf borderId="32" fillId="0" fontId="8" numFmtId="0" xfId="0" applyAlignment="1" applyBorder="1" applyFont="1">
      <alignment horizontal="center"/>
    </xf>
    <xf borderId="58" fillId="0" fontId="8" numFmtId="0" xfId="0" applyAlignment="1" applyBorder="1" applyFont="1">
      <alignment shrinkToFit="0" vertical="center" wrapText="1"/>
    </xf>
    <xf borderId="19" fillId="0" fontId="8" numFmtId="0" xfId="0" applyAlignment="1" applyBorder="1" applyFont="1">
      <alignment shrinkToFit="0" wrapText="1"/>
    </xf>
    <xf borderId="19" fillId="0" fontId="8" numFmtId="177" xfId="0" applyBorder="1" applyFont="1" applyNumberFormat="1"/>
    <xf borderId="19" fillId="0" fontId="8" numFmtId="174" xfId="0" applyBorder="1" applyFont="1" applyNumberFormat="1"/>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avings method-style">
      <tableStyleElement dxfId="2" type="headerRow"/>
      <tableStyleElement dxfId="3" type="firstRowStripe"/>
      <tableStyleElement dxfId="4"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6.xml.rels><?xml version="1.0" encoding="UTF-8" standalone="yes"?><Relationships xmlns="http://schemas.openxmlformats.org/package/2006/relationships"><Relationship Id="rId1" Type="http://customschemas.google.com/relationships/workbookmetadata" Target="commentsmeta2"/></Relationships>
</file>

<file path=xl/_rels/comments8.xml.rels><?xml version="1.0" encoding="UTF-8" standalone="yes"?><Relationships xmlns="http://schemas.openxmlformats.org/package/2006/relationships"><Relationship Id="rId1" Type="http://customschemas.google.com/relationships/workbookmetadata" Target="commentsmeta3"/></Relationships>
</file>

<file path=xl/_rels/comments9.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Roma Tomatos</a:t>
            </a:r>
          </a:p>
        </c:rich>
      </c:tx>
      <c:overlay val="0"/>
    </c:title>
    <c:plotArea>
      <c:layout/>
      <c:lineChart>
        <c:varyColors val="0"/>
        <c:ser>
          <c:idx val="0"/>
          <c:order val="0"/>
          <c:spPr>
            <a:ln cmpd="sng">
              <a:solidFill>
                <a:srgbClr val="4472C4"/>
              </a:solidFill>
            </a:ln>
          </c:spPr>
          <c:marker>
            <c:symbol val="none"/>
          </c:marker>
          <c:cat>
            <c:strRef>
              <c:f>'Perishability REAL'!$B$17:$B$31</c:f>
            </c:strRef>
          </c:cat>
          <c:val>
            <c:numRef>
              <c:f>'Perishability REAL'!$D$17:$D$31</c:f>
              <c:numCache/>
            </c:numRef>
          </c:val>
          <c:smooth val="0"/>
        </c:ser>
        <c:axId val="338990119"/>
        <c:axId val="1521646968"/>
      </c:lineChart>
      <c:catAx>
        <c:axId val="338990119"/>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Days after Harvest</a:t>
                </a:r>
              </a:p>
            </c:rich>
          </c:tx>
          <c:overlay val="0"/>
        </c:title>
        <c:numFmt formatCode="General" sourceLinked="1"/>
        <c:majorTickMark val="none"/>
        <c:minorTickMark val="none"/>
        <c:spPr/>
        <c:txPr>
          <a:bodyPr/>
          <a:lstStyle/>
          <a:p>
            <a:pPr lvl="0">
              <a:defRPr b="0" i="0">
                <a:solidFill>
                  <a:srgbClr val="000000"/>
                </a:solidFill>
                <a:latin typeface="+mn-lt"/>
              </a:defRPr>
            </a:pPr>
          </a:p>
        </c:txPr>
        <c:crossAx val="1521646968"/>
      </c:catAx>
      <c:valAx>
        <c:axId val="15216469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Fraction Remaining Shielf Life_t</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338990119"/>
      </c:valAx>
    </c:plotArea>
    <c:legend>
      <c:legendPos val="r"/>
      <c:overlay val="0"/>
      <c:txPr>
        <a:bodyPr/>
        <a:lstStyle/>
        <a:p>
          <a:pPr lvl="0">
            <a:defRPr b="0"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Banana</a:t>
            </a:r>
          </a:p>
        </c:rich>
      </c:tx>
      <c:overlay val="0"/>
    </c:title>
    <c:plotArea>
      <c:layout/>
      <c:lineChart>
        <c:varyColors val="0"/>
        <c:ser>
          <c:idx val="0"/>
          <c:order val="0"/>
          <c:spPr>
            <a:ln cmpd="sng">
              <a:solidFill>
                <a:srgbClr val="4472C4"/>
              </a:solidFill>
            </a:ln>
          </c:spPr>
          <c:marker>
            <c:symbol val="none"/>
          </c:marker>
          <c:cat>
            <c:strRef>
              <c:f>'Perishability REAL'!$B$37:$B$58</c:f>
            </c:strRef>
          </c:cat>
          <c:val>
            <c:numRef>
              <c:f>'Perishability REAL'!$D$37:$D$58</c:f>
              <c:numCache/>
            </c:numRef>
          </c:val>
          <c:smooth val="0"/>
        </c:ser>
        <c:axId val="323945103"/>
        <c:axId val="1957333826"/>
      </c:lineChart>
      <c:catAx>
        <c:axId val="323945103"/>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Days after Harvest</a:t>
                </a:r>
              </a:p>
            </c:rich>
          </c:tx>
          <c:overlay val="0"/>
        </c:title>
        <c:numFmt formatCode="General" sourceLinked="1"/>
        <c:majorTickMark val="none"/>
        <c:minorTickMark val="none"/>
        <c:spPr/>
        <c:txPr>
          <a:bodyPr/>
          <a:lstStyle/>
          <a:p>
            <a:pPr lvl="0">
              <a:defRPr b="0" i="0">
                <a:solidFill>
                  <a:srgbClr val="000000"/>
                </a:solidFill>
                <a:latin typeface="+mn-lt"/>
              </a:defRPr>
            </a:pPr>
          </a:p>
        </c:txPr>
        <c:crossAx val="1957333826"/>
      </c:catAx>
      <c:valAx>
        <c:axId val="19573338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Fraction Remaining Shielf Life_t</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323945103"/>
      </c:valAx>
    </c:plotArea>
    <c:legend>
      <c:legendPos val="r"/>
      <c:overlay val="0"/>
      <c:txPr>
        <a:bodyPr/>
        <a:lstStyle/>
        <a:p>
          <a:pPr lvl="0">
            <a:defRPr b="0" i="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Cauliflower</a:t>
            </a:r>
          </a:p>
        </c:rich>
      </c:tx>
      <c:overlay val="0"/>
    </c:title>
    <c:plotArea>
      <c:layout/>
      <c:lineChart>
        <c:varyColors val="0"/>
        <c:ser>
          <c:idx val="0"/>
          <c:order val="0"/>
          <c:spPr>
            <a:ln cmpd="sng">
              <a:solidFill>
                <a:srgbClr val="4472C4"/>
              </a:solidFill>
            </a:ln>
          </c:spPr>
          <c:marker>
            <c:symbol val="none"/>
          </c:marker>
          <c:cat>
            <c:strRef>
              <c:f>'Perishability REAL'!$B$64:$B$76</c:f>
            </c:strRef>
          </c:cat>
          <c:val>
            <c:numRef>
              <c:f>'Perishability REAL'!$D$64:$D$76</c:f>
              <c:numCache/>
            </c:numRef>
          </c:val>
          <c:smooth val="0"/>
        </c:ser>
        <c:axId val="496986662"/>
        <c:axId val="1296452478"/>
      </c:lineChart>
      <c:catAx>
        <c:axId val="496986662"/>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Days after Harvest</a:t>
                </a:r>
              </a:p>
            </c:rich>
          </c:tx>
          <c:overlay val="0"/>
        </c:title>
        <c:numFmt formatCode="General" sourceLinked="1"/>
        <c:majorTickMark val="none"/>
        <c:minorTickMark val="none"/>
        <c:spPr/>
        <c:txPr>
          <a:bodyPr/>
          <a:lstStyle/>
          <a:p>
            <a:pPr lvl="0">
              <a:defRPr b="0" i="0">
                <a:solidFill>
                  <a:srgbClr val="000000"/>
                </a:solidFill>
                <a:latin typeface="+mn-lt"/>
              </a:defRPr>
            </a:pPr>
          </a:p>
        </c:txPr>
        <c:crossAx val="1296452478"/>
      </c:catAx>
      <c:valAx>
        <c:axId val="12964524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Fraction Remaining Shielf Life_t</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496986662"/>
      </c:valAx>
    </c:plotArea>
    <c:legend>
      <c:legendPos val="r"/>
      <c:overlay val="0"/>
      <c:txPr>
        <a:bodyPr/>
        <a:lstStyle/>
        <a:p>
          <a:pPr lvl="0">
            <a:defRPr b="0" i="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Avocado</a:t>
            </a:r>
          </a:p>
        </c:rich>
      </c:tx>
      <c:overlay val="0"/>
    </c:title>
    <c:plotArea>
      <c:layout/>
      <c:lineChart>
        <c:varyColors val="0"/>
        <c:ser>
          <c:idx val="0"/>
          <c:order val="0"/>
          <c:spPr>
            <a:ln cmpd="sng">
              <a:solidFill>
                <a:srgbClr val="4472C4"/>
              </a:solidFill>
            </a:ln>
          </c:spPr>
          <c:marker>
            <c:symbol val="none"/>
          </c:marker>
          <c:cat>
            <c:strRef>
              <c:f>'Perishability REAL'!$B$82:$B$97</c:f>
            </c:strRef>
          </c:cat>
          <c:val>
            <c:numRef>
              <c:f>'Perishability REAL'!$D$82:$D$97</c:f>
              <c:numCache/>
            </c:numRef>
          </c:val>
          <c:smooth val="0"/>
        </c:ser>
        <c:axId val="2009865876"/>
        <c:axId val="519136882"/>
      </c:lineChart>
      <c:catAx>
        <c:axId val="2009865876"/>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Days after Harvest</a:t>
                </a:r>
              </a:p>
            </c:rich>
          </c:tx>
          <c:overlay val="0"/>
        </c:title>
        <c:numFmt formatCode="General" sourceLinked="1"/>
        <c:majorTickMark val="none"/>
        <c:minorTickMark val="none"/>
        <c:spPr/>
        <c:txPr>
          <a:bodyPr/>
          <a:lstStyle/>
          <a:p>
            <a:pPr lvl="0">
              <a:defRPr b="0" i="0">
                <a:solidFill>
                  <a:srgbClr val="000000"/>
                </a:solidFill>
                <a:latin typeface="+mn-lt"/>
              </a:defRPr>
            </a:pPr>
          </a:p>
        </c:txPr>
        <c:crossAx val="519136882"/>
      </c:catAx>
      <c:valAx>
        <c:axId val="5191368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Fraction Remaining Shielf Life_t</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2009865876"/>
      </c:valAx>
    </c:plotArea>
    <c:legend>
      <c:legendPos val="r"/>
      <c:overlay val="0"/>
      <c:txPr>
        <a:bodyPr/>
        <a:lstStyle/>
        <a:p>
          <a:pPr lvl="0">
            <a:defRPr b="0" i="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Pineapple</a:t>
            </a:r>
          </a:p>
        </c:rich>
      </c:tx>
      <c:overlay val="0"/>
    </c:title>
    <c:plotArea>
      <c:layout/>
      <c:lineChart>
        <c:varyColors val="0"/>
        <c:ser>
          <c:idx val="0"/>
          <c:order val="0"/>
          <c:spPr>
            <a:ln cmpd="sng">
              <a:solidFill>
                <a:srgbClr val="4472C4"/>
              </a:solidFill>
            </a:ln>
          </c:spPr>
          <c:marker>
            <c:symbol val="none"/>
          </c:marker>
          <c:cat>
            <c:strRef>
              <c:f>'Perishability REAL'!$B$103:$B$122</c:f>
            </c:strRef>
          </c:cat>
          <c:val>
            <c:numRef>
              <c:f>'Perishability REAL'!$D$103:$D$122</c:f>
              <c:numCache/>
            </c:numRef>
          </c:val>
          <c:smooth val="0"/>
        </c:ser>
        <c:axId val="1497665849"/>
        <c:axId val="119667217"/>
      </c:lineChart>
      <c:catAx>
        <c:axId val="1497665849"/>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Days after Harvest</a:t>
                </a:r>
              </a:p>
            </c:rich>
          </c:tx>
          <c:overlay val="0"/>
        </c:title>
        <c:numFmt formatCode="General" sourceLinked="1"/>
        <c:majorTickMark val="none"/>
        <c:minorTickMark val="none"/>
        <c:spPr/>
        <c:txPr>
          <a:bodyPr/>
          <a:lstStyle/>
          <a:p>
            <a:pPr lvl="0">
              <a:defRPr b="0" i="0">
                <a:solidFill>
                  <a:srgbClr val="000000"/>
                </a:solidFill>
                <a:latin typeface="+mn-lt"/>
              </a:defRPr>
            </a:pPr>
          </a:p>
        </c:txPr>
        <c:crossAx val="119667217"/>
      </c:catAx>
      <c:valAx>
        <c:axId val="1196672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Fraction Remaining Shielf Life_t</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497665849"/>
      </c:valAx>
    </c:plotArea>
    <c:legend>
      <c:legendPos val="r"/>
      <c:overlay val="0"/>
      <c:txPr>
        <a:bodyPr/>
        <a:lstStyle/>
        <a:p>
          <a:pPr lvl="0">
            <a:defRPr b="0" i="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Brocolli</a:t>
            </a:r>
          </a:p>
        </c:rich>
      </c:tx>
      <c:overlay val="0"/>
    </c:title>
    <c:plotArea>
      <c:layout/>
      <c:lineChart>
        <c:varyColors val="0"/>
        <c:ser>
          <c:idx val="0"/>
          <c:order val="0"/>
          <c:spPr>
            <a:ln cmpd="sng">
              <a:solidFill>
                <a:srgbClr val="4472C4"/>
              </a:solidFill>
            </a:ln>
          </c:spPr>
          <c:marker>
            <c:symbol val="none"/>
          </c:marker>
          <c:cat>
            <c:strRef>
              <c:f>'Perishability REAL'!$B$128:$B$140</c:f>
            </c:strRef>
          </c:cat>
          <c:val>
            <c:numRef>
              <c:f>'Perishability REAL'!$D$128:$D$140</c:f>
              <c:numCache/>
            </c:numRef>
          </c:val>
          <c:smooth val="0"/>
        </c:ser>
        <c:axId val="42636055"/>
        <c:axId val="1548412084"/>
      </c:lineChart>
      <c:catAx>
        <c:axId val="42636055"/>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Days after Harvest</a:t>
                </a:r>
              </a:p>
            </c:rich>
          </c:tx>
          <c:overlay val="0"/>
        </c:title>
        <c:numFmt formatCode="General" sourceLinked="1"/>
        <c:majorTickMark val="none"/>
        <c:minorTickMark val="none"/>
        <c:spPr/>
        <c:txPr>
          <a:bodyPr/>
          <a:lstStyle/>
          <a:p>
            <a:pPr lvl="0">
              <a:defRPr b="0" i="0">
                <a:solidFill>
                  <a:srgbClr val="000000"/>
                </a:solidFill>
                <a:latin typeface="+mn-lt"/>
              </a:defRPr>
            </a:pPr>
          </a:p>
        </c:txPr>
        <c:crossAx val="1548412084"/>
      </c:catAx>
      <c:valAx>
        <c:axId val="15484120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Fraction Remaining Shielf Life_t</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42636055"/>
      </c:valAx>
    </c:plotArea>
    <c:legend>
      <c:legendPos val="r"/>
      <c:overlay val="0"/>
      <c:txPr>
        <a:bodyPr/>
        <a:lstStyle/>
        <a:p>
          <a:pPr lvl="0">
            <a:defRPr b="0" i="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Asparagus</a:t>
            </a:r>
          </a:p>
        </c:rich>
      </c:tx>
      <c:overlay val="0"/>
    </c:title>
    <c:plotArea>
      <c:layout/>
      <c:lineChart>
        <c:varyColors val="0"/>
        <c:ser>
          <c:idx val="0"/>
          <c:order val="0"/>
          <c:spPr>
            <a:ln cmpd="sng">
              <a:solidFill>
                <a:srgbClr val="4472C4"/>
              </a:solidFill>
            </a:ln>
          </c:spPr>
          <c:marker>
            <c:symbol val="none"/>
          </c:marker>
          <c:cat>
            <c:strRef>
              <c:f>'Perishability REAL'!$B$146:$B$161</c:f>
            </c:strRef>
          </c:cat>
          <c:val>
            <c:numRef>
              <c:f>'Perishability REAL'!$D$146:$D$161</c:f>
              <c:numCache/>
            </c:numRef>
          </c:val>
          <c:smooth val="0"/>
        </c:ser>
        <c:axId val="1497064002"/>
        <c:axId val="95371514"/>
      </c:lineChart>
      <c:catAx>
        <c:axId val="1497064002"/>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Days after Harvest</a:t>
                </a:r>
              </a:p>
            </c:rich>
          </c:tx>
          <c:overlay val="0"/>
        </c:title>
        <c:numFmt formatCode="General" sourceLinked="1"/>
        <c:majorTickMark val="none"/>
        <c:minorTickMark val="none"/>
        <c:spPr/>
        <c:txPr>
          <a:bodyPr/>
          <a:lstStyle/>
          <a:p>
            <a:pPr lvl="0">
              <a:defRPr b="0" i="0">
                <a:solidFill>
                  <a:srgbClr val="000000"/>
                </a:solidFill>
                <a:latin typeface="+mn-lt"/>
              </a:defRPr>
            </a:pPr>
          </a:p>
        </c:txPr>
        <c:crossAx val="95371514"/>
      </c:catAx>
      <c:valAx>
        <c:axId val="953715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Fraction Remaining Shielf Life_t</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497064002"/>
      </c:valAx>
    </c:plotArea>
    <c:legend>
      <c:legendPos val="r"/>
      <c:overlay val="0"/>
      <c:txPr>
        <a:bodyPr/>
        <a:lstStyle/>
        <a:p>
          <a:pPr lvl="0">
            <a:defRPr b="0" i="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Green Bell Pepper</a:t>
            </a:r>
          </a:p>
        </c:rich>
      </c:tx>
      <c:overlay val="0"/>
    </c:title>
    <c:plotArea>
      <c:layout/>
      <c:lineChart>
        <c:varyColors val="0"/>
        <c:ser>
          <c:idx val="0"/>
          <c:order val="0"/>
          <c:spPr>
            <a:ln cmpd="sng">
              <a:solidFill>
                <a:srgbClr val="4472C4"/>
              </a:solidFill>
            </a:ln>
          </c:spPr>
          <c:marker>
            <c:symbol val="none"/>
          </c:marker>
          <c:cat>
            <c:strRef>
              <c:f>'Perishability REAL'!$B$167:$B$183</c:f>
            </c:strRef>
          </c:cat>
          <c:val>
            <c:numRef>
              <c:f>'Perishability REAL'!$D$167:$D$183</c:f>
              <c:numCache/>
            </c:numRef>
          </c:val>
          <c:smooth val="0"/>
        </c:ser>
        <c:axId val="1870882706"/>
        <c:axId val="311901157"/>
      </c:lineChart>
      <c:catAx>
        <c:axId val="1870882706"/>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Days after Harvest</a:t>
                </a:r>
              </a:p>
            </c:rich>
          </c:tx>
          <c:overlay val="0"/>
        </c:title>
        <c:numFmt formatCode="General" sourceLinked="1"/>
        <c:majorTickMark val="none"/>
        <c:minorTickMark val="none"/>
        <c:spPr/>
        <c:txPr>
          <a:bodyPr/>
          <a:lstStyle/>
          <a:p>
            <a:pPr lvl="0">
              <a:defRPr b="0" i="0">
                <a:solidFill>
                  <a:srgbClr val="000000"/>
                </a:solidFill>
                <a:latin typeface="+mn-lt"/>
              </a:defRPr>
            </a:pPr>
          </a:p>
        </c:txPr>
        <c:crossAx val="311901157"/>
      </c:catAx>
      <c:valAx>
        <c:axId val="3119011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Fraction Remaining Shielf Life_t</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870882706"/>
      </c:valAx>
    </c:plotArea>
    <c:legend>
      <c:legendPos val="r"/>
      <c:overlay val="0"/>
      <c:txPr>
        <a:bodyPr/>
        <a:lstStyle/>
        <a:p>
          <a:pPr lvl="0">
            <a:defRPr b="0" i="0">
              <a:solidFill>
                <a:srgbClr val="1A1A1A"/>
              </a:solidFill>
              <a:latin typeface="+mn-lt"/>
            </a:defRPr>
          </a:pPr>
        </a:p>
      </c:txPr>
    </c:legend>
    <c:plotVisOnly val="1"/>
  </c:chart>
</c:chartSpace>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image" Target="../media/image4.png"/><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600075</xdr:colOff>
      <xdr:row>23</xdr:row>
      <xdr:rowOff>66675</xdr:rowOff>
    </xdr:from>
    <xdr:ext cx="4533900" cy="10477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924925" cy="1238250"/>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647700</xdr:colOff>
      <xdr:row>50</xdr:row>
      <xdr:rowOff>190500</xdr:rowOff>
    </xdr:from>
    <xdr:ext cx="9410700" cy="4686300"/>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952500</xdr:colOff>
      <xdr:row>13</xdr:row>
      <xdr:rowOff>190500</xdr:rowOff>
    </xdr:from>
    <xdr:ext cx="5715000" cy="3533775"/>
    <xdr:graphicFrame>
      <xdr:nvGraphicFramePr>
        <xdr:cNvPr id="1641381567"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952500</xdr:colOff>
      <xdr:row>34</xdr:row>
      <xdr:rowOff>171450</xdr:rowOff>
    </xdr:from>
    <xdr:ext cx="5715000" cy="3533775"/>
    <xdr:graphicFrame>
      <xdr:nvGraphicFramePr>
        <xdr:cNvPr id="89387569"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952500</xdr:colOff>
      <xdr:row>61</xdr:row>
      <xdr:rowOff>190500</xdr:rowOff>
    </xdr:from>
    <xdr:ext cx="5715000" cy="3533775"/>
    <xdr:graphicFrame>
      <xdr:nvGraphicFramePr>
        <xdr:cNvPr id="832237917" name="Chart 3"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876300</xdr:colOff>
      <xdr:row>79</xdr:row>
      <xdr:rowOff>161925</xdr:rowOff>
    </xdr:from>
    <xdr:ext cx="5715000" cy="3533775"/>
    <xdr:graphicFrame>
      <xdr:nvGraphicFramePr>
        <xdr:cNvPr id="523218680" name="Chart 4"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876300</xdr:colOff>
      <xdr:row>100</xdr:row>
      <xdr:rowOff>171450</xdr:rowOff>
    </xdr:from>
    <xdr:ext cx="5715000" cy="3533775"/>
    <xdr:graphicFrame>
      <xdr:nvGraphicFramePr>
        <xdr:cNvPr id="1196936699" name="Chart 5" title="Gráfico"/>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952500</xdr:colOff>
      <xdr:row>125</xdr:row>
      <xdr:rowOff>171450</xdr:rowOff>
    </xdr:from>
    <xdr:ext cx="5715000" cy="3533775"/>
    <xdr:graphicFrame>
      <xdr:nvGraphicFramePr>
        <xdr:cNvPr id="700827484" name="Chart 6" title="Gráfico"/>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952500</xdr:colOff>
      <xdr:row>144</xdr:row>
      <xdr:rowOff>9525</xdr:rowOff>
    </xdr:from>
    <xdr:ext cx="5715000" cy="3533775"/>
    <xdr:graphicFrame>
      <xdr:nvGraphicFramePr>
        <xdr:cNvPr id="200602189" name="Chart 7" title="Gráfico"/>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952500</xdr:colOff>
      <xdr:row>165</xdr:row>
      <xdr:rowOff>9525</xdr:rowOff>
    </xdr:from>
    <xdr:ext cx="5715000" cy="3533775"/>
    <xdr:graphicFrame>
      <xdr:nvGraphicFramePr>
        <xdr:cNvPr id="1925941859" name="Chart 8" title="Gráfico"/>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5</xdr:col>
      <xdr:colOff>876300</xdr:colOff>
      <xdr:row>1</xdr:row>
      <xdr:rowOff>133350</xdr:rowOff>
    </xdr:from>
    <xdr:ext cx="6229350" cy="1666875"/>
    <xdr:pic>
      <xdr:nvPicPr>
        <xdr:cNvPr id="0" name="image4.png" title="Imagen"/>
        <xdr:cNvPicPr preferRelativeResize="0"/>
      </xdr:nvPicPr>
      <xdr:blipFill>
        <a:blip cstate="print" r:embed="rId9"/>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K25:S34" display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avings method-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method.me/pricing-guides/trucking-rates-per-mile/" TargetMode="External"/><Relationship Id="rId3" Type="http://schemas.openxmlformats.org/officeDocument/2006/relationships/drawing" Target="../drawings/drawing5.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6.xml"/><Relationship Id="rId3" Type="http://schemas.openxmlformats.org/officeDocument/2006/relationships/vmlDrawing" Target="../drawings/vmlDrawing6.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20.xml"/><Relationship Id="rId3" Type="http://schemas.openxmlformats.org/officeDocument/2006/relationships/vmlDrawing" Target="../drawings/vmlDrawing7.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alibaba.com/product-detail/2023-Factory-Price-Isuzu-Trucks-10_1600982077972.html?s=p."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cotap.org/carbon-footprint-calculator/?gclid=CjwKCAiA9ourBhAVEiwA3L5RFjF43c08aZYFT5WzZ0fjLkAmodMImYm2DDdK5oQomlUbEP-9-Bd-fhoCNl4QAvD_BwE" TargetMode="External"/><Relationship Id="rId2" Type="http://schemas.openxmlformats.org/officeDocument/2006/relationships/hyperlink" Target="https://cotap.org/methodology/" TargetMode="External"/><Relationship Id="rId3" Type="http://schemas.openxmlformats.org/officeDocument/2006/relationships/hyperlink" Target="https://www.quora.com/What-is-the-fuel-consumption-for-a-40ft-trailer" TargetMode="External"/><Relationship Id="rId4" Type="http://schemas.openxmlformats.org/officeDocument/2006/relationships/hyperlink" Target="https://thrustcarbon.com/insights/how-to-calculate-motorbike-co2-emissions" TargetMode="External"/><Relationship Id="rId5"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alibaba.com/product-detail/2023-hot-selling-best-quality-946_60665590303.html?spm=a2700.galleryofferlist.normal_offer.d_title.6d234489TLXAES" TargetMode="External"/><Relationship Id="rId3" Type="http://schemas.openxmlformats.org/officeDocument/2006/relationships/hyperlink" Target="https://doi.org/10.1007/s11116-020-10127-7" TargetMode="External"/><Relationship Id="rId4" Type="http://schemas.openxmlformats.org/officeDocument/2006/relationships/hyperlink" Target="https://en.wikipedia.org/wiki/Capital_recovery_factor" TargetMode="External"/><Relationship Id="rId5" Type="http://schemas.openxmlformats.org/officeDocument/2006/relationships/drawing" Target="../drawings/drawing27.xml"/><Relationship Id="rId6" Type="http://schemas.openxmlformats.org/officeDocument/2006/relationships/vmlDrawing" Target="../drawings/vmlDrawing8.vml"/></Relationships>
</file>

<file path=xl/worksheets/_rels/sheet28.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mdpi.com/2071-1050/12/7/2837" TargetMode="External"/><Relationship Id="rId3" Type="http://schemas.openxmlformats.org/officeDocument/2006/relationships/drawing" Target="../drawings/drawing28.xml"/><Relationship Id="rId4" Type="http://schemas.openxmlformats.org/officeDocument/2006/relationships/vmlDrawing" Target="../drawings/vmlDrawing9.v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7.0"/>
    <col customWidth="1" min="2" max="6" width="17.43"/>
    <col customWidth="1" min="7" max="9" width="11.43"/>
    <col customWidth="1" min="10" max="23" width="10.71"/>
  </cols>
  <sheetData>
    <row r="1" ht="14.25" customHeight="1">
      <c r="A1" s="1" t="s">
        <v>0</v>
      </c>
      <c r="B1" s="2" t="s">
        <v>1</v>
      </c>
      <c r="C1" s="3" t="s">
        <v>2</v>
      </c>
      <c r="D1" s="3" t="s">
        <v>3</v>
      </c>
      <c r="E1" s="3" t="s">
        <v>4</v>
      </c>
      <c r="F1" s="4" t="s">
        <v>5</v>
      </c>
      <c r="G1" s="5"/>
      <c r="H1" s="5"/>
      <c r="I1" s="5"/>
      <c r="J1" s="5"/>
      <c r="K1" s="5"/>
      <c r="L1" s="5"/>
      <c r="M1" s="5"/>
      <c r="N1" s="5"/>
      <c r="O1" s="5"/>
      <c r="P1" s="5"/>
      <c r="Q1" s="5"/>
      <c r="R1" s="5"/>
      <c r="S1" s="5"/>
      <c r="T1" s="5"/>
      <c r="U1" s="5"/>
      <c r="V1" s="5"/>
      <c r="W1" s="5"/>
    </row>
    <row r="2" ht="14.25" customHeight="1">
      <c r="A2" s="6">
        <f>'Incomes and Costs'!E11 + 'Incomes and Costs'!L12</f>
        <v>45122076203</v>
      </c>
      <c r="B2" s="7">
        <f>'Incomes and Costs'!E23+'Incomes and Costs'!B40</f>
        <v>8126540194</v>
      </c>
      <c r="C2" s="8">
        <f>'Incomes and Costs'!F75</f>
        <v>15611695</v>
      </c>
      <c r="D2" s="8">
        <f>Routing!C24</f>
        <v>27294084312</v>
      </c>
      <c r="E2" s="8">
        <f>'Incomes and Costs'!I73+DCDS!B16+'Incomes and Costs'!C52+'Incomes and Costs'!C64+'Incomes and Costs'!G64+'Incomes and Costs'!C76</f>
        <v>453255382.9</v>
      </c>
      <c r="F2" s="9">
        <f>A2-B2-D2-C2-E2</f>
        <v>9232584619</v>
      </c>
      <c r="G2" s="5"/>
      <c r="H2" s="5"/>
      <c r="I2" s="5"/>
      <c r="J2" s="5"/>
      <c r="K2" s="5"/>
      <c r="L2" s="5"/>
      <c r="M2" s="5"/>
      <c r="N2" s="5"/>
      <c r="O2" s="5"/>
      <c r="P2" s="5"/>
      <c r="Q2" s="5"/>
      <c r="R2" s="5"/>
      <c r="S2" s="5"/>
      <c r="T2" s="5"/>
      <c r="U2" s="5"/>
      <c r="V2" s="5"/>
      <c r="W2" s="5"/>
    </row>
    <row r="3" ht="14.25" customHeight="1">
      <c r="A3" s="10" t="s">
        <v>6</v>
      </c>
      <c r="B3" s="11" t="s">
        <v>7</v>
      </c>
      <c r="C3" s="12"/>
      <c r="D3" s="12"/>
      <c r="E3" s="12"/>
      <c r="F3" s="5"/>
      <c r="G3" s="5"/>
      <c r="H3" s="5"/>
      <c r="I3" s="5"/>
      <c r="J3" s="5"/>
      <c r="K3" s="5"/>
      <c r="L3" s="5"/>
      <c r="M3" s="5"/>
      <c r="N3" s="5"/>
      <c r="O3" s="5"/>
      <c r="P3" s="5"/>
      <c r="Q3" s="5"/>
      <c r="R3" s="5"/>
      <c r="S3" s="5"/>
      <c r="T3" s="5"/>
      <c r="U3" s="5"/>
      <c r="V3" s="5"/>
      <c r="W3" s="5"/>
    </row>
    <row r="4" ht="14.25" customHeight="1">
      <c r="A4" s="13"/>
      <c r="B4" s="13"/>
      <c r="C4" s="12"/>
      <c r="D4" s="12"/>
      <c r="E4" s="12"/>
      <c r="F4" s="5"/>
      <c r="G4" s="5"/>
      <c r="H4" s="5"/>
      <c r="I4" s="5"/>
      <c r="J4" s="5"/>
      <c r="K4" s="5"/>
      <c r="L4" s="5"/>
      <c r="M4" s="5"/>
      <c r="N4" s="5"/>
      <c r="O4" s="5"/>
      <c r="P4" s="5"/>
      <c r="Q4" s="5"/>
      <c r="R4" s="5"/>
      <c r="S4" s="5"/>
      <c r="T4" s="5"/>
      <c r="U4" s="5"/>
      <c r="V4" s="5"/>
      <c r="W4" s="5"/>
    </row>
    <row r="5" ht="14.25" customHeight="1">
      <c r="A5" s="13"/>
      <c r="B5" s="13"/>
      <c r="C5" s="12"/>
      <c r="D5" s="12"/>
      <c r="E5" s="12"/>
      <c r="F5" s="5"/>
      <c r="G5" s="5"/>
      <c r="H5" s="5"/>
      <c r="I5" s="5"/>
      <c r="J5" s="5"/>
      <c r="K5" s="5"/>
      <c r="L5" s="5"/>
      <c r="M5" s="5"/>
      <c r="N5" s="5"/>
      <c r="O5" s="5"/>
      <c r="P5" s="5"/>
      <c r="Q5" s="5"/>
      <c r="R5" s="5"/>
      <c r="S5" s="5"/>
      <c r="T5" s="5"/>
      <c r="U5" s="5"/>
      <c r="V5" s="5"/>
      <c r="W5" s="5"/>
    </row>
    <row r="6" ht="14.25" customHeight="1">
      <c r="A6" s="5"/>
      <c r="B6" s="5"/>
      <c r="C6" s="5"/>
      <c r="D6" s="5"/>
      <c r="E6" s="5"/>
      <c r="F6" s="5"/>
      <c r="G6" s="5"/>
      <c r="H6" s="5"/>
      <c r="I6" s="5"/>
      <c r="J6" s="5"/>
      <c r="K6" s="5"/>
      <c r="L6" s="5"/>
      <c r="M6" s="5"/>
      <c r="N6" s="5"/>
      <c r="O6" s="5"/>
      <c r="P6" s="5"/>
      <c r="Q6" s="5"/>
      <c r="R6" s="5"/>
      <c r="S6" s="5"/>
      <c r="T6" s="5"/>
      <c r="U6" s="5"/>
      <c r="V6" s="5"/>
      <c r="W6" s="5"/>
    </row>
    <row r="7" ht="14.25" customHeight="1">
      <c r="A7" s="5"/>
      <c r="B7" s="5"/>
      <c r="C7" s="5"/>
      <c r="D7" s="5"/>
      <c r="E7" s="5"/>
      <c r="F7" s="5"/>
      <c r="G7" s="5"/>
      <c r="H7" s="5"/>
      <c r="I7" s="5"/>
      <c r="J7" s="5"/>
      <c r="K7" s="5"/>
      <c r="L7" s="5"/>
      <c r="M7" s="5"/>
      <c r="N7" s="5"/>
      <c r="O7" s="5"/>
      <c r="P7" s="5"/>
      <c r="Q7" s="5"/>
      <c r="R7" s="5"/>
      <c r="S7" s="5"/>
      <c r="T7" s="5"/>
      <c r="U7" s="5"/>
      <c r="V7" s="5"/>
      <c r="W7" s="5"/>
    </row>
    <row r="8" ht="14.25" customHeight="1">
      <c r="A8" s="5"/>
      <c r="B8" s="5"/>
      <c r="C8" s="5"/>
      <c r="D8" s="5"/>
      <c r="E8" s="5"/>
      <c r="F8" s="5"/>
      <c r="G8" s="5"/>
      <c r="H8" s="5"/>
      <c r="I8" s="5"/>
      <c r="J8" s="5"/>
      <c r="K8" s="5"/>
      <c r="L8" s="5"/>
      <c r="M8" s="5"/>
      <c r="N8" s="5"/>
      <c r="O8" s="5"/>
      <c r="P8" s="5"/>
      <c r="Q8" s="5"/>
      <c r="R8" s="5"/>
      <c r="S8" s="5"/>
      <c r="T8" s="5"/>
      <c r="U8" s="5"/>
      <c r="V8" s="5"/>
      <c r="W8" s="5"/>
    </row>
    <row r="9" ht="14.25" customHeight="1">
      <c r="A9" s="5"/>
      <c r="B9" s="5"/>
      <c r="C9" s="5"/>
      <c r="D9" s="5"/>
      <c r="E9" s="5"/>
      <c r="F9" s="5"/>
      <c r="G9" s="5"/>
      <c r="H9" s="5"/>
      <c r="I9" s="5"/>
      <c r="J9" s="5"/>
      <c r="K9" s="5"/>
      <c r="L9" s="5"/>
      <c r="M9" s="5"/>
      <c r="N9" s="5"/>
      <c r="O9" s="5"/>
      <c r="P9" s="5"/>
      <c r="Q9" s="5"/>
      <c r="R9" s="5"/>
      <c r="S9" s="5"/>
      <c r="T9" s="5"/>
      <c r="U9" s="5"/>
      <c r="V9" s="5"/>
      <c r="W9" s="5"/>
    </row>
    <row r="10" ht="14.25" customHeight="1">
      <c r="A10" s="5"/>
      <c r="B10" s="5"/>
      <c r="C10" s="5"/>
      <c r="D10" s="5"/>
      <c r="E10" s="5"/>
      <c r="F10" s="5"/>
      <c r="G10" s="5"/>
      <c r="H10" s="5"/>
      <c r="I10" s="5"/>
      <c r="J10" s="5"/>
      <c r="K10" s="5"/>
      <c r="L10" s="5"/>
      <c r="M10" s="5"/>
      <c r="N10" s="5"/>
      <c r="O10" s="5"/>
      <c r="P10" s="5"/>
      <c r="Q10" s="5"/>
      <c r="R10" s="5"/>
      <c r="S10" s="5"/>
      <c r="T10" s="5"/>
      <c r="U10" s="5"/>
      <c r="V10" s="5"/>
      <c r="W10" s="5"/>
    </row>
    <row r="11" ht="14.25" customHeight="1">
      <c r="A11" s="5"/>
      <c r="B11" s="5"/>
      <c r="C11" s="5"/>
      <c r="D11" s="5"/>
      <c r="E11" s="5"/>
      <c r="F11" s="5"/>
      <c r="G11" s="5"/>
      <c r="H11" s="5"/>
      <c r="I11" s="5"/>
      <c r="J11" s="5"/>
      <c r="K11" s="5"/>
      <c r="L11" s="5"/>
      <c r="M11" s="5"/>
      <c r="N11" s="5"/>
      <c r="O11" s="5"/>
      <c r="P11" s="5"/>
      <c r="Q11" s="5"/>
      <c r="R11" s="5"/>
      <c r="S11" s="5"/>
      <c r="T11" s="5"/>
      <c r="U11" s="5"/>
      <c r="V11" s="5"/>
      <c r="W11" s="5"/>
    </row>
    <row r="12" ht="14.25" customHeight="1">
      <c r="A12" s="5"/>
      <c r="B12" s="14"/>
      <c r="C12" s="5"/>
      <c r="D12" s="5"/>
      <c r="E12" s="5"/>
      <c r="F12" s="5"/>
      <c r="G12" s="5"/>
      <c r="H12" s="5"/>
      <c r="I12" s="5"/>
      <c r="J12" s="5"/>
      <c r="K12" s="5"/>
      <c r="L12" s="5"/>
      <c r="M12" s="5"/>
      <c r="N12" s="5"/>
      <c r="O12" s="5"/>
      <c r="P12" s="5"/>
      <c r="Q12" s="5"/>
      <c r="R12" s="5"/>
      <c r="S12" s="5"/>
      <c r="T12" s="5"/>
      <c r="U12" s="5"/>
      <c r="V12" s="5"/>
      <c r="W12" s="5"/>
    </row>
    <row r="13" ht="14.25" customHeight="1">
      <c r="A13" s="5"/>
      <c r="B13" s="5"/>
      <c r="C13" s="5"/>
      <c r="D13" s="5"/>
      <c r="E13" s="5"/>
      <c r="F13" s="5"/>
      <c r="G13" s="5"/>
      <c r="H13" s="5"/>
      <c r="I13" s="5"/>
      <c r="J13" s="5"/>
      <c r="K13" s="5"/>
      <c r="L13" s="5"/>
      <c r="M13" s="5"/>
      <c r="N13" s="5"/>
      <c r="O13" s="5"/>
      <c r="P13" s="5"/>
      <c r="Q13" s="5"/>
      <c r="R13" s="5"/>
      <c r="S13" s="5"/>
      <c r="T13" s="5"/>
      <c r="U13" s="5"/>
      <c r="V13" s="5"/>
      <c r="W13" s="5"/>
    </row>
    <row r="14" ht="14.25" customHeight="1">
      <c r="A14" s="5"/>
      <c r="B14" s="5"/>
      <c r="C14" s="5"/>
      <c r="D14" s="5"/>
      <c r="E14" s="5"/>
      <c r="F14" s="5"/>
      <c r="G14" s="5"/>
      <c r="H14" s="5"/>
      <c r="I14" s="5"/>
      <c r="J14" s="5"/>
      <c r="K14" s="5"/>
      <c r="L14" s="5"/>
      <c r="M14" s="5"/>
      <c r="N14" s="5"/>
      <c r="O14" s="5"/>
      <c r="P14" s="5"/>
      <c r="Q14" s="5"/>
      <c r="R14" s="5"/>
      <c r="S14" s="5"/>
      <c r="T14" s="5"/>
      <c r="U14" s="5"/>
      <c r="V14" s="5"/>
      <c r="W14" s="5"/>
    </row>
    <row r="15" ht="14.25" customHeight="1">
      <c r="A15" s="5"/>
      <c r="B15" s="5"/>
      <c r="C15" s="5"/>
      <c r="D15" s="5"/>
      <c r="E15" s="5"/>
      <c r="F15" s="5"/>
      <c r="G15" s="5"/>
      <c r="H15" s="5"/>
      <c r="I15" s="5"/>
      <c r="J15" s="5"/>
      <c r="K15" s="5"/>
      <c r="L15" s="5"/>
      <c r="M15" s="5"/>
      <c r="N15" s="5"/>
      <c r="O15" s="5"/>
      <c r="P15" s="5"/>
      <c r="Q15" s="5"/>
      <c r="R15" s="5"/>
      <c r="S15" s="5"/>
      <c r="T15" s="5"/>
      <c r="U15" s="5"/>
      <c r="V15" s="5"/>
      <c r="W15" s="5"/>
    </row>
    <row r="16" ht="14.25" customHeight="1">
      <c r="A16" s="5"/>
      <c r="B16" s="5"/>
      <c r="C16" s="15"/>
      <c r="D16" s="5"/>
      <c r="E16" s="5"/>
      <c r="F16" s="5"/>
      <c r="G16" s="5"/>
      <c r="H16" s="5"/>
      <c r="I16" s="5"/>
      <c r="J16" s="5"/>
      <c r="K16" s="5"/>
      <c r="L16" s="5"/>
      <c r="M16" s="5"/>
      <c r="N16" s="5"/>
      <c r="O16" s="5"/>
      <c r="P16" s="5"/>
      <c r="Q16" s="5"/>
      <c r="R16" s="5"/>
      <c r="S16" s="5"/>
      <c r="T16" s="5"/>
      <c r="U16" s="5"/>
      <c r="V16" s="5"/>
      <c r="W16" s="5"/>
    </row>
    <row r="17" ht="14.25" customHeight="1">
      <c r="A17" s="5"/>
      <c r="B17" s="5"/>
      <c r="C17" s="5"/>
      <c r="D17" s="5"/>
      <c r="E17" s="5"/>
      <c r="F17" s="5"/>
      <c r="G17" s="5"/>
      <c r="H17" s="5"/>
      <c r="I17" s="5"/>
      <c r="J17" s="5"/>
      <c r="K17" s="5"/>
      <c r="L17" s="5"/>
      <c r="M17" s="5"/>
      <c r="N17" s="5"/>
      <c r="O17" s="5"/>
      <c r="P17" s="5"/>
      <c r="Q17" s="5"/>
      <c r="R17" s="5"/>
      <c r="S17" s="5"/>
      <c r="T17" s="5"/>
      <c r="U17" s="5"/>
      <c r="V17" s="5"/>
      <c r="W17" s="5"/>
    </row>
    <row r="18" ht="14.25" customHeight="1">
      <c r="A18" s="5"/>
      <c r="B18" s="5"/>
      <c r="C18" s="5"/>
      <c r="D18" s="5"/>
      <c r="E18" s="5"/>
      <c r="F18" s="5"/>
      <c r="G18" s="5"/>
      <c r="H18" s="5"/>
      <c r="I18" s="5"/>
      <c r="J18" s="5"/>
      <c r="K18" s="5"/>
      <c r="L18" s="5"/>
      <c r="M18" s="5"/>
      <c r="N18" s="5"/>
      <c r="O18" s="5"/>
      <c r="P18" s="5"/>
      <c r="Q18" s="5"/>
      <c r="R18" s="5"/>
      <c r="S18" s="5"/>
      <c r="T18" s="5"/>
      <c r="U18" s="5"/>
      <c r="V18" s="5"/>
      <c r="W18" s="5"/>
    </row>
    <row r="19" ht="14.25" customHeight="1">
      <c r="A19" s="5"/>
      <c r="B19" s="5"/>
      <c r="C19" s="5"/>
      <c r="D19" s="5"/>
      <c r="E19" s="5"/>
      <c r="F19" s="5"/>
      <c r="G19" s="5"/>
      <c r="H19" s="5"/>
      <c r="I19" s="5"/>
      <c r="J19" s="5"/>
      <c r="K19" s="5"/>
      <c r="L19" s="5"/>
      <c r="M19" s="5"/>
      <c r="N19" s="5"/>
      <c r="O19" s="5"/>
      <c r="P19" s="5"/>
      <c r="Q19" s="5"/>
      <c r="R19" s="5"/>
      <c r="S19" s="5"/>
      <c r="T19" s="5"/>
      <c r="U19" s="5"/>
      <c r="V19" s="5"/>
      <c r="W19" s="5"/>
    </row>
    <row r="20" ht="14.25" customHeight="1">
      <c r="A20" s="5"/>
      <c r="B20" s="5"/>
      <c r="C20" s="5"/>
      <c r="D20" s="5"/>
      <c r="E20" s="5"/>
      <c r="F20" s="5"/>
      <c r="G20" s="5"/>
      <c r="H20" s="5"/>
      <c r="I20" s="5"/>
      <c r="J20" s="5"/>
      <c r="K20" s="5"/>
      <c r="L20" s="5"/>
      <c r="M20" s="5"/>
      <c r="N20" s="5"/>
      <c r="O20" s="5"/>
      <c r="P20" s="5"/>
      <c r="Q20" s="5"/>
      <c r="R20" s="5"/>
      <c r="S20" s="5"/>
      <c r="T20" s="5"/>
      <c r="U20" s="5"/>
      <c r="V20" s="5"/>
      <c r="W20" s="5"/>
    </row>
    <row r="21" ht="14.25" customHeight="1">
      <c r="A21" s="5"/>
      <c r="B21" s="5"/>
      <c r="C21" s="5"/>
      <c r="D21" s="5"/>
      <c r="E21" s="5"/>
      <c r="F21" s="5"/>
      <c r="G21" s="5"/>
      <c r="H21" s="5"/>
      <c r="I21" s="5"/>
      <c r="J21" s="5"/>
      <c r="K21" s="5"/>
      <c r="L21" s="5"/>
      <c r="M21" s="5"/>
      <c r="N21" s="5"/>
      <c r="O21" s="5"/>
      <c r="P21" s="5"/>
      <c r="Q21" s="5"/>
      <c r="R21" s="5"/>
      <c r="S21" s="5"/>
      <c r="T21" s="5"/>
      <c r="U21" s="5"/>
      <c r="V21" s="5"/>
      <c r="W21" s="5"/>
    </row>
    <row r="22" ht="14.25" customHeight="1">
      <c r="A22" s="5"/>
      <c r="B22" s="5"/>
      <c r="C22" s="5"/>
      <c r="D22" s="5"/>
      <c r="E22" s="5"/>
      <c r="F22" s="5"/>
      <c r="G22" s="5"/>
      <c r="H22" s="5"/>
      <c r="I22" s="5"/>
      <c r="J22" s="5"/>
      <c r="K22" s="5"/>
      <c r="L22" s="5"/>
      <c r="M22" s="5"/>
      <c r="N22" s="5"/>
      <c r="O22" s="5"/>
      <c r="P22" s="5"/>
      <c r="Q22" s="5"/>
      <c r="R22" s="5"/>
      <c r="S22" s="5"/>
      <c r="T22" s="5"/>
      <c r="U22" s="5"/>
      <c r="V22" s="5"/>
      <c r="W22" s="5"/>
    </row>
    <row r="23" ht="14.25" customHeight="1">
      <c r="A23" s="5"/>
      <c r="B23" s="5"/>
      <c r="C23" s="5"/>
      <c r="D23" s="5"/>
      <c r="E23" s="5"/>
      <c r="F23" s="5"/>
      <c r="G23" s="5"/>
      <c r="H23" s="5"/>
      <c r="I23" s="5"/>
      <c r="J23" s="5"/>
      <c r="K23" s="5"/>
      <c r="L23" s="5"/>
      <c r="M23" s="5"/>
      <c r="N23" s="5"/>
      <c r="O23" s="5"/>
      <c r="P23" s="5"/>
      <c r="Q23" s="5"/>
      <c r="R23" s="5"/>
      <c r="S23" s="5"/>
      <c r="T23" s="5"/>
      <c r="U23" s="5"/>
      <c r="V23" s="5"/>
      <c r="W23" s="5"/>
    </row>
    <row r="24" ht="14.25" customHeight="1">
      <c r="A24" s="5"/>
      <c r="B24" s="5"/>
      <c r="C24" s="5"/>
      <c r="D24" s="5"/>
      <c r="E24" s="5"/>
      <c r="F24" s="5"/>
      <c r="G24" s="5"/>
      <c r="H24" s="5"/>
      <c r="I24" s="5"/>
      <c r="J24" s="5"/>
      <c r="K24" s="5"/>
      <c r="L24" s="5"/>
      <c r="M24" s="5"/>
      <c r="N24" s="5"/>
      <c r="O24" s="5"/>
      <c r="P24" s="5"/>
      <c r="Q24" s="5"/>
      <c r="R24" s="5"/>
      <c r="S24" s="5"/>
      <c r="T24" s="5"/>
      <c r="U24" s="5"/>
      <c r="V24" s="5"/>
      <c r="W24" s="5"/>
    </row>
    <row r="25" ht="14.25" customHeight="1">
      <c r="A25" s="5"/>
      <c r="B25" s="5"/>
      <c r="C25" s="5"/>
      <c r="D25" s="5"/>
      <c r="E25" s="5"/>
      <c r="F25" s="5"/>
      <c r="G25" s="5"/>
      <c r="H25" s="5"/>
      <c r="I25" s="5"/>
      <c r="J25" s="5"/>
      <c r="K25" s="5"/>
      <c r="L25" s="5"/>
      <c r="M25" s="5"/>
      <c r="N25" s="5"/>
      <c r="O25" s="5"/>
      <c r="P25" s="5"/>
      <c r="Q25" s="5"/>
      <c r="R25" s="5"/>
      <c r="S25" s="5"/>
      <c r="T25" s="5"/>
      <c r="U25" s="5"/>
      <c r="V25" s="5"/>
      <c r="W25" s="5"/>
    </row>
    <row r="26" ht="14.25" customHeight="1">
      <c r="A26" s="5"/>
      <c r="B26" s="5"/>
      <c r="C26" s="5"/>
      <c r="D26" s="5"/>
      <c r="E26" s="5"/>
      <c r="F26" s="5"/>
      <c r="G26" s="5"/>
      <c r="H26" s="5"/>
      <c r="I26" s="5"/>
      <c r="J26" s="5"/>
      <c r="K26" s="5"/>
      <c r="L26" s="5"/>
      <c r="M26" s="5"/>
      <c r="N26" s="5"/>
      <c r="O26" s="5"/>
      <c r="P26" s="5"/>
      <c r="Q26" s="5"/>
      <c r="R26" s="5"/>
      <c r="S26" s="5"/>
      <c r="T26" s="5"/>
      <c r="U26" s="5"/>
      <c r="V26" s="5"/>
      <c r="W26" s="5"/>
    </row>
    <row r="27" ht="14.25" customHeight="1">
      <c r="A27" s="5"/>
      <c r="B27" s="5"/>
      <c r="C27" s="5"/>
      <c r="D27" s="5"/>
      <c r="E27" s="5"/>
      <c r="F27" s="5"/>
      <c r="G27" s="5"/>
      <c r="H27" s="5"/>
      <c r="I27" s="5"/>
      <c r="J27" s="5"/>
      <c r="K27" s="5"/>
      <c r="L27" s="5"/>
      <c r="M27" s="5"/>
      <c r="N27" s="5"/>
      <c r="O27" s="5"/>
      <c r="P27" s="5"/>
      <c r="Q27" s="5"/>
      <c r="R27" s="5"/>
      <c r="S27" s="5"/>
      <c r="T27" s="5"/>
      <c r="U27" s="5"/>
      <c r="V27" s="5"/>
      <c r="W27" s="5"/>
    </row>
    <row r="28" ht="14.25" customHeight="1">
      <c r="A28" s="5"/>
      <c r="B28" s="5"/>
      <c r="C28" s="5"/>
      <c r="D28" s="5"/>
      <c r="E28" s="5"/>
      <c r="F28" s="5"/>
      <c r="G28" s="5"/>
      <c r="H28" s="5"/>
      <c r="I28" s="5"/>
      <c r="J28" s="5"/>
      <c r="K28" s="5"/>
      <c r="L28" s="5"/>
      <c r="M28" s="5"/>
      <c r="N28" s="5"/>
      <c r="O28" s="5"/>
      <c r="P28" s="5"/>
      <c r="Q28" s="5"/>
      <c r="R28" s="5"/>
      <c r="S28" s="5"/>
      <c r="T28" s="5"/>
      <c r="U28" s="5"/>
      <c r="V28" s="5"/>
      <c r="W28" s="5"/>
    </row>
    <row r="29" ht="14.25" customHeight="1">
      <c r="A29" s="5"/>
      <c r="B29" s="5"/>
      <c r="C29" s="5"/>
      <c r="D29" s="5"/>
      <c r="E29" s="5"/>
      <c r="F29" s="5"/>
      <c r="G29" s="5"/>
      <c r="H29" s="5"/>
      <c r="I29" s="5"/>
      <c r="J29" s="5"/>
      <c r="K29" s="5"/>
      <c r="L29" s="5"/>
      <c r="M29" s="5"/>
      <c r="N29" s="5"/>
      <c r="O29" s="5"/>
      <c r="P29" s="5"/>
      <c r="Q29" s="5"/>
      <c r="R29" s="5"/>
      <c r="S29" s="5"/>
      <c r="T29" s="5"/>
      <c r="U29" s="5"/>
      <c r="V29" s="5"/>
      <c r="W29" s="5"/>
    </row>
    <row r="30" ht="14.25" customHeight="1">
      <c r="A30" s="5"/>
      <c r="B30" s="5"/>
      <c r="C30" s="5"/>
      <c r="D30" s="5"/>
      <c r="E30" s="5"/>
      <c r="F30" s="5"/>
      <c r="G30" s="5"/>
      <c r="H30" s="5"/>
      <c r="I30" s="5"/>
      <c r="J30" s="5"/>
      <c r="K30" s="5"/>
      <c r="L30" s="5"/>
      <c r="M30" s="5"/>
      <c r="N30" s="5"/>
      <c r="O30" s="5"/>
      <c r="P30" s="5"/>
      <c r="Q30" s="5"/>
      <c r="R30" s="5"/>
      <c r="S30" s="5"/>
      <c r="T30" s="5"/>
      <c r="U30" s="5"/>
      <c r="V30" s="5"/>
      <c r="W30" s="5"/>
    </row>
    <row r="31" ht="14.25" customHeight="1">
      <c r="A31" s="5"/>
      <c r="B31" s="5"/>
      <c r="C31" s="5"/>
      <c r="D31" s="5"/>
      <c r="E31" s="5"/>
      <c r="F31" s="5"/>
      <c r="G31" s="5"/>
      <c r="H31" s="5"/>
      <c r="I31" s="5"/>
      <c r="J31" s="5"/>
      <c r="K31" s="5"/>
      <c r="L31" s="5"/>
      <c r="M31" s="5"/>
      <c r="N31" s="5"/>
      <c r="O31" s="5"/>
      <c r="P31" s="5"/>
      <c r="Q31" s="5"/>
      <c r="R31" s="5"/>
      <c r="S31" s="5"/>
      <c r="T31" s="5"/>
      <c r="U31" s="5"/>
      <c r="V31" s="5"/>
      <c r="W31" s="5"/>
    </row>
    <row r="32" ht="14.25" customHeight="1">
      <c r="A32" s="5"/>
      <c r="B32" s="5"/>
      <c r="C32" s="5"/>
      <c r="D32" s="5"/>
      <c r="E32" s="5"/>
      <c r="F32" s="5"/>
      <c r="G32" s="5"/>
      <c r="H32" s="5"/>
      <c r="I32" s="5"/>
      <c r="J32" s="5"/>
      <c r="K32" s="5"/>
      <c r="L32" s="5"/>
      <c r="M32" s="5"/>
      <c r="N32" s="5"/>
      <c r="O32" s="5"/>
      <c r="P32" s="5"/>
      <c r="Q32" s="5"/>
      <c r="R32" s="5"/>
      <c r="S32" s="5"/>
      <c r="T32" s="5"/>
      <c r="U32" s="5"/>
      <c r="V32" s="5"/>
      <c r="W32" s="5"/>
    </row>
    <row r="33" ht="14.25" customHeight="1">
      <c r="A33" s="5"/>
      <c r="B33" s="5"/>
      <c r="C33" s="5"/>
      <c r="D33" s="5"/>
      <c r="E33" s="5"/>
      <c r="F33" s="5"/>
      <c r="G33" s="5"/>
      <c r="H33" s="5"/>
      <c r="I33" s="5"/>
      <c r="J33" s="5"/>
      <c r="K33" s="5"/>
      <c r="L33" s="5"/>
      <c r="M33" s="5"/>
      <c r="N33" s="5"/>
      <c r="O33" s="5"/>
      <c r="P33" s="5"/>
      <c r="Q33" s="5"/>
      <c r="R33" s="5"/>
      <c r="S33" s="5"/>
      <c r="T33" s="5"/>
      <c r="U33" s="5"/>
      <c r="V33" s="5"/>
      <c r="W33" s="5"/>
    </row>
    <row r="34" ht="14.25" customHeight="1">
      <c r="A34" s="5"/>
      <c r="B34" s="5"/>
      <c r="C34" s="5"/>
      <c r="D34" s="5"/>
      <c r="E34" s="5"/>
      <c r="F34" s="5"/>
      <c r="G34" s="5"/>
      <c r="H34" s="5"/>
      <c r="I34" s="5"/>
      <c r="J34" s="5"/>
      <c r="K34" s="5"/>
      <c r="L34" s="5"/>
      <c r="M34" s="5"/>
      <c r="N34" s="5"/>
      <c r="O34" s="5"/>
      <c r="P34" s="5"/>
      <c r="Q34" s="5"/>
      <c r="R34" s="5"/>
      <c r="S34" s="5"/>
      <c r="T34" s="5"/>
      <c r="U34" s="5"/>
      <c r="V34" s="5"/>
      <c r="W34" s="5"/>
    </row>
    <row r="35" ht="14.25" customHeight="1">
      <c r="A35" s="5"/>
      <c r="B35" s="5"/>
      <c r="C35" s="5"/>
      <c r="D35" s="5"/>
      <c r="E35" s="5"/>
      <c r="F35" s="5"/>
      <c r="G35" s="5"/>
      <c r="H35" s="5"/>
      <c r="I35" s="5"/>
      <c r="J35" s="5"/>
      <c r="K35" s="5"/>
      <c r="L35" s="5"/>
      <c r="M35" s="5"/>
      <c r="N35" s="5"/>
      <c r="O35" s="5"/>
      <c r="P35" s="5"/>
      <c r="Q35" s="5"/>
      <c r="R35" s="5"/>
      <c r="S35" s="5"/>
      <c r="T35" s="5"/>
      <c r="U35" s="5"/>
      <c r="V35" s="5"/>
      <c r="W35" s="5"/>
    </row>
    <row r="36" ht="14.25" customHeight="1">
      <c r="A36" s="5"/>
      <c r="B36" s="5"/>
      <c r="C36" s="5"/>
      <c r="D36" s="5"/>
      <c r="E36" s="5"/>
      <c r="F36" s="5"/>
      <c r="G36" s="5"/>
      <c r="H36" s="5"/>
      <c r="I36" s="5"/>
      <c r="J36" s="5"/>
      <c r="K36" s="5"/>
      <c r="L36" s="5"/>
      <c r="M36" s="5"/>
      <c r="N36" s="5"/>
      <c r="O36" s="5"/>
      <c r="P36" s="5"/>
      <c r="Q36" s="5"/>
      <c r="R36" s="5"/>
      <c r="S36" s="5"/>
      <c r="T36" s="5"/>
      <c r="U36" s="5"/>
      <c r="V36" s="5"/>
      <c r="W36" s="5"/>
    </row>
    <row r="37" ht="14.25" customHeight="1">
      <c r="A37" s="5"/>
      <c r="B37" s="5"/>
      <c r="C37" s="5"/>
      <c r="D37" s="5"/>
      <c r="E37" s="5"/>
      <c r="F37" s="5"/>
      <c r="G37" s="5"/>
      <c r="H37" s="5"/>
      <c r="I37" s="5"/>
      <c r="J37" s="5"/>
      <c r="K37" s="5"/>
      <c r="L37" s="5"/>
      <c r="M37" s="5"/>
      <c r="N37" s="5"/>
      <c r="O37" s="5"/>
      <c r="P37" s="5"/>
      <c r="Q37" s="5"/>
      <c r="R37" s="5"/>
      <c r="S37" s="5"/>
      <c r="T37" s="5"/>
      <c r="U37" s="5"/>
      <c r="V37" s="5"/>
      <c r="W37" s="5"/>
    </row>
    <row r="38" ht="14.25" customHeight="1">
      <c r="A38" s="5"/>
      <c r="B38" s="5"/>
      <c r="C38" s="5"/>
      <c r="D38" s="5"/>
      <c r="E38" s="5"/>
      <c r="F38" s="5"/>
      <c r="G38" s="5"/>
      <c r="H38" s="5"/>
      <c r="I38" s="5"/>
      <c r="J38" s="5"/>
      <c r="K38" s="5"/>
      <c r="L38" s="5"/>
      <c r="M38" s="5"/>
      <c r="N38" s="5"/>
      <c r="O38" s="5"/>
      <c r="P38" s="5"/>
      <c r="Q38" s="5"/>
      <c r="R38" s="5"/>
      <c r="S38" s="5"/>
      <c r="T38" s="5"/>
      <c r="U38" s="5"/>
      <c r="V38" s="5"/>
      <c r="W38" s="5"/>
    </row>
    <row r="39" ht="14.25" customHeight="1">
      <c r="A39" s="5"/>
      <c r="B39" s="5"/>
      <c r="C39" s="5"/>
      <c r="D39" s="5"/>
      <c r="E39" s="5"/>
      <c r="F39" s="5"/>
      <c r="G39" s="5"/>
      <c r="H39" s="5"/>
      <c r="I39" s="5"/>
      <c r="J39" s="5"/>
      <c r="K39" s="5"/>
      <c r="L39" s="5"/>
      <c r="M39" s="5"/>
      <c r="N39" s="5"/>
      <c r="O39" s="5"/>
      <c r="P39" s="5"/>
      <c r="Q39" s="5"/>
      <c r="R39" s="5"/>
      <c r="S39" s="5"/>
      <c r="T39" s="5"/>
      <c r="U39" s="5"/>
      <c r="V39" s="5"/>
      <c r="W39" s="5"/>
    </row>
    <row r="40" ht="14.25" customHeight="1">
      <c r="A40" s="5"/>
      <c r="B40" s="5"/>
      <c r="C40" s="5"/>
      <c r="D40" s="5"/>
      <c r="E40" s="5"/>
      <c r="F40" s="5"/>
      <c r="G40" s="5"/>
      <c r="H40" s="5"/>
      <c r="I40" s="5"/>
      <c r="J40" s="5"/>
      <c r="K40" s="5"/>
      <c r="L40" s="5"/>
      <c r="M40" s="5"/>
      <c r="N40" s="5"/>
      <c r="O40" s="5"/>
      <c r="P40" s="5"/>
      <c r="Q40" s="5"/>
      <c r="R40" s="5"/>
      <c r="S40" s="5"/>
      <c r="T40" s="5"/>
      <c r="U40" s="5"/>
      <c r="V40" s="5"/>
      <c r="W40" s="5"/>
    </row>
    <row r="41" ht="14.25" customHeight="1">
      <c r="A41" s="5"/>
      <c r="B41" s="5"/>
      <c r="C41" s="5"/>
      <c r="D41" s="5"/>
      <c r="E41" s="5"/>
      <c r="F41" s="5"/>
      <c r="G41" s="5"/>
      <c r="H41" s="5"/>
      <c r="I41" s="5"/>
      <c r="J41" s="5"/>
      <c r="K41" s="5"/>
      <c r="L41" s="5"/>
      <c r="M41" s="5"/>
      <c r="N41" s="5"/>
      <c r="O41" s="5"/>
      <c r="P41" s="5"/>
      <c r="Q41" s="5"/>
      <c r="R41" s="5"/>
      <c r="S41" s="5"/>
      <c r="T41" s="5"/>
      <c r="U41" s="5"/>
      <c r="V41" s="5"/>
      <c r="W41" s="5"/>
    </row>
    <row r="42" ht="14.25" customHeight="1">
      <c r="A42" s="5"/>
      <c r="B42" s="5"/>
      <c r="C42" s="5"/>
      <c r="D42" s="5"/>
      <c r="E42" s="5"/>
      <c r="F42" s="5"/>
      <c r="G42" s="5"/>
      <c r="H42" s="5"/>
      <c r="I42" s="5"/>
      <c r="J42" s="5"/>
      <c r="K42" s="5"/>
      <c r="L42" s="5"/>
      <c r="M42" s="5"/>
      <c r="N42" s="5"/>
      <c r="O42" s="5"/>
      <c r="P42" s="5"/>
      <c r="Q42" s="5"/>
      <c r="R42" s="5"/>
      <c r="S42" s="5"/>
      <c r="T42" s="5"/>
      <c r="U42" s="5"/>
      <c r="V42" s="5"/>
      <c r="W42" s="5"/>
    </row>
    <row r="43" ht="14.25" customHeight="1">
      <c r="A43" s="5"/>
      <c r="B43" s="5"/>
      <c r="C43" s="5"/>
      <c r="D43" s="5"/>
      <c r="E43" s="5"/>
      <c r="F43" s="5"/>
      <c r="G43" s="5"/>
      <c r="H43" s="5"/>
      <c r="I43" s="5"/>
      <c r="J43" s="5"/>
      <c r="K43" s="5"/>
      <c r="L43" s="5"/>
      <c r="M43" s="5"/>
      <c r="N43" s="5"/>
      <c r="O43" s="5"/>
      <c r="P43" s="5"/>
      <c r="Q43" s="5"/>
      <c r="R43" s="5"/>
      <c r="S43" s="5"/>
      <c r="T43" s="5"/>
      <c r="U43" s="5"/>
      <c r="V43" s="5"/>
      <c r="W43" s="5"/>
    </row>
    <row r="44" ht="14.25" customHeight="1">
      <c r="A44" s="5"/>
      <c r="B44" s="5"/>
      <c r="C44" s="5"/>
      <c r="D44" s="5"/>
      <c r="E44" s="5"/>
      <c r="F44" s="5"/>
      <c r="G44" s="5"/>
      <c r="H44" s="5"/>
      <c r="I44" s="5"/>
      <c r="J44" s="5"/>
      <c r="K44" s="5"/>
      <c r="L44" s="5"/>
      <c r="M44" s="5"/>
      <c r="N44" s="5"/>
      <c r="O44" s="5"/>
      <c r="P44" s="5"/>
      <c r="Q44" s="5"/>
      <c r="R44" s="5"/>
      <c r="S44" s="5"/>
      <c r="T44" s="5"/>
      <c r="U44" s="5"/>
      <c r="V44" s="5"/>
      <c r="W44" s="5"/>
    </row>
    <row r="45" ht="14.25" customHeight="1">
      <c r="A45" s="5"/>
      <c r="B45" s="5"/>
      <c r="C45" s="5"/>
      <c r="D45" s="5"/>
      <c r="E45" s="5"/>
      <c r="F45" s="5"/>
      <c r="G45" s="5"/>
      <c r="H45" s="5"/>
      <c r="I45" s="5"/>
      <c r="J45" s="5"/>
      <c r="K45" s="5"/>
      <c r="L45" s="5"/>
      <c r="M45" s="5"/>
      <c r="N45" s="5"/>
      <c r="O45" s="5"/>
      <c r="P45" s="5"/>
      <c r="Q45" s="5"/>
      <c r="R45" s="5"/>
      <c r="S45" s="5"/>
      <c r="T45" s="5"/>
      <c r="U45" s="5"/>
      <c r="V45" s="5"/>
      <c r="W45" s="5"/>
    </row>
    <row r="46" ht="14.25" customHeight="1">
      <c r="A46" s="5"/>
      <c r="B46" s="5"/>
      <c r="C46" s="5"/>
      <c r="D46" s="5"/>
      <c r="E46" s="5"/>
      <c r="F46" s="5"/>
      <c r="G46" s="5"/>
      <c r="H46" s="5"/>
      <c r="I46" s="5"/>
      <c r="J46" s="5"/>
      <c r="K46" s="5"/>
      <c r="L46" s="5"/>
      <c r="M46" s="5"/>
      <c r="N46" s="5"/>
      <c r="O46" s="5"/>
      <c r="P46" s="5"/>
      <c r="Q46" s="5"/>
      <c r="R46" s="5"/>
      <c r="S46" s="5"/>
      <c r="T46" s="5"/>
      <c r="U46" s="5"/>
      <c r="V46" s="5"/>
      <c r="W46" s="5"/>
    </row>
    <row r="47" ht="14.25" customHeight="1">
      <c r="A47" s="5"/>
      <c r="B47" s="5"/>
      <c r="C47" s="5"/>
      <c r="D47" s="5"/>
      <c r="E47" s="5"/>
      <c r="F47" s="5"/>
      <c r="G47" s="5"/>
      <c r="H47" s="5"/>
      <c r="I47" s="5"/>
      <c r="J47" s="5"/>
      <c r="K47" s="5"/>
      <c r="L47" s="5"/>
      <c r="M47" s="5"/>
      <c r="N47" s="5"/>
      <c r="O47" s="5"/>
      <c r="P47" s="5"/>
      <c r="Q47" s="5"/>
      <c r="R47" s="5"/>
      <c r="S47" s="5"/>
      <c r="T47" s="5"/>
      <c r="U47" s="5"/>
      <c r="V47" s="5"/>
      <c r="W47" s="5"/>
    </row>
    <row r="48" ht="14.25" customHeight="1">
      <c r="A48" s="5"/>
      <c r="B48" s="5"/>
      <c r="C48" s="5"/>
      <c r="D48" s="5"/>
      <c r="E48" s="5"/>
      <c r="F48" s="5"/>
      <c r="G48" s="5"/>
      <c r="H48" s="5"/>
      <c r="I48" s="5"/>
      <c r="J48" s="5"/>
      <c r="K48" s="5"/>
      <c r="L48" s="5"/>
      <c r="M48" s="5"/>
      <c r="N48" s="5"/>
      <c r="O48" s="5"/>
      <c r="P48" s="5"/>
      <c r="Q48" s="5"/>
      <c r="R48" s="5"/>
      <c r="S48" s="5"/>
      <c r="T48" s="5"/>
      <c r="U48" s="5"/>
      <c r="V48" s="5"/>
      <c r="W48" s="5"/>
    </row>
    <row r="49" ht="14.25" customHeight="1">
      <c r="A49" s="5"/>
      <c r="B49" s="5"/>
      <c r="C49" s="5"/>
      <c r="D49" s="5"/>
      <c r="E49" s="5"/>
      <c r="F49" s="5"/>
      <c r="G49" s="5"/>
      <c r="H49" s="5"/>
      <c r="I49" s="5"/>
      <c r="J49" s="5"/>
      <c r="K49" s="5"/>
      <c r="L49" s="5"/>
      <c r="M49" s="5"/>
      <c r="N49" s="5"/>
      <c r="O49" s="5"/>
      <c r="P49" s="5"/>
      <c r="Q49" s="5"/>
      <c r="R49" s="5"/>
      <c r="S49" s="5"/>
      <c r="T49" s="5"/>
      <c r="U49" s="5"/>
      <c r="V49" s="5"/>
      <c r="W49" s="5"/>
    </row>
    <row r="50" ht="14.25" customHeight="1">
      <c r="A50" s="5"/>
      <c r="B50" s="5"/>
      <c r="C50" s="5"/>
      <c r="D50" s="5"/>
      <c r="E50" s="5"/>
      <c r="F50" s="5"/>
      <c r="G50" s="5"/>
      <c r="H50" s="5"/>
      <c r="I50" s="5"/>
      <c r="J50" s="5"/>
      <c r="K50" s="5"/>
      <c r="L50" s="5"/>
      <c r="M50" s="5"/>
      <c r="N50" s="5"/>
      <c r="O50" s="5"/>
      <c r="P50" s="5"/>
      <c r="Q50" s="5"/>
      <c r="R50" s="5"/>
      <c r="S50" s="5"/>
      <c r="T50" s="5"/>
      <c r="U50" s="5"/>
      <c r="V50" s="5"/>
      <c r="W50" s="5"/>
    </row>
    <row r="51" ht="14.25" customHeight="1">
      <c r="A51" s="5"/>
      <c r="B51" s="5"/>
      <c r="C51" s="5"/>
      <c r="D51" s="5"/>
      <c r="E51" s="5"/>
      <c r="F51" s="5"/>
      <c r="G51" s="5"/>
      <c r="H51" s="5"/>
      <c r="I51" s="5"/>
      <c r="J51" s="5"/>
      <c r="K51" s="5"/>
      <c r="L51" s="5"/>
      <c r="M51" s="5"/>
      <c r="N51" s="5"/>
      <c r="O51" s="5"/>
      <c r="P51" s="5"/>
      <c r="Q51" s="5"/>
      <c r="R51" s="5"/>
      <c r="S51" s="5"/>
      <c r="T51" s="5"/>
      <c r="U51" s="5"/>
      <c r="V51" s="5"/>
      <c r="W51" s="5"/>
    </row>
    <row r="52" ht="14.25" customHeight="1">
      <c r="A52" s="5"/>
      <c r="B52" s="5"/>
      <c r="C52" s="5"/>
      <c r="D52" s="5"/>
      <c r="E52" s="5"/>
      <c r="F52" s="5"/>
      <c r="G52" s="5"/>
      <c r="H52" s="5"/>
      <c r="I52" s="5"/>
      <c r="J52" s="5"/>
      <c r="K52" s="5"/>
      <c r="L52" s="5"/>
      <c r="M52" s="5"/>
      <c r="N52" s="5"/>
      <c r="O52" s="5"/>
      <c r="P52" s="5"/>
      <c r="Q52" s="5"/>
      <c r="R52" s="5"/>
      <c r="S52" s="5"/>
      <c r="T52" s="5"/>
      <c r="U52" s="5"/>
      <c r="V52" s="5"/>
      <c r="W52" s="5"/>
    </row>
    <row r="53" ht="14.25" customHeight="1">
      <c r="A53" s="5"/>
      <c r="B53" s="5"/>
      <c r="C53" s="5"/>
      <c r="D53" s="5"/>
      <c r="E53" s="5"/>
      <c r="F53" s="5"/>
      <c r="G53" s="5"/>
      <c r="H53" s="5"/>
      <c r="I53" s="5"/>
      <c r="J53" s="5"/>
      <c r="K53" s="5"/>
      <c r="L53" s="5"/>
      <c r="M53" s="5"/>
      <c r="N53" s="5"/>
      <c r="O53" s="5"/>
      <c r="P53" s="5"/>
      <c r="Q53" s="5"/>
      <c r="R53" s="5"/>
      <c r="S53" s="5"/>
      <c r="T53" s="5"/>
      <c r="U53" s="5"/>
      <c r="V53" s="5"/>
      <c r="W53" s="5"/>
    </row>
    <row r="54" ht="14.25" customHeight="1">
      <c r="A54" s="5"/>
      <c r="B54" s="5"/>
      <c r="C54" s="5"/>
      <c r="D54" s="5"/>
      <c r="E54" s="5"/>
      <c r="F54" s="5"/>
      <c r="G54" s="5"/>
      <c r="H54" s="5"/>
      <c r="I54" s="5"/>
      <c r="J54" s="5"/>
      <c r="K54" s="5"/>
      <c r="L54" s="5"/>
      <c r="M54" s="5"/>
      <c r="N54" s="5"/>
      <c r="O54" s="5"/>
      <c r="P54" s="5"/>
      <c r="Q54" s="5"/>
      <c r="R54" s="5"/>
      <c r="S54" s="5"/>
      <c r="T54" s="5"/>
      <c r="U54" s="5"/>
      <c r="V54" s="5"/>
      <c r="W54" s="5"/>
    </row>
    <row r="55" ht="14.25" customHeight="1">
      <c r="A55" s="5"/>
      <c r="B55" s="5"/>
      <c r="C55" s="5"/>
      <c r="D55" s="5"/>
      <c r="E55" s="5"/>
      <c r="F55" s="5"/>
      <c r="G55" s="5"/>
      <c r="H55" s="5"/>
      <c r="I55" s="5"/>
      <c r="J55" s="5"/>
      <c r="K55" s="5"/>
      <c r="L55" s="5"/>
      <c r="M55" s="5"/>
      <c r="N55" s="5"/>
      <c r="O55" s="5"/>
      <c r="P55" s="5"/>
      <c r="Q55" s="5"/>
      <c r="R55" s="5"/>
      <c r="S55" s="5"/>
      <c r="T55" s="5"/>
      <c r="U55" s="5"/>
      <c r="V55" s="5"/>
      <c r="W55" s="5"/>
    </row>
    <row r="56" ht="14.25" customHeight="1">
      <c r="A56" s="5"/>
      <c r="B56" s="5"/>
      <c r="C56" s="5"/>
      <c r="D56" s="5"/>
      <c r="E56" s="5"/>
      <c r="F56" s="5"/>
      <c r="G56" s="5"/>
      <c r="H56" s="5"/>
      <c r="I56" s="5"/>
      <c r="J56" s="5"/>
      <c r="K56" s="5"/>
      <c r="L56" s="5"/>
      <c r="M56" s="5"/>
      <c r="N56" s="5"/>
      <c r="O56" s="5"/>
      <c r="P56" s="5"/>
      <c r="Q56" s="5"/>
      <c r="R56" s="5"/>
      <c r="S56" s="5"/>
      <c r="T56" s="5"/>
      <c r="U56" s="5"/>
      <c r="V56" s="5"/>
      <c r="W56" s="5"/>
    </row>
    <row r="57" ht="14.25" customHeight="1">
      <c r="A57" s="5"/>
      <c r="B57" s="5"/>
      <c r="C57" s="5"/>
      <c r="D57" s="5"/>
      <c r="E57" s="5"/>
      <c r="F57" s="5"/>
      <c r="G57" s="5"/>
      <c r="H57" s="5"/>
      <c r="I57" s="5"/>
      <c r="J57" s="5"/>
      <c r="K57" s="5"/>
      <c r="L57" s="5"/>
      <c r="M57" s="5"/>
      <c r="N57" s="5"/>
      <c r="O57" s="5"/>
      <c r="P57" s="5"/>
      <c r="Q57" s="5"/>
      <c r="R57" s="5"/>
      <c r="S57" s="5"/>
      <c r="T57" s="5"/>
      <c r="U57" s="5"/>
      <c r="V57" s="5"/>
      <c r="W57" s="5"/>
    </row>
    <row r="58" ht="14.25" customHeight="1">
      <c r="A58" s="5"/>
      <c r="B58" s="5"/>
      <c r="C58" s="5"/>
      <c r="D58" s="5"/>
      <c r="E58" s="5"/>
      <c r="F58" s="5"/>
      <c r="G58" s="5"/>
      <c r="H58" s="5"/>
      <c r="I58" s="5"/>
      <c r="J58" s="5"/>
      <c r="K58" s="5"/>
      <c r="L58" s="5"/>
      <c r="M58" s="5"/>
      <c r="N58" s="5"/>
      <c r="O58" s="5"/>
      <c r="P58" s="5"/>
      <c r="Q58" s="5"/>
      <c r="R58" s="5"/>
      <c r="S58" s="5"/>
      <c r="T58" s="5"/>
      <c r="U58" s="5"/>
      <c r="V58" s="5"/>
      <c r="W58" s="5"/>
    </row>
    <row r="59" ht="14.25" customHeight="1">
      <c r="A59" s="5"/>
      <c r="B59" s="5"/>
      <c r="C59" s="5"/>
      <c r="D59" s="5"/>
      <c r="E59" s="5"/>
      <c r="F59" s="5"/>
      <c r="G59" s="5"/>
      <c r="H59" s="5"/>
      <c r="I59" s="5"/>
      <c r="J59" s="5"/>
      <c r="K59" s="5"/>
      <c r="L59" s="5"/>
      <c r="M59" s="5"/>
      <c r="N59" s="5"/>
      <c r="O59" s="5"/>
      <c r="P59" s="5"/>
      <c r="Q59" s="5"/>
      <c r="R59" s="5"/>
      <c r="S59" s="5"/>
      <c r="T59" s="5"/>
      <c r="U59" s="5"/>
      <c r="V59" s="5"/>
      <c r="W59" s="5"/>
    </row>
    <row r="60" ht="14.25" customHeight="1">
      <c r="A60" s="5"/>
      <c r="B60" s="5"/>
      <c r="C60" s="5"/>
      <c r="D60" s="5"/>
      <c r="E60" s="5"/>
      <c r="F60" s="5"/>
      <c r="G60" s="5"/>
      <c r="H60" s="5"/>
      <c r="I60" s="5"/>
      <c r="J60" s="5"/>
      <c r="K60" s="5"/>
      <c r="L60" s="5"/>
      <c r="M60" s="5"/>
      <c r="N60" s="5"/>
      <c r="O60" s="5"/>
      <c r="P60" s="5"/>
      <c r="Q60" s="5"/>
      <c r="R60" s="5"/>
      <c r="S60" s="5"/>
      <c r="T60" s="5"/>
      <c r="U60" s="5"/>
      <c r="V60" s="5"/>
      <c r="W60" s="5"/>
    </row>
    <row r="61" ht="14.25" customHeight="1">
      <c r="A61" s="5"/>
      <c r="B61" s="5"/>
      <c r="C61" s="5"/>
      <c r="D61" s="5"/>
      <c r="E61" s="5"/>
      <c r="F61" s="5"/>
      <c r="G61" s="5"/>
      <c r="H61" s="5"/>
      <c r="I61" s="5"/>
      <c r="J61" s="5"/>
      <c r="K61" s="5"/>
      <c r="L61" s="5"/>
      <c r="M61" s="5"/>
      <c r="N61" s="5"/>
      <c r="O61" s="5"/>
      <c r="P61" s="5"/>
      <c r="Q61" s="5"/>
      <c r="R61" s="5"/>
      <c r="S61" s="5"/>
      <c r="T61" s="5"/>
      <c r="U61" s="5"/>
      <c r="V61" s="5"/>
      <c r="W61" s="5"/>
    </row>
    <row r="62" ht="14.25" customHeight="1">
      <c r="A62" s="5"/>
      <c r="B62" s="5"/>
      <c r="C62" s="5"/>
      <c r="D62" s="5"/>
      <c r="E62" s="5"/>
      <c r="F62" s="5"/>
      <c r="G62" s="5"/>
      <c r="H62" s="5"/>
      <c r="I62" s="5"/>
      <c r="J62" s="5"/>
      <c r="K62" s="5"/>
      <c r="L62" s="5"/>
      <c r="M62" s="5"/>
      <c r="N62" s="5"/>
      <c r="O62" s="5"/>
      <c r="P62" s="5"/>
      <c r="Q62" s="5"/>
      <c r="R62" s="5"/>
      <c r="S62" s="5"/>
      <c r="T62" s="5"/>
      <c r="U62" s="5"/>
      <c r="V62" s="5"/>
      <c r="W62" s="5"/>
    </row>
    <row r="63" ht="14.25" customHeight="1">
      <c r="A63" s="5"/>
      <c r="B63" s="5"/>
      <c r="C63" s="5"/>
      <c r="D63" s="5"/>
      <c r="E63" s="5"/>
      <c r="F63" s="5"/>
      <c r="G63" s="5"/>
      <c r="H63" s="5"/>
      <c r="I63" s="5"/>
      <c r="J63" s="5"/>
      <c r="K63" s="5"/>
      <c r="L63" s="5"/>
      <c r="M63" s="5"/>
      <c r="N63" s="5"/>
      <c r="O63" s="5"/>
      <c r="P63" s="5"/>
      <c r="Q63" s="5"/>
      <c r="R63" s="5"/>
      <c r="S63" s="5"/>
      <c r="T63" s="5"/>
      <c r="U63" s="5"/>
      <c r="V63" s="5"/>
      <c r="W63" s="5"/>
    </row>
    <row r="64" ht="14.25" customHeight="1">
      <c r="A64" s="5"/>
      <c r="B64" s="5"/>
      <c r="C64" s="5"/>
      <c r="D64" s="5"/>
      <c r="E64" s="5"/>
      <c r="F64" s="5"/>
      <c r="G64" s="5"/>
      <c r="H64" s="5"/>
      <c r="I64" s="5"/>
      <c r="J64" s="5"/>
      <c r="K64" s="5"/>
      <c r="L64" s="5"/>
      <c r="M64" s="5"/>
      <c r="N64" s="5"/>
      <c r="O64" s="5"/>
      <c r="P64" s="5"/>
      <c r="Q64" s="5"/>
      <c r="R64" s="5"/>
      <c r="S64" s="5"/>
      <c r="T64" s="5"/>
      <c r="U64" s="5"/>
      <c r="V64" s="5"/>
      <c r="W64" s="5"/>
    </row>
    <row r="65" ht="14.25" customHeight="1">
      <c r="A65" s="5"/>
      <c r="B65" s="5"/>
      <c r="C65" s="5"/>
      <c r="D65" s="5"/>
      <c r="E65" s="5"/>
      <c r="F65" s="5"/>
      <c r="G65" s="5"/>
      <c r="H65" s="5"/>
      <c r="I65" s="5"/>
      <c r="J65" s="5"/>
      <c r="K65" s="5"/>
      <c r="L65" s="5"/>
      <c r="M65" s="5"/>
      <c r="N65" s="5"/>
      <c r="O65" s="5"/>
      <c r="P65" s="5"/>
      <c r="Q65" s="5"/>
      <c r="R65" s="5"/>
      <c r="S65" s="5"/>
      <c r="T65" s="5"/>
      <c r="U65" s="5"/>
      <c r="V65" s="5"/>
      <c r="W65" s="5"/>
    </row>
    <row r="66" ht="14.25" customHeight="1">
      <c r="A66" s="5"/>
      <c r="B66" s="5"/>
      <c r="C66" s="5"/>
      <c r="D66" s="5"/>
      <c r="E66" s="5"/>
      <c r="F66" s="5"/>
      <c r="G66" s="5"/>
      <c r="H66" s="5"/>
      <c r="I66" s="5"/>
      <c r="J66" s="5"/>
      <c r="K66" s="5"/>
      <c r="L66" s="5"/>
      <c r="M66" s="5"/>
      <c r="N66" s="5"/>
      <c r="O66" s="5"/>
      <c r="P66" s="5"/>
      <c r="Q66" s="5"/>
      <c r="R66" s="5"/>
      <c r="S66" s="5"/>
      <c r="T66" s="5"/>
      <c r="U66" s="5"/>
      <c r="V66" s="5"/>
      <c r="W66" s="5"/>
    </row>
    <row r="67" ht="14.25" customHeight="1">
      <c r="A67" s="5"/>
      <c r="B67" s="5"/>
      <c r="C67" s="5"/>
      <c r="D67" s="5"/>
      <c r="E67" s="5"/>
      <c r="F67" s="5"/>
      <c r="G67" s="5"/>
      <c r="H67" s="5"/>
      <c r="I67" s="5"/>
      <c r="J67" s="5"/>
      <c r="K67" s="5"/>
      <c r="L67" s="5"/>
      <c r="M67" s="5"/>
      <c r="N67" s="5"/>
      <c r="O67" s="5"/>
      <c r="P67" s="5"/>
      <c r="Q67" s="5"/>
      <c r="R67" s="5"/>
      <c r="S67" s="5"/>
      <c r="T67" s="5"/>
      <c r="U67" s="5"/>
      <c r="V67" s="5"/>
      <c r="W67" s="5"/>
    </row>
    <row r="68" ht="14.25" customHeight="1">
      <c r="A68" s="5"/>
      <c r="B68" s="5"/>
      <c r="C68" s="5"/>
      <c r="D68" s="5"/>
      <c r="E68" s="5"/>
      <c r="F68" s="5"/>
      <c r="G68" s="5"/>
      <c r="H68" s="5"/>
      <c r="I68" s="5"/>
      <c r="J68" s="5"/>
      <c r="K68" s="5"/>
      <c r="L68" s="5"/>
      <c r="M68" s="5"/>
      <c r="N68" s="5"/>
      <c r="O68" s="5"/>
      <c r="P68" s="5"/>
      <c r="Q68" s="5"/>
      <c r="R68" s="5"/>
      <c r="S68" s="5"/>
      <c r="T68" s="5"/>
      <c r="U68" s="5"/>
      <c r="V68" s="5"/>
      <c r="W68" s="5"/>
    </row>
    <row r="69" ht="14.25" customHeight="1">
      <c r="A69" s="5"/>
      <c r="B69" s="5"/>
      <c r="C69" s="5"/>
      <c r="D69" s="5"/>
      <c r="E69" s="5"/>
      <c r="F69" s="5"/>
      <c r="G69" s="5"/>
      <c r="H69" s="5"/>
      <c r="I69" s="5"/>
      <c r="J69" s="5"/>
      <c r="K69" s="5"/>
      <c r="L69" s="5"/>
      <c r="M69" s="5"/>
      <c r="N69" s="5"/>
      <c r="O69" s="5"/>
      <c r="P69" s="5"/>
      <c r="Q69" s="5"/>
      <c r="R69" s="5"/>
      <c r="S69" s="5"/>
      <c r="T69" s="5"/>
      <c r="U69" s="5"/>
      <c r="V69" s="5"/>
      <c r="W69" s="5"/>
    </row>
    <row r="70" ht="14.25" customHeight="1">
      <c r="A70" s="5"/>
      <c r="B70" s="5"/>
      <c r="C70" s="5"/>
      <c r="D70" s="5"/>
      <c r="E70" s="5"/>
      <c r="F70" s="5"/>
      <c r="G70" s="5"/>
      <c r="H70" s="5"/>
      <c r="I70" s="5"/>
      <c r="J70" s="5"/>
      <c r="K70" s="5"/>
      <c r="L70" s="5"/>
      <c r="M70" s="5"/>
      <c r="N70" s="5"/>
      <c r="O70" s="5"/>
      <c r="P70" s="5"/>
      <c r="Q70" s="5"/>
      <c r="R70" s="5"/>
      <c r="S70" s="5"/>
      <c r="T70" s="5"/>
      <c r="U70" s="5"/>
      <c r="V70" s="5"/>
      <c r="W70" s="5"/>
    </row>
    <row r="71" ht="14.25" customHeight="1">
      <c r="A71" s="5"/>
      <c r="B71" s="5"/>
      <c r="C71" s="5"/>
      <c r="D71" s="5"/>
      <c r="E71" s="5"/>
      <c r="F71" s="5"/>
      <c r="G71" s="5"/>
      <c r="H71" s="5"/>
      <c r="I71" s="5"/>
      <c r="J71" s="5"/>
      <c r="K71" s="5"/>
      <c r="L71" s="5"/>
      <c r="M71" s="5"/>
      <c r="N71" s="5"/>
      <c r="O71" s="5"/>
      <c r="P71" s="5"/>
      <c r="Q71" s="5"/>
      <c r="R71" s="5"/>
      <c r="S71" s="5"/>
      <c r="T71" s="5"/>
      <c r="U71" s="5"/>
      <c r="V71" s="5"/>
      <c r="W71" s="5"/>
    </row>
    <row r="72" ht="14.25" customHeight="1">
      <c r="A72" s="5"/>
      <c r="B72" s="5"/>
      <c r="C72" s="5"/>
      <c r="D72" s="5"/>
      <c r="E72" s="5"/>
      <c r="F72" s="5"/>
      <c r="G72" s="5"/>
      <c r="H72" s="5"/>
      <c r="I72" s="5"/>
      <c r="J72" s="5"/>
      <c r="K72" s="5"/>
      <c r="L72" s="5"/>
      <c r="M72" s="5"/>
      <c r="N72" s="5"/>
      <c r="O72" s="5"/>
      <c r="P72" s="5"/>
      <c r="Q72" s="5"/>
      <c r="R72" s="5"/>
      <c r="S72" s="5"/>
      <c r="T72" s="5"/>
      <c r="U72" s="5"/>
      <c r="V72" s="5"/>
      <c r="W72" s="5"/>
    </row>
    <row r="73" ht="14.25" customHeight="1">
      <c r="A73" s="5"/>
      <c r="B73" s="5"/>
      <c r="C73" s="5"/>
      <c r="D73" s="5"/>
      <c r="E73" s="5"/>
      <c r="F73" s="5"/>
      <c r="G73" s="5"/>
      <c r="H73" s="5"/>
      <c r="I73" s="5"/>
      <c r="J73" s="5"/>
      <c r="K73" s="5"/>
      <c r="L73" s="5"/>
      <c r="M73" s="5"/>
      <c r="N73" s="5"/>
      <c r="O73" s="5"/>
      <c r="P73" s="5"/>
      <c r="Q73" s="5"/>
      <c r="R73" s="5"/>
      <c r="S73" s="5"/>
      <c r="T73" s="5"/>
      <c r="U73" s="5"/>
      <c r="V73" s="5"/>
      <c r="W73" s="5"/>
    </row>
    <row r="74" ht="14.25" customHeight="1">
      <c r="A74" s="5"/>
      <c r="B74" s="5"/>
      <c r="C74" s="5"/>
      <c r="D74" s="5"/>
      <c r="E74" s="5"/>
      <c r="F74" s="5"/>
      <c r="G74" s="5"/>
      <c r="H74" s="5"/>
      <c r="I74" s="5"/>
      <c r="J74" s="5"/>
      <c r="K74" s="5"/>
      <c r="L74" s="5"/>
      <c r="M74" s="5"/>
      <c r="N74" s="5"/>
      <c r="O74" s="5"/>
      <c r="P74" s="5"/>
      <c r="Q74" s="5"/>
      <c r="R74" s="5"/>
      <c r="S74" s="5"/>
      <c r="T74" s="5"/>
      <c r="U74" s="5"/>
      <c r="V74" s="5"/>
      <c r="W74" s="5"/>
    </row>
    <row r="75" ht="14.25" customHeight="1">
      <c r="A75" s="5"/>
      <c r="B75" s="5"/>
      <c r="C75" s="5"/>
      <c r="D75" s="5"/>
      <c r="E75" s="5"/>
      <c r="F75" s="5"/>
      <c r="G75" s="5"/>
      <c r="H75" s="5"/>
      <c r="I75" s="5"/>
      <c r="J75" s="5"/>
      <c r="K75" s="5"/>
      <c r="L75" s="5"/>
      <c r="M75" s="5"/>
      <c r="N75" s="5"/>
      <c r="O75" s="5"/>
      <c r="P75" s="5"/>
      <c r="Q75" s="5"/>
      <c r="R75" s="5"/>
      <c r="S75" s="5"/>
      <c r="T75" s="5"/>
      <c r="U75" s="5"/>
      <c r="V75" s="5"/>
      <c r="W75" s="5"/>
    </row>
    <row r="76" ht="14.25" customHeight="1">
      <c r="A76" s="5"/>
      <c r="B76" s="5"/>
      <c r="C76" s="5"/>
      <c r="D76" s="5"/>
      <c r="E76" s="5"/>
      <c r="F76" s="5"/>
      <c r="G76" s="5"/>
      <c r="H76" s="5"/>
      <c r="I76" s="5"/>
      <c r="J76" s="5"/>
      <c r="K76" s="5"/>
      <c r="L76" s="5"/>
      <c r="M76" s="5"/>
      <c r="N76" s="5"/>
      <c r="O76" s="5"/>
      <c r="P76" s="5"/>
      <c r="Q76" s="5"/>
      <c r="R76" s="5"/>
      <c r="S76" s="5"/>
      <c r="T76" s="5"/>
      <c r="U76" s="5"/>
      <c r="V76" s="5"/>
      <c r="W76" s="5"/>
    </row>
    <row r="77" ht="14.25" customHeight="1">
      <c r="A77" s="5"/>
      <c r="B77" s="5"/>
      <c r="C77" s="5"/>
      <c r="D77" s="5"/>
      <c r="E77" s="5"/>
      <c r="F77" s="5"/>
      <c r="G77" s="5"/>
      <c r="H77" s="5"/>
      <c r="I77" s="5"/>
      <c r="J77" s="5"/>
      <c r="K77" s="5"/>
      <c r="L77" s="5"/>
      <c r="M77" s="5"/>
      <c r="N77" s="5"/>
      <c r="O77" s="5"/>
      <c r="P77" s="5"/>
      <c r="Q77" s="5"/>
      <c r="R77" s="5"/>
      <c r="S77" s="5"/>
      <c r="T77" s="5"/>
      <c r="U77" s="5"/>
      <c r="V77" s="5"/>
      <c r="W77" s="5"/>
    </row>
    <row r="78" ht="14.25" customHeight="1">
      <c r="A78" s="5"/>
      <c r="B78" s="5"/>
      <c r="C78" s="5"/>
      <c r="D78" s="5"/>
      <c r="E78" s="5"/>
      <c r="F78" s="5"/>
      <c r="G78" s="5"/>
      <c r="H78" s="5"/>
      <c r="I78" s="5"/>
      <c r="J78" s="5"/>
      <c r="K78" s="5"/>
      <c r="L78" s="5"/>
      <c r="M78" s="5"/>
      <c r="N78" s="5"/>
      <c r="O78" s="5"/>
      <c r="P78" s="5"/>
      <c r="Q78" s="5"/>
      <c r="R78" s="5"/>
      <c r="S78" s="5"/>
      <c r="T78" s="5"/>
      <c r="U78" s="5"/>
      <c r="V78" s="5"/>
      <c r="W78" s="5"/>
    </row>
    <row r="79" ht="14.25" customHeight="1">
      <c r="A79" s="5"/>
      <c r="B79" s="5"/>
      <c r="C79" s="5"/>
      <c r="D79" s="5"/>
      <c r="E79" s="5"/>
      <c r="F79" s="5"/>
      <c r="G79" s="5"/>
      <c r="H79" s="5"/>
      <c r="I79" s="5"/>
      <c r="J79" s="5"/>
      <c r="K79" s="5"/>
      <c r="L79" s="5"/>
      <c r="M79" s="5"/>
      <c r="N79" s="5"/>
      <c r="O79" s="5"/>
      <c r="P79" s="5"/>
      <c r="Q79" s="5"/>
      <c r="R79" s="5"/>
      <c r="S79" s="5"/>
      <c r="T79" s="5"/>
      <c r="U79" s="5"/>
      <c r="V79" s="5"/>
      <c r="W79" s="5"/>
    </row>
    <row r="80" ht="14.25" customHeight="1">
      <c r="A80" s="5"/>
      <c r="B80" s="5"/>
      <c r="C80" s="5"/>
      <c r="D80" s="5"/>
      <c r="E80" s="5"/>
      <c r="F80" s="5"/>
      <c r="G80" s="5"/>
      <c r="H80" s="5"/>
      <c r="I80" s="5"/>
      <c r="J80" s="5"/>
      <c r="K80" s="5"/>
      <c r="L80" s="5"/>
      <c r="M80" s="5"/>
      <c r="N80" s="5"/>
      <c r="O80" s="5"/>
      <c r="P80" s="5"/>
      <c r="Q80" s="5"/>
      <c r="R80" s="5"/>
      <c r="S80" s="5"/>
      <c r="T80" s="5"/>
      <c r="U80" s="5"/>
      <c r="V80" s="5"/>
      <c r="W80" s="5"/>
    </row>
    <row r="81" ht="14.25" customHeight="1">
      <c r="A81" s="5"/>
      <c r="B81" s="5"/>
      <c r="C81" s="5"/>
      <c r="D81" s="5"/>
      <c r="E81" s="5"/>
      <c r="F81" s="5"/>
      <c r="G81" s="5"/>
      <c r="H81" s="5"/>
      <c r="I81" s="5"/>
      <c r="J81" s="5"/>
      <c r="K81" s="5"/>
      <c r="L81" s="5"/>
      <c r="M81" s="5"/>
      <c r="N81" s="5"/>
      <c r="O81" s="5"/>
      <c r="P81" s="5"/>
      <c r="Q81" s="5"/>
      <c r="R81" s="5"/>
      <c r="S81" s="5"/>
      <c r="T81" s="5"/>
      <c r="U81" s="5"/>
      <c r="V81" s="5"/>
      <c r="W81" s="5"/>
    </row>
    <row r="82" ht="14.25" customHeight="1">
      <c r="A82" s="5"/>
      <c r="B82" s="5"/>
      <c r="C82" s="5"/>
      <c r="D82" s="5"/>
      <c r="E82" s="5"/>
      <c r="F82" s="5"/>
      <c r="G82" s="5"/>
      <c r="H82" s="5"/>
      <c r="I82" s="5"/>
      <c r="J82" s="5"/>
      <c r="K82" s="5"/>
      <c r="L82" s="5"/>
      <c r="M82" s="5"/>
      <c r="N82" s="5"/>
      <c r="O82" s="5"/>
      <c r="P82" s="5"/>
      <c r="Q82" s="5"/>
      <c r="R82" s="5"/>
      <c r="S82" s="5"/>
      <c r="T82" s="5"/>
      <c r="U82" s="5"/>
      <c r="V82" s="5"/>
      <c r="W82" s="5"/>
    </row>
    <row r="83" ht="14.25" customHeight="1">
      <c r="A83" s="5"/>
      <c r="B83" s="5"/>
      <c r="C83" s="5"/>
      <c r="D83" s="5"/>
      <c r="E83" s="5"/>
      <c r="F83" s="5"/>
      <c r="G83" s="5"/>
      <c r="H83" s="5"/>
      <c r="I83" s="5"/>
      <c r="J83" s="5"/>
      <c r="K83" s="5"/>
      <c r="L83" s="5"/>
      <c r="M83" s="5"/>
      <c r="N83" s="5"/>
      <c r="O83" s="5"/>
      <c r="P83" s="5"/>
      <c r="Q83" s="5"/>
      <c r="R83" s="5"/>
      <c r="S83" s="5"/>
      <c r="T83" s="5"/>
      <c r="U83" s="5"/>
      <c r="V83" s="5"/>
      <c r="W83" s="5"/>
    </row>
    <row r="84" ht="14.25" customHeight="1">
      <c r="A84" s="5"/>
      <c r="B84" s="5"/>
      <c r="C84" s="5"/>
      <c r="D84" s="5"/>
      <c r="E84" s="5"/>
      <c r="F84" s="5"/>
      <c r="G84" s="5"/>
      <c r="H84" s="5"/>
      <c r="I84" s="5"/>
      <c r="J84" s="5"/>
      <c r="K84" s="5"/>
      <c r="L84" s="5"/>
      <c r="M84" s="5"/>
      <c r="N84" s="5"/>
      <c r="O84" s="5"/>
      <c r="P84" s="5"/>
      <c r="Q84" s="5"/>
      <c r="R84" s="5"/>
      <c r="S84" s="5"/>
      <c r="T84" s="5"/>
      <c r="U84" s="5"/>
      <c r="V84" s="5"/>
      <c r="W84" s="5"/>
    </row>
    <row r="85" ht="14.25" customHeight="1">
      <c r="A85" s="5"/>
      <c r="B85" s="5"/>
      <c r="C85" s="5"/>
      <c r="D85" s="5"/>
      <c r="E85" s="5"/>
      <c r="F85" s="5"/>
      <c r="G85" s="5"/>
      <c r="H85" s="5"/>
      <c r="I85" s="5"/>
      <c r="J85" s="5"/>
      <c r="K85" s="5"/>
      <c r="L85" s="5"/>
      <c r="M85" s="5"/>
      <c r="N85" s="5"/>
      <c r="O85" s="5"/>
      <c r="P85" s="5"/>
      <c r="Q85" s="5"/>
      <c r="R85" s="5"/>
      <c r="S85" s="5"/>
      <c r="T85" s="5"/>
      <c r="U85" s="5"/>
      <c r="V85" s="5"/>
      <c r="W85" s="5"/>
    </row>
    <row r="86" ht="14.25" customHeight="1">
      <c r="A86" s="5"/>
      <c r="B86" s="5"/>
      <c r="C86" s="5"/>
      <c r="D86" s="5"/>
      <c r="E86" s="5"/>
      <c r="F86" s="5"/>
      <c r="G86" s="5"/>
      <c r="H86" s="5"/>
      <c r="I86" s="5"/>
      <c r="J86" s="5"/>
      <c r="K86" s="5"/>
      <c r="L86" s="5"/>
      <c r="M86" s="5"/>
      <c r="N86" s="5"/>
      <c r="O86" s="5"/>
      <c r="P86" s="5"/>
      <c r="Q86" s="5"/>
      <c r="R86" s="5"/>
      <c r="S86" s="5"/>
      <c r="T86" s="5"/>
      <c r="U86" s="5"/>
      <c r="V86" s="5"/>
      <c r="W86" s="5"/>
    </row>
    <row r="87" ht="14.25" customHeight="1">
      <c r="A87" s="5"/>
      <c r="B87" s="5"/>
      <c r="C87" s="5"/>
      <c r="D87" s="5"/>
      <c r="E87" s="5"/>
      <c r="F87" s="5"/>
      <c r="G87" s="5"/>
      <c r="H87" s="5"/>
      <c r="I87" s="5"/>
      <c r="J87" s="5"/>
      <c r="K87" s="5"/>
      <c r="L87" s="5"/>
      <c r="M87" s="5"/>
      <c r="N87" s="5"/>
      <c r="O87" s="5"/>
      <c r="P87" s="5"/>
      <c r="Q87" s="5"/>
      <c r="R87" s="5"/>
      <c r="S87" s="5"/>
      <c r="T87" s="5"/>
      <c r="U87" s="5"/>
      <c r="V87" s="5"/>
      <c r="W87" s="5"/>
    </row>
    <row r="88" ht="14.25" customHeight="1">
      <c r="A88" s="5"/>
      <c r="B88" s="5"/>
      <c r="C88" s="5"/>
      <c r="D88" s="5"/>
      <c r="E88" s="5"/>
      <c r="F88" s="5"/>
      <c r="G88" s="5"/>
      <c r="H88" s="5"/>
      <c r="I88" s="5"/>
      <c r="J88" s="5"/>
      <c r="K88" s="5"/>
      <c r="L88" s="5"/>
      <c r="M88" s="5"/>
      <c r="N88" s="5"/>
      <c r="O88" s="5"/>
      <c r="P88" s="5"/>
      <c r="Q88" s="5"/>
      <c r="R88" s="5"/>
      <c r="S88" s="5"/>
      <c r="T88" s="5"/>
      <c r="U88" s="5"/>
      <c r="V88" s="5"/>
      <c r="W88" s="5"/>
    </row>
    <row r="89" ht="14.25" customHeight="1">
      <c r="A89" s="5"/>
      <c r="B89" s="5"/>
      <c r="C89" s="5"/>
      <c r="D89" s="5"/>
      <c r="E89" s="5"/>
      <c r="F89" s="5"/>
      <c r="G89" s="5"/>
      <c r="H89" s="5"/>
      <c r="I89" s="5"/>
      <c r="J89" s="5"/>
      <c r="K89" s="5"/>
      <c r="L89" s="5"/>
      <c r="M89" s="5"/>
      <c r="N89" s="5"/>
      <c r="O89" s="5"/>
      <c r="P89" s="5"/>
      <c r="Q89" s="5"/>
      <c r="R89" s="5"/>
      <c r="S89" s="5"/>
      <c r="T89" s="5"/>
      <c r="U89" s="5"/>
      <c r="V89" s="5"/>
      <c r="W89" s="5"/>
    </row>
    <row r="90" ht="14.25" customHeight="1">
      <c r="A90" s="5"/>
      <c r="B90" s="5"/>
      <c r="C90" s="5"/>
      <c r="D90" s="5"/>
      <c r="E90" s="5"/>
      <c r="F90" s="5"/>
      <c r="G90" s="5"/>
      <c r="H90" s="5"/>
      <c r="I90" s="5"/>
      <c r="J90" s="5"/>
      <c r="K90" s="5"/>
      <c r="L90" s="5"/>
      <c r="M90" s="5"/>
      <c r="N90" s="5"/>
      <c r="O90" s="5"/>
      <c r="P90" s="5"/>
      <c r="Q90" s="5"/>
      <c r="R90" s="5"/>
      <c r="S90" s="5"/>
      <c r="T90" s="5"/>
      <c r="U90" s="5"/>
      <c r="V90" s="5"/>
      <c r="W90" s="5"/>
    </row>
    <row r="91" ht="14.25" customHeight="1">
      <c r="A91" s="5"/>
      <c r="B91" s="5"/>
      <c r="C91" s="5"/>
      <c r="D91" s="5"/>
      <c r="E91" s="5"/>
      <c r="F91" s="5"/>
      <c r="G91" s="5"/>
      <c r="H91" s="5"/>
      <c r="I91" s="5"/>
      <c r="J91" s="5"/>
      <c r="K91" s="5"/>
      <c r="L91" s="5"/>
      <c r="M91" s="5"/>
      <c r="N91" s="5"/>
      <c r="O91" s="5"/>
      <c r="P91" s="5"/>
      <c r="Q91" s="5"/>
      <c r="R91" s="5"/>
      <c r="S91" s="5"/>
      <c r="T91" s="5"/>
      <c r="U91" s="5"/>
      <c r="V91" s="5"/>
      <c r="W91" s="5"/>
    </row>
    <row r="92" ht="14.25" customHeight="1">
      <c r="A92" s="5"/>
      <c r="B92" s="5"/>
      <c r="C92" s="5"/>
      <c r="D92" s="5"/>
      <c r="E92" s="5"/>
      <c r="F92" s="5"/>
      <c r="G92" s="5"/>
      <c r="H92" s="5"/>
      <c r="I92" s="5"/>
      <c r="J92" s="5"/>
      <c r="K92" s="5"/>
      <c r="L92" s="5"/>
      <c r="M92" s="5"/>
      <c r="N92" s="5"/>
      <c r="O92" s="5"/>
      <c r="P92" s="5"/>
      <c r="Q92" s="5"/>
      <c r="R92" s="5"/>
      <c r="S92" s="5"/>
      <c r="T92" s="5"/>
      <c r="U92" s="5"/>
      <c r="V92" s="5"/>
      <c r="W92" s="5"/>
    </row>
    <row r="93" ht="14.25" customHeight="1">
      <c r="A93" s="5"/>
      <c r="B93" s="5"/>
      <c r="C93" s="5"/>
      <c r="D93" s="5"/>
      <c r="E93" s="5"/>
      <c r="F93" s="5"/>
      <c r="G93" s="5"/>
      <c r="H93" s="5"/>
      <c r="I93" s="5"/>
      <c r="J93" s="5"/>
      <c r="K93" s="5"/>
      <c r="L93" s="5"/>
      <c r="M93" s="5"/>
      <c r="N93" s="5"/>
      <c r="O93" s="5"/>
      <c r="P93" s="5"/>
      <c r="Q93" s="5"/>
      <c r="R93" s="5"/>
      <c r="S93" s="5"/>
      <c r="T93" s="5"/>
      <c r="U93" s="5"/>
      <c r="V93" s="5"/>
      <c r="W93" s="5"/>
    </row>
    <row r="94" ht="14.25" customHeight="1">
      <c r="A94" s="5"/>
      <c r="B94" s="5"/>
      <c r="C94" s="5"/>
      <c r="D94" s="5"/>
      <c r="E94" s="5"/>
      <c r="F94" s="5"/>
      <c r="G94" s="5"/>
      <c r="H94" s="5"/>
      <c r="I94" s="5"/>
      <c r="J94" s="5"/>
      <c r="K94" s="5"/>
      <c r="L94" s="5"/>
      <c r="M94" s="5"/>
      <c r="N94" s="5"/>
      <c r="O94" s="5"/>
      <c r="P94" s="5"/>
      <c r="Q94" s="5"/>
      <c r="R94" s="5"/>
      <c r="S94" s="5"/>
      <c r="T94" s="5"/>
      <c r="U94" s="5"/>
      <c r="V94" s="5"/>
      <c r="W94" s="5"/>
    </row>
    <row r="95" ht="14.25" customHeight="1">
      <c r="A95" s="5"/>
      <c r="B95" s="5"/>
      <c r="C95" s="5"/>
      <c r="D95" s="5"/>
      <c r="E95" s="5"/>
      <c r="F95" s="5"/>
      <c r="G95" s="5"/>
      <c r="H95" s="5"/>
      <c r="I95" s="5"/>
      <c r="J95" s="5"/>
      <c r="K95" s="5"/>
      <c r="L95" s="5"/>
      <c r="M95" s="5"/>
      <c r="N95" s="5"/>
      <c r="O95" s="5"/>
      <c r="P95" s="5"/>
      <c r="Q95" s="5"/>
      <c r="R95" s="5"/>
      <c r="S95" s="5"/>
      <c r="T95" s="5"/>
      <c r="U95" s="5"/>
      <c r="V95" s="5"/>
      <c r="W95" s="5"/>
    </row>
    <row r="96" ht="14.25" customHeight="1">
      <c r="A96" s="5"/>
      <c r="B96" s="5"/>
      <c r="C96" s="5"/>
      <c r="D96" s="5"/>
      <c r="E96" s="5"/>
      <c r="F96" s="5"/>
      <c r="G96" s="5"/>
      <c r="H96" s="5"/>
      <c r="I96" s="5"/>
      <c r="J96" s="5"/>
      <c r="K96" s="5"/>
      <c r="L96" s="5"/>
      <c r="M96" s="5"/>
      <c r="N96" s="5"/>
      <c r="O96" s="5"/>
      <c r="P96" s="5"/>
      <c r="Q96" s="5"/>
      <c r="R96" s="5"/>
      <c r="S96" s="5"/>
      <c r="T96" s="5"/>
      <c r="U96" s="5"/>
      <c r="V96" s="5"/>
      <c r="W96" s="5"/>
    </row>
    <row r="97" ht="14.25" customHeight="1">
      <c r="A97" s="5"/>
      <c r="B97" s="5"/>
      <c r="C97" s="5"/>
      <c r="D97" s="5"/>
      <c r="E97" s="5"/>
      <c r="F97" s="5"/>
      <c r="G97" s="5"/>
      <c r="H97" s="5"/>
      <c r="I97" s="5"/>
      <c r="J97" s="5"/>
      <c r="K97" s="5"/>
      <c r="L97" s="5"/>
      <c r="M97" s="5"/>
      <c r="N97" s="5"/>
      <c r="O97" s="5"/>
      <c r="P97" s="5"/>
      <c r="Q97" s="5"/>
      <c r="R97" s="5"/>
      <c r="S97" s="5"/>
      <c r="T97" s="5"/>
      <c r="U97" s="5"/>
      <c r="V97" s="5"/>
      <c r="W97" s="5"/>
    </row>
    <row r="98" ht="14.25" customHeight="1">
      <c r="A98" s="5"/>
      <c r="B98" s="5"/>
      <c r="C98" s="5"/>
      <c r="D98" s="5"/>
      <c r="E98" s="5"/>
      <c r="F98" s="5"/>
      <c r="G98" s="5"/>
      <c r="H98" s="5"/>
      <c r="I98" s="5"/>
      <c r="J98" s="5"/>
      <c r="K98" s="5"/>
      <c r="L98" s="5"/>
      <c r="M98" s="5"/>
      <c r="N98" s="5"/>
      <c r="O98" s="5"/>
      <c r="P98" s="5"/>
      <c r="Q98" s="5"/>
      <c r="R98" s="5"/>
      <c r="S98" s="5"/>
      <c r="T98" s="5"/>
      <c r="U98" s="5"/>
      <c r="V98" s="5"/>
      <c r="W98" s="5"/>
    </row>
    <row r="99" ht="14.25" customHeight="1">
      <c r="A99" s="5"/>
      <c r="B99" s="5"/>
      <c r="C99" s="5"/>
      <c r="D99" s="5"/>
      <c r="E99" s="5"/>
      <c r="F99" s="5"/>
      <c r="G99" s="5"/>
      <c r="H99" s="5"/>
      <c r="I99" s="5"/>
      <c r="J99" s="5"/>
      <c r="K99" s="5"/>
      <c r="L99" s="5"/>
      <c r="M99" s="5"/>
      <c r="N99" s="5"/>
      <c r="O99" s="5"/>
      <c r="P99" s="5"/>
      <c r="Q99" s="5"/>
      <c r="R99" s="5"/>
      <c r="S99" s="5"/>
      <c r="T99" s="5"/>
      <c r="U99" s="5"/>
      <c r="V99" s="5"/>
      <c r="W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row>
    <row r="179" ht="14.25" customHeight="1">
      <c r="G179" s="5"/>
      <c r="H179" s="5"/>
      <c r="I179" s="5"/>
      <c r="J179" s="5"/>
      <c r="K179" s="5"/>
      <c r="L179" s="5"/>
      <c r="M179" s="5"/>
      <c r="N179" s="5"/>
      <c r="O179" s="5"/>
      <c r="P179" s="5"/>
      <c r="Q179" s="5"/>
      <c r="R179" s="5"/>
      <c r="S179" s="5"/>
      <c r="T179" s="5"/>
      <c r="U179" s="5"/>
      <c r="V179" s="5"/>
      <c r="W179" s="5"/>
    </row>
    <row r="180" ht="14.25" customHeight="1">
      <c r="G180" s="5"/>
      <c r="H180" s="5"/>
      <c r="I180" s="5"/>
      <c r="J180" s="5"/>
      <c r="K180" s="5"/>
      <c r="L180" s="5"/>
      <c r="M180" s="5"/>
      <c r="N180" s="5"/>
      <c r="O180" s="5"/>
      <c r="P180" s="5"/>
      <c r="Q180" s="5"/>
      <c r="R180" s="5"/>
      <c r="S180" s="5"/>
      <c r="T180" s="5"/>
      <c r="U180" s="5"/>
      <c r="V180" s="5"/>
      <c r="W180" s="5"/>
    </row>
    <row r="181" ht="14.25" customHeight="1">
      <c r="G181" s="5"/>
      <c r="H181" s="5"/>
      <c r="I181" s="5"/>
      <c r="J181" s="5"/>
      <c r="K181" s="5"/>
      <c r="L181" s="5"/>
      <c r="M181" s="5"/>
      <c r="N181" s="5"/>
      <c r="O181" s="5"/>
      <c r="P181" s="5"/>
      <c r="Q181" s="5"/>
      <c r="R181" s="5"/>
      <c r="S181" s="5"/>
      <c r="T181" s="5"/>
      <c r="U181" s="5"/>
      <c r="V181" s="5"/>
      <c r="W181" s="5"/>
    </row>
    <row r="182" ht="14.25" customHeight="1">
      <c r="G182" s="5"/>
      <c r="H182" s="5"/>
      <c r="I182" s="5"/>
      <c r="J182" s="5"/>
      <c r="K182" s="5"/>
      <c r="L182" s="5"/>
      <c r="M182" s="5"/>
      <c r="N182" s="5"/>
      <c r="O182" s="5"/>
      <c r="P182" s="5"/>
      <c r="Q182" s="5"/>
      <c r="R182" s="5"/>
      <c r="S182" s="5"/>
      <c r="T182" s="5"/>
      <c r="U182" s="5"/>
      <c r="V182" s="5"/>
      <c r="W182" s="5"/>
    </row>
    <row r="183" ht="14.25" customHeight="1">
      <c r="G183" s="5"/>
      <c r="H183" s="5"/>
      <c r="I183" s="5"/>
      <c r="J183" s="5"/>
      <c r="K183" s="5"/>
      <c r="L183" s="5"/>
      <c r="M183" s="5"/>
      <c r="N183" s="5"/>
      <c r="O183" s="5"/>
      <c r="P183" s="5"/>
      <c r="Q183" s="5"/>
      <c r="R183" s="5"/>
      <c r="S183" s="5"/>
      <c r="T183" s="5"/>
      <c r="U183" s="5"/>
      <c r="V183" s="5"/>
      <c r="W183" s="5"/>
    </row>
    <row r="184" ht="14.25" customHeight="1">
      <c r="G184" s="5"/>
      <c r="H184" s="5"/>
      <c r="I184" s="5"/>
      <c r="J184" s="5"/>
      <c r="K184" s="5"/>
      <c r="L184" s="5"/>
      <c r="M184" s="5"/>
      <c r="N184" s="5"/>
      <c r="O184" s="5"/>
      <c r="P184" s="5"/>
      <c r="Q184" s="5"/>
      <c r="R184" s="5"/>
      <c r="S184" s="5"/>
      <c r="T184" s="5"/>
      <c r="U184" s="5"/>
      <c r="V184" s="5"/>
      <c r="W184" s="5"/>
    </row>
    <row r="185" ht="14.25" customHeight="1">
      <c r="G185" s="5"/>
      <c r="H185" s="5"/>
      <c r="I185" s="5"/>
      <c r="J185" s="5"/>
      <c r="K185" s="5"/>
      <c r="L185" s="5"/>
      <c r="M185" s="5"/>
      <c r="N185" s="5"/>
      <c r="O185" s="5"/>
      <c r="P185" s="5"/>
      <c r="Q185" s="5"/>
      <c r="R185" s="5"/>
      <c r="S185" s="5"/>
      <c r="T185" s="5"/>
      <c r="U185" s="5"/>
      <c r="V185" s="5"/>
      <c r="W185" s="5"/>
    </row>
    <row r="186" ht="14.25" customHeight="1">
      <c r="G186" s="5"/>
      <c r="H186" s="5"/>
      <c r="I186" s="5"/>
      <c r="J186" s="5"/>
      <c r="K186" s="5"/>
      <c r="L186" s="5"/>
      <c r="M186" s="5"/>
      <c r="N186" s="5"/>
      <c r="O186" s="5"/>
      <c r="P186" s="5"/>
      <c r="Q186" s="5"/>
      <c r="R186" s="5"/>
      <c r="S186" s="5"/>
      <c r="T186" s="5"/>
      <c r="U186" s="5"/>
      <c r="V186" s="5"/>
      <c r="W186" s="5"/>
    </row>
    <row r="187" ht="14.25" customHeight="1">
      <c r="G187" s="5"/>
      <c r="H187" s="5"/>
      <c r="I187" s="5"/>
      <c r="J187" s="5"/>
      <c r="K187" s="5"/>
      <c r="L187" s="5"/>
      <c r="M187" s="5"/>
      <c r="N187" s="5"/>
      <c r="O187" s="5"/>
      <c r="P187" s="5"/>
      <c r="Q187" s="5"/>
      <c r="R187" s="5"/>
      <c r="S187" s="5"/>
      <c r="T187" s="5"/>
      <c r="U187" s="5"/>
      <c r="V187" s="5"/>
      <c r="W187" s="5"/>
    </row>
    <row r="188" ht="14.25" customHeight="1">
      <c r="G188" s="5"/>
      <c r="H188" s="5"/>
      <c r="I188" s="5"/>
      <c r="J188" s="5"/>
      <c r="K188" s="5"/>
      <c r="L188" s="5"/>
      <c r="M188" s="5"/>
      <c r="N188" s="5"/>
      <c r="O188" s="5"/>
      <c r="P188" s="5"/>
      <c r="Q188" s="5"/>
      <c r="R188" s="5"/>
      <c r="S188" s="5"/>
      <c r="T188" s="5"/>
      <c r="U188" s="5"/>
      <c r="V188" s="5"/>
      <c r="W188" s="5"/>
    </row>
    <row r="189" ht="14.25" customHeight="1">
      <c r="G189" s="5"/>
      <c r="H189" s="5"/>
      <c r="I189" s="5"/>
      <c r="J189" s="5"/>
      <c r="K189" s="5"/>
      <c r="L189" s="5"/>
      <c r="M189" s="5"/>
      <c r="N189" s="5"/>
      <c r="O189" s="5"/>
      <c r="P189" s="5"/>
      <c r="Q189" s="5"/>
      <c r="R189" s="5"/>
      <c r="S189" s="5"/>
      <c r="T189" s="5"/>
      <c r="U189" s="5"/>
      <c r="V189" s="5"/>
      <c r="W189" s="5"/>
    </row>
    <row r="190" ht="14.25" customHeight="1">
      <c r="G190" s="5"/>
      <c r="H190" s="5"/>
      <c r="I190" s="5"/>
      <c r="J190" s="5"/>
      <c r="K190" s="5"/>
      <c r="L190" s="5"/>
      <c r="M190" s="5"/>
      <c r="N190" s="5"/>
      <c r="O190" s="5"/>
      <c r="P190" s="5"/>
      <c r="Q190" s="5"/>
      <c r="R190" s="5"/>
      <c r="S190" s="5"/>
      <c r="T190" s="5"/>
      <c r="U190" s="5"/>
      <c r="V190" s="5"/>
      <c r="W190" s="5"/>
    </row>
    <row r="191" ht="14.25" customHeight="1">
      <c r="G191" s="5"/>
      <c r="H191" s="5"/>
      <c r="I191" s="5"/>
      <c r="J191" s="5"/>
      <c r="K191" s="5"/>
      <c r="L191" s="5"/>
      <c r="M191" s="5"/>
      <c r="N191" s="5"/>
      <c r="O191" s="5"/>
      <c r="P191" s="5"/>
      <c r="Q191" s="5"/>
      <c r="R191" s="5"/>
      <c r="S191" s="5"/>
      <c r="T191" s="5"/>
      <c r="U191" s="5"/>
      <c r="V191" s="5"/>
      <c r="W191" s="5"/>
    </row>
    <row r="192" ht="14.25" customHeight="1">
      <c r="G192" s="5"/>
      <c r="H192" s="5"/>
      <c r="I192" s="5"/>
      <c r="J192" s="5"/>
      <c r="K192" s="5"/>
      <c r="L192" s="5"/>
      <c r="M192" s="5"/>
      <c r="N192" s="5"/>
      <c r="O192" s="5"/>
      <c r="P192" s="5"/>
      <c r="Q192" s="5"/>
      <c r="R192" s="5"/>
      <c r="S192" s="5"/>
      <c r="T192" s="5"/>
      <c r="U192" s="5"/>
      <c r="V192" s="5"/>
      <c r="W192" s="5"/>
    </row>
    <row r="193" ht="14.25" customHeight="1">
      <c r="G193" s="5"/>
      <c r="H193" s="5"/>
      <c r="I193" s="5"/>
      <c r="J193" s="5"/>
      <c r="K193" s="5"/>
      <c r="L193" s="5"/>
      <c r="M193" s="5"/>
      <c r="N193" s="5"/>
      <c r="O193" s="5"/>
      <c r="P193" s="5"/>
      <c r="Q193" s="5"/>
      <c r="R193" s="5"/>
      <c r="S193" s="5"/>
      <c r="T193" s="5"/>
      <c r="U193" s="5"/>
      <c r="V193" s="5"/>
      <c r="W193" s="5"/>
    </row>
    <row r="194" ht="14.25" customHeight="1">
      <c r="G194" s="5"/>
      <c r="H194" s="5"/>
      <c r="I194" s="5"/>
      <c r="J194" s="5"/>
      <c r="K194" s="5"/>
      <c r="L194" s="5"/>
      <c r="M194" s="5"/>
      <c r="N194" s="5"/>
      <c r="O194" s="5"/>
      <c r="P194" s="5"/>
      <c r="Q194" s="5"/>
      <c r="R194" s="5"/>
      <c r="S194" s="5"/>
      <c r="T194" s="5"/>
      <c r="U194" s="5"/>
      <c r="V194" s="5"/>
      <c r="W194" s="5"/>
    </row>
    <row r="195" ht="14.25" customHeight="1">
      <c r="G195" s="5"/>
      <c r="H195" s="5"/>
      <c r="I195" s="5"/>
      <c r="J195" s="5"/>
      <c r="K195" s="5"/>
      <c r="L195" s="5"/>
      <c r="M195" s="5"/>
      <c r="N195" s="5"/>
      <c r="O195" s="5"/>
      <c r="P195" s="5"/>
      <c r="Q195" s="5"/>
      <c r="R195" s="5"/>
      <c r="S195" s="5"/>
      <c r="T195" s="5"/>
      <c r="U195" s="5"/>
      <c r="V195" s="5"/>
      <c r="W195" s="5"/>
    </row>
    <row r="196" ht="14.25" customHeight="1">
      <c r="G196" s="5"/>
      <c r="H196" s="5"/>
      <c r="I196" s="5"/>
      <c r="J196" s="5"/>
      <c r="K196" s="5"/>
      <c r="L196" s="5"/>
      <c r="M196" s="5"/>
      <c r="N196" s="5"/>
      <c r="O196" s="5"/>
      <c r="P196" s="5"/>
      <c r="Q196" s="5"/>
      <c r="R196" s="5"/>
      <c r="S196" s="5"/>
      <c r="T196" s="5"/>
      <c r="U196" s="5"/>
      <c r="V196" s="5"/>
      <c r="W196" s="5"/>
    </row>
    <row r="197" ht="14.25" customHeight="1">
      <c r="G197" s="5"/>
      <c r="H197" s="5"/>
      <c r="I197" s="5"/>
      <c r="J197" s="5"/>
      <c r="K197" s="5"/>
      <c r="L197" s="5"/>
      <c r="M197" s="5"/>
      <c r="N197" s="5"/>
      <c r="O197" s="5"/>
      <c r="P197" s="5"/>
      <c r="Q197" s="5"/>
      <c r="R197" s="5"/>
      <c r="S197" s="5"/>
      <c r="T197" s="5"/>
      <c r="U197" s="5"/>
      <c r="V197" s="5"/>
      <c r="W197" s="5"/>
    </row>
    <row r="198" ht="14.25" customHeight="1">
      <c r="G198" s="5"/>
      <c r="H198" s="5"/>
      <c r="I198" s="5"/>
      <c r="J198" s="5"/>
      <c r="K198" s="5"/>
      <c r="L198" s="5"/>
      <c r="M198" s="5"/>
      <c r="N198" s="5"/>
      <c r="O198" s="5"/>
      <c r="P198" s="5"/>
      <c r="Q198" s="5"/>
      <c r="R198" s="5"/>
      <c r="S198" s="5"/>
      <c r="T198" s="5"/>
      <c r="U198" s="5"/>
      <c r="V198" s="5"/>
      <c r="W198" s="5"/>
    </row>
    <row r="199" ht="14.25" customHeight="1">
      <c r="G199" s="5"/>
      <c r="H199" s="5"/>
      <c r="I199" s="5"/>
      <c r="J199" s="5"/>
      <c r="K199" s="5"/>
      <c r="L199" s="5"/>
      <c r="M199" s="5"/>
      <c r="N199" s="5"/>
      <c r="O199" s="5"/>
      <c r="P199" s="5"/>
      <c r="Q199" s="5"/>
      <c r="R199" s="5"/>
      <c r="S199" s="5"/>
      <c r="T199" s="5"/>
      <c r="U199" s="5"/>
      <c r="V199" s="5"/>
      <c r="W199" s="5"/>
    </row>
    <row r="200" ht="14.25" customHeight="1">
      <c r="G200" s="5"/>
      <c r="H200" s="5"/>
      <c r="I200" s="5"/>
      <c r="J200" s="5"/>
      <c r="K200" s="5"/>
      <c r="L200" s="5"/>
      <c r="M200" s="5"/>
      <c r="N200" s="5"/>
      <c r="O200" s="5"/>
      <c r="P200" s="5"/>
      <c r="Q200" s="5"/>
      <c r="R200" s="5"/>
      <c r="S200" s="5"/>
      <c r="T200" s="5"/>
      <c r="U200" s="5"/>
      <c r="V200" s="5"/>
      <c r="W200" s="5"/>
    </row>
    <row r="201" ht="14.25" customHeight="1">
      <c r="G201" s="5"/>
      <c r="H201" s="5"/>
      <c r="I201" s="5"/>
      <c r="J201" s="5"/>
      <c r="K201" s="5"/>
      <c r="L201" s="5"/>
      <c r="M201" s="5"/>
      <c r="N201" s="5"/>
      <c r="O201" s="5"/>
      <c r="P201" s="5"/>
      <c r="Q201" s="5"/>
      <c r="R201" s="5"/>
      <c r="S201" s="5"/>
      <c r="T201" s="5"/>
      <c r="U201" s="5"/>
      <c r="V201" s="5"/>
      <c r="W201" s="5"/>
    </row>
    <row r="202" ht="14.25" customHeight="1">
      <c r="G202" s="5"/>
      <c r="H202" s="5"/>
      <c r="I202" s="5"/>
      <c r="J202" s="5"/>
      <c r="K202" s="5"/>
      <c r="L202" s="5"/>
      <c r="M202" s="5"/>
      <c r="N202" s="5"/>
      <c r="O202" s="5"/>
      <c r="P202" s="5"/>
      <c r="Q202" s="5"/>
      <c r="R202" s="5"/>
      <c r="S202" s="5"/>
      <c r="T202" s="5"/>
      <c r="U202" s="5"/>
      <c r="V202" s="5"/>
      <c r="W202" s="5"/>
    </row>
    <row r="203" ht="14.25" customHeight="1">
      <c r="G203" s="5"/>
      <c r="H203" s="5"/>
      <c r="I203" s="5"/>
      <c r="J203" s="5"/>
      <c r="K203" s="5"/>
      <c r="L203" s="5"/>
      <c r="M203" s="5"/>
      <c r="N203" s="5"/>
      <c r="O203" s="5"/>
      <c r="P203" s="5"/>
      <c r="Q203" s="5"/>
      <c r="R203" s="5"/>
      <c r="S203" s="5"/>
      <c r="T203" s="5"/>
      <c r="U203" s="5"/>
      <c r="V203" s="5"/>
      <c r="W203" s="5"/>
    </row>
    <row r="204" ht="14.25" customHeight="1">
      <c r="G204" s="5"/>
      <c r="H204" s="5"/>
      <c r="I204" s="5"/>
      <c r="J204" s="5"/>
      <c r="K204" s="5"/>
      <c r="L204" s="5"/>
      <c r="M204" s="5"/>
      <c r="N204" s="5"/>
      <c r="O204" s="5"/>
      <c r="P204" s="5"/>
      <c r="Q204" s="5"/>
      <c r="R204" s="5"/>
      <c r="S204" s="5"/>
      <c r="T204" s="5"/>
      <c r="U204" s="5"/>
      <c r="V204" s="5"/>
      <c r="W204" s="5"/>
    </row>
    <row r="205" ht="14.25" customHeight="1">
      <c r="G205" s="5"/>
      <c r="H205" s="5"/>
      <c r="I205" s="5"/>
      <c r="J205" s="5"/>
      <c r="K205" s="5"/>
      <c r="L205" s="5"/>
      <c r="M205" s="5"/>
      <c r="N205" s="5"/>
      <c r="O205" s="5"/>
      <c r="P205" s="5"/>
      <c r="Q205" s="5"/>
      <c r="R205" s="5"/>
      <c r="S205" s="5"/>
      <c r="T205" s="5"/>
      <c r="U205" s="5"/>
      <c r="V205" s="5"/>
      <c r="W205" s="5"/>
    </row>
    <row r="206" ht="14.25" customHeight="1">
      <c r="G206" s="5"/>
      <c r="H206" s="5"/>
      <c r="I206" s="5"/>
      <c r="J206" s="5"/>
      <c r="K206" s="5"/>
      <c r="L206" s="5"/>
      <c r="M206" s="5"/>
      <c r="N206" s="5"/>
      <c r="O206" s="5"/>
      <c r="P206" s="5"/>
      <c r="Q206" s="5"/>
      <c r="R206" s="5"/>
      <c r="S206" s="5"/>
      <c r="T206" s="5"/>
      <c r="U206" s="5"/>
      <c r="V206" s="5"/>
      <c r="W206" s="5"/>
    </row>
    <row r="207" ht="14.25" customHeight="1">
      <c r="G207" s="5"/>
      <c r="H207" s="5"/>
      <c r="I207" s="5"/>
      <c r="J207" s="5"/>
      <c r="K207" s="5"/>
      <c r="L207" s="5"/>
      <c r="M207" s="5"/>
      <c r="N207" s="5"/>
      <c r="O207" s="5"/>
      <c r="P207" s="5"/>
      <c r="Q207" s="5"/>
      <c r="R207" s="5"/>
      <c r="S207" s="5"/>
      <c r="T207" s="5"/>
      <c r="U207" s="5"/>
      <c r="V207" s="5"/>
      <c r="W207" s="5"/>
    </row>
    <row r="208" ht="14.25" customHeight="1">
      <c r="G208" s="5"/>
      <c r="H208" s="5"/>
      <c r="I208" s="5"/>
      <c r="J208" s="5"/>
      <c r="K208" s="5"/>
      <c r="L208" s="5"/>
      <c r="M208" s="5"/>
      <c r="N208" s="5"/>
      <c r="O208" s="5"/>
      <c r="P208" s="5"/>
      <c r="Q208" s="5"/>
      <c r="R208" s="5"/>
      <c r="S208" s="5"/>
      <c r="T208" s="5"/>
      <c r="U208" s="5"/>
      <c r="V208" s="5"/>
      <c r="W208" s="5"/>
    </row>
    <row r="209" ht="14.25" customHeight="1">
      <c r="G209" s="5"/>
      <c r="H209" s="5"/>
      <c r="I209" s="5"/>
      <c r="J209" s="5"/>
      <c r="K209" s="5"/>
      <c r="L209" s="5"/>
      <c r="M209" s="5"/>
      <c r="N209" s="5"/>
      <c r="O209" s="5"/>
      <c r="P209" s="5"/>
      <c r="Q209" s="5"/>
      <c r="R209" s="5"/>
      <c r="S209" s="5"/>
      <c r="T209" s="5"/>
      <c r="U209" s="5"/>
      <c r="V209" s="5"/>
      <c r="W209" s="5"/>
    </row>
    <row r="210" ht="14.25" customHeight="1">
      <c r="G210" s="5"/>
      <c r="H210" s="5"/>
      <c r="I210" s="5"/>
      <c r="J210" s="5"/>
      <c r="K210" s="5"/>
      <c r="L210" s="5"/>
      <c r="M210" s="5"/>
      <c r="N210" s="5"/>
      <c r="O210" s="5"/>
      <c r="P210" s="5"/>
      <c r="Q210" s="5"/>
      <c r="R210" s="5"/>
      <c r="S210" s="5"/>
      <c r="T210" s="5"/>
      <c r="U210" s="5"/>
      <c r="V210" s="5"/>
      <c r="W210" s="5"/>
    </row>
    <row r="211" ht="14.25" customHeight="1">
      <c r="G211" s="5"/>
      <c r="H211" s="5"/>
      <c r="I211" s="5"/>
      <c r="J211" s="5"/>
      <c r="K211" s="5"/>
      <c r="L211" s="5"/>
      <c r="M211" s="5"/>
      <c r="N211" s="5"/>
      <c r="O211" s="5"/>
      <c r="P211" s="5"/>
      <c r="Q211" s="5"/>
      <c r="R211" s="5"/>
      <c r="S211" s="5"/>
      <c r="T211" s="5"/>
      <c r="U211" s="5"/>
      <c r="V211" s="5"/>
      <c r="W211" s="5"/>
    </row>
    <row r="212" ht="14.25" customHeight="1">
      <c r="G212" s="5"/>
      <c r="H212" s="5"/>
      <c r="I212" s="5"/>
      <c r="J212" s="5"/>
      <c r="K212" s="5"/>
      <c r="L212" s="5"/>
      <c r="M212" s="5"/>
      <c r="N212" s="5"/>
      <c r="O212" s="5"/>
      <c r="P212" s="5"/>
      <c r="Q212" s="5"/>
      <c r="R212" s="5"/>
      <c r="S212" s="5"/>
      <c r="T212" s="5"/>
      <c r="U212" s="5"/>
      <c r="V212" s="5"/>
      <c r="W212" s="5"/>
    </row>
    <row r="213" ht="14.25" customHeight="1">
      <c r="G213" s="5"/>
      <c r="H213" s="5"/>
      <c r="I213" s="5"/>
      <c r="J213" s="5"/>
      <c r="K213" s="5"/>
      <c r="L213" s="5"/>
      <c r="M213" s="5"/>
      <c r="N213" s="5"/>
      <c r="O213" s="5"/>
      <c r="P213" s="5"/>
      <c r="Q213" s="5"/>
      <c r="R213" s="5"/>
      <c r="S213" s="5"/>
      <c r="T213" s="5"/>
      <c r="U213" s="5"/>
      <c r="V213" s="5"/>
      <c r="W213" s="5"/>
    </row>
    <row r="214" ht="14.25" customHeight="1">
      <c r="G214" s="5"/>
      <c r="H214" s="5"/>
      <c r="I214" s="5"/>
      <c r="J214" s="5"/>
      <c r="K214" s="5"/>
      <c r="L214" s="5"/>
      <c r="M214" s="5"/>
      <c r="N214" s="5"/>
      <c r="O214" s="5"/>
      <c r="P214" s="5"/>
      <c r="Q214" s="5"/>
      <c r="R214" s="5"/>
      <c r="S214" s="5"/>
      <c r="T214" s="5"/>
      <c r="U214" s="5"/>
      <c r="V214" s="5"/>
      <c r="W214" s="5"/>
    </row>
    <row r="215" ht="14.25" customHeight="1">
      <c r="G215" s="5"/>
      <c r="H215" s="5"/>
      <c r="I215" s="5"/>
      <c r="J215" s="5"/>
      <c r="K215" s="5"/>
      <c r="L215" s="5"/>
      <c r="M215" s="5"/>
      <c r="N215" s="5"/>
      <c r="O215" s="5"/>
      <c r="P215" s="5"/>
      <c r="Q215" s="5"/>
      <c r="R215" s="5"/>
      <c r="S215" s="5"/>
      <c r="T215" s="5"/>
      <c r="U215" s="5"/>
      <c r="V215" s="5"/>
      <c r="W215" s="5"/>
    </row>
    <row r="216" ht="14.25" customHeight="1">
      <c r="G216" s="5"/>
      <c r="H216" s="5"/>
      <c r="I216" s="5"/>
      <c r="J216" s="5"/>
      <c r="K216" s="5"/>
      <c r="L216" s="5"/>
      <c r="M216" s="5"/>
      <c r="N216" s="5"/>
      <c r="O216" s="5"/>
      <c r="P216" s="5"/>
      <c r="Q216" s="5"/>
      <c r="R216" s="5"/>
      <c r="S216" s="5"/>
      <c r="T216" s="5"/>
      <c r="U216" s="5"/>
      <c r="V216" s="5"/>
      <c r="W216" s="5"/>
    </row>
    <row r="217" ht="14.25" customHeight="1">
      <c r="G217" s="5"/>
      <c r="H217" s="5"/>
      <c r="I217" s="5"/>
      <c r="J217" s="5"/>
      <c r="K217" s="5"/>
      <c r="L217" s="5"/>
      <c r="M217" s="5"/>
      <c r="N217" s="5"/>
      <c r="O217" s="5"/>
      <c r="P217" s="5"/>
      <c r="Q217" s="5"/>
      <c r="R217" s="5"/>
      <c r="S217" s="5"/>
      <c r="T217" s="5"/>
      <c r="U217" s="5"/>
      <c r="V217" s="5"/>
      <c r="W217" s="5"/>
    </row>
    <row r="218" ht="14.25" customHeight="1">
      <c r="G218" s="5"/>
      <c r="H218" s="5"/>
      <c r="I218" s="5"/>
      <c r="J218" s="5"/>
      <c r="K218" s="5"/>
      <c r="L218" s="5"/>
      <c r="M218" s="5"/>
      <c r="N218" s="5"/>
      <c r="O218" s="5"/>
      <c r="P218" s="5"/>
      <c r="Q218" s="5"/>
      <c r="R218" s="5"/>
      <c r="S218" s="5"/>
      <c r="T218" s="5"/>
      <c r="U218" s="5"/>
      <c r="V218" s="5"/>
      <c r="W218" s="5"/>
    </row>
    <row r="219" ht="14.25" customHeight="1">
      <c r="G219" s="5"/>
      <c r="H219" s="5"/>
      <c r="I219" s="5"/>
      <c r="J219" s="5"/>
      <c r="K219" s="5"/>
      <c r="L219" s="5"/>
      <c r="M219" s="5"/>
      <c r="N219" s="5"/>
      <c r="O219" s="5"/>
      <c r="P219" s="5"/>
      <c r="Q219" s="5"/>
      <c r="R219" s="5"/>
      <c r="S219" s="5"/>
      <c r="T219" s="5"/>
      <c r="U219" s="5"/>
      <c r="V219" s="5"/>
      <c r="W219" s="5"/>
    </row>
    <row r="220" ht="14.25" customHeight="1">
      <c r="G220" s="5"/>
      <c r="H220" s="5"/>
      <c r="I220" s="5"/>
      <c r="J220" s="5"/>
      <c r="K220" s="5"/>
      <c r="L220" s="5"/>
      <c r="M220" s="5"/>
      <c r="N220" s="5"/>
      <c r="O220" s="5"/>
      <c r="P220" s="5"/>
      <c r="Q220" s="5"/>
      <c r="R220" s="5"/>
      <c r="S220" s="5"/>
      <c r="T220" s="5"/>
      <c r="U220" s="5"/>
      <c r="V220" s="5"/>
      <c r="W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3:A5"/>
    <mergeCell ref="B3:B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57"/>
    <col customWidth="1" min="2" max="2" width="19.57"/>
    <col customWidth="1" min="3" max="3" width="12.29"/>
    <col customWidth="1" min="4" max="4" width="13.29"/>
    <col customWidth="1" min="5" max="5" width="16.29"/>
    <col customWidth="1" min="6" max="6" width="17.43"/>
    <col customWidth="1" min="7" max="7" width="14.57"/>
    <col customWidth="1" min="8" max="8" width="13.71"/>
    <col customWidth="1" min="9" max="9" width="15.43"/>
    <col customWidth="1" min="10" max="10" width="11.43"/>
    <col customWidth="1" min="11" max="11" width="14.43"/>
    <col customWidth="1" min="12" max="12" width="44.29"/>
    <col customWidth="1" min="13" max="27" width="11.43"/>
  </cols>
  <sheetData>
    <row r="1" ht="14.25" customHeight="1">
      <c r="A1" s="16" t="s">
        <v>8</v>
      </c>
      <c r="B1" s="17"/>
      <c r="C1" s="17"/>
      <c r="D1" s="17"/>
      <c r="E1" s="18"/>
      <c r="F1" s="19"/>
      <c r="G1" s="20" t="s">
        <v>9</v>
      </c>
      <c r="H1" s="21"/>
      <c r="I1" s="21"/>
      <c r="J1" s="21"/>
      <c r="K1" s="21"/>
      <c r="L1" s="22"/>
      <c r="M1" s="23"/>
      <c r="N1" s="23"/>
      <c r="O1" s="23"/>
      <c r="P1" s="23"/>
      <c r="Q1" s="23"/>
      <c r="R1" s="23"/>
      <c r="S1" s="23"/>
      <c r="T1" s="23"/>
      <c r="U1" s="23"/>
      <c r="V1" s="23"/>
      <c r="W1" s="23"/>
      <c r="X1" s="19"/>
      <c r="Y1" s="19"/>
      <c r="Z1" s="19"/>
      <c r="AA1" s="19"/>
    </row>
    <row r="2" ht="14.25" customHeight="1">
      <c r="A2" s="24" t="s">
        <v>10</v>
      </c>
      <c r="B2" s="25" t="s">
        <v>11</v>
      </c>
      <c r="C2" s="26" t="s">
        <v>12</v>
      </c>
      <c r="D2" s="26" t="s">
        <v>13</v>
      </c>
      <c r="E2" s="27" t="s">
        <v>14</v>
      </c>
      <c r="F2" s="23"/>
      <c r="G2" s="28" t="s">
        <v>15</v>
      </c>
      <c r="H2" s="28" t="s">
        <v>16</v>
      </c>
      <c r="I2" s="28" t="s">
        <v>17</v>
      </c>
      <c r="J2" s="28" t="s">
        <v>18</v>
      </c>
      <c r="K2" s="28" t="s">
        <v>19</v>
      </c>
      <c r="L2" s="28" t="s">
        <v>20</v>
      </c>
      <c r="M2" s="23"/>
      <c r="N2" s="23"/>
      <c r="O2" s="23"/>
      <c r="P2" s="23"/>
      <c r="Q2" s="23"/>
      <c r="R2" s="23"/>
      <c r="S2" s="23"/>
      <c r="T2" s="23"/>
      <c r="U2" s="23"/>
      <c r="V2" s="23"/>
      <c r="W2" s="23"/>
      <c r="X2" s="19"/>
      <c r="Y2" s="19"/>
      <c r="Z2" s="19"/>
      <c r="AA2" s="19"/>
    </row>
    <row r="3" ht="14.25" customHeight="1">
      <c r="A3" s="29" t="s">
        <v>21</v>
      </c>
      <c r="B3" s="30">
        <v>1850.0</v>
      </c>
      <c r="C3" s="31">
        <f>('Aggregated EOQ'!C4+'Aggregated EOQ'!O4+'Aggregated EOQ'!AA4+'Aggregated EOQ'!AY4+'Aggregated EOQ'!BK4+'Aggregated EOQ'!BW4+'Aggregated EOQ'!CI4+'Aggregated EOQ'!CU4+'Aggregated EOQ'!DG4+'Aggregated EOQ'!DS4+'Aggregated EOQ'!EE4)</f>
        <v>4681628.759</v>
      </c>
      <c r="D3" s="32">
        <f t="shared" ref="D3:D10" si="1">C3/52</f>
        <v>90031.3223</v>
      </c>
      <c r="E3" s="33">
        <f t="shared" ref="E3:E10" si="2">D3*B3</f>
        <v>166557946.3</v>
      </c>
      <c r="F3" s="23"/>
      <c r="G3" s="28" t="s">
        <v>22</v>
      </c>
      <c r="H3" s="34">
        <v>95.0</v>
      </c>
      <c r="I3" s="34">
        <v>22.0</v>
      </c>
      <c r="J3" s="35">
        <v>5.0</v>
      </c>
      <c r="K3" s="35">
        <v>521950.0</v>
      </c>
      <c r="L3" s="35">
        <v>9.06136517E8</v>
      </c>
      <c r="M3" s="23"/>
      <c r="N3" s="23"/>
      <c r="O3" s="23"/>
      <c r="P3" s="23"/>
      <c r="Q3" s="23"/>
      <c r="R3" s="23"/>
      <c r="S3" s="23"/>
      <c r="T3" s="23"/>
      <c r="U3" s="23"/>
      <c r="V3" s="23"/>
      <c r="W3" s="23"/>
      <c r="X3" s="19"/>
      <c r="Y3" s="19"/>
      <c r="Z3" s="19"/>
      <c r="AA3" s="19"/>
    </row>
    <row r="4" ht="14.25" customHeight="1">
      <c r="A4" s="36" t="s">
        <v>23</v>
      </c>
      <c r="B4" s="30">
        <v>1490.0</v>
      </c>
      <c r="C4" s="31">
        <f>('Aggregated EOQ'!C5+'Aggregated EOQ'!O5+'Aggregated EOQ'!AA5+'Aggregated EOQ'!AY5+'Aggregated EOQ'!BK5+'Aggregated EOQ'!BW5+'Aggregated EOQ'!CI5+'Aggregated EOQ'!CU5+'Aggregated EOQ'!DG5+'Aggregated EOQ'!DS5+'Aggregated EOQ'!EE5)</f>
        <v>3042251.904</v>
      </c>
      <c r="D4" s="32">
        <f t="shared" si="1"/>
        <v>58504.84431</v>
      </c>
      <c r="E4" s="33">
        <f t="shared" si="2"/>
        <v>87172218.03</v>
      </c>
      <c r="F4" s="23"/>
      <c r="G4" s="28" t="s">
        <v>24</v>
      </c>
      <c r="H4" s="34">
        <v>95.0</v>
      </c>
      <c r="I4" s="34">
        <v>75.0</v>
      </c>
      <c r="J4" s="35">
        <v>5.0</v>
      </c>
      <c r="K4" s="35">
        <v>1779375.0</v>
      </c>
      <c r="L4" s="35">
        <v>3.0891017625E9</v>
      </c>
      <c r="M4" s="23"/>
      <c r="N4" s="23"/>
      <c r="O4" s="23"/>
      <c r="P4" s="23"/>
      <c r="Q4" s="23"/>
      <c r="R4" s="23"/>
      <c r="S4" s="23"/>
      <c r="T4" s="23"/>
      <c r="U4" s="23"/>
      <c r="V4" s="23"/>
      <c r="W4" s="23"/>
      <c r="X4" s="19"/>
      <c r="Y4" s="19"/>
      <c r="Z4" s="19"/>
      <c r="AA4" s="19"/>
    </row>
    <row r="5" ht="14.25" customHeight="1">
      <c r="A5" s="36" t="s">
        <v>25</v>
      </c>
      <c r="B5" s="37">
        <v>5990.0</v>
      </c>
      <c r="C5" s="31">
        <f>('Aggregated EOQ'!C6+'Aggregated EOQ'!O6+'Aggregated EOQ'!AA6+'Aggregated EOQ'!AY6+'Aggregated EOQ'!BK6+'Aggregated EOQ'!BW6+'Aggregated EOQ'!CI6+'Aggregated EOQ'!CU6+'Aggregated EOQ'!DG6+'Aggregated EOQ'!DS6+'Aggregated EOQ'!EE6)</f>
        <v>422384.1626</v>
      </c>
      <c r="D5" s="32">
        <f t="shared" si="1"/>
        <v>8122.772357</v>
      </c>
      <c r="E5" s="33">
        <f t="shared" si="2"/>
        <v>48655406.42</v>
      </c>
      <c r="F5" s="23"/>
      <c r="G5" s="28" t="s">
        <v>26</v>
      </c>
      <c r="H5" s="34">
        <v>95.0</v>
      </c>
      <c r="I5" s="34">
        <v>46.0</v>
      </c>
      <c r="J5" s="35">
        <v>5.0</v>
      </c>
      <c r="K5" s="35">
        <v>1091350.0</v>
      </c>
      <c r="L5" s="35">
        <v>1.894649081E9</v>
      </c>
      <c r="M5" s="23"/>
      <c r="N5" s="23"/>
      <c r="O5" s="23"/>
      <c r="P5" s="23"/>
      <c r="Q5" s="23"/>
      <c r="R5" s="23"/>
      <c r="S5" s="23"/>
      <c r="T5" s="23"/>
      <c r="U5" s="23"/>
      <c r="V5" s="23"/>
      <c r="W5" s="23"/>
      <c r="X5" s="19"/>
      <c r="Y5" s="19"/>
      <c r="Z5" s="19"/>
      <c r="AA5" s="19"/>
    </row>
    <row r="6" ht="14.25" customHeight="1">
      <c r="A6" s="36" t="s">
        <v>27</v>
      </c>
      <c r="B6" s="37">
        <v>1146.0</v>
      </c>
      <c r="C6" s="31">
        <f>('Aggregated EOQ'!C7+'Aggregated EOQ'!O7+'Aggregated EOQ'!AA7+'Aggregated EOQ'!AY7+'Aggregated EOQ'!BK7+'Aggregated EOQ'!BW7+'Aggregated EOQ'!CI7+'Aggregated EOQ'!CU7+'Aggregated EOQ'!DG7+'Aggregated EOQ'!DS7+'Aggregated EOQ'!EE7)</f>
        <v>1115581.423</v>
      </c>
      <c r="D6" s="32">
        <f t="shared" si="1"/>
        <v>21453.4889</v>
      </c>
      <c r="E6" s="33">
        <f t="shared" si="2"/>
        <v>24585698.28</v>
      </c>
      <c r="F6" s="23"/>
      <c r="G6" s="28" t="s">
        <v>28</v>
      </c>
      <c r="H6" s="34">
        <v>95.0</v>
      </c>
      <c r="I6" s="34">
        <v>23.0</v>
      </c>
      <c r="J6" s="35">
        <v>5.0</v>
      </c>
      <c r="K6" s="35">
        <v>545675.0</v>
      </c>
      <c r="L6" s="35">
        <v>9.473245405E8</v>
      </c>
      <c r="M6" s="23"/>
      <c r="N6" s="23"/>
      <c r="O6" s="23"/>
      <c r="P6" s="23"/>
      <c r="Q6" s="23"/>
      <c r="R6" s="23"/>
      <c r="S6" s="23"/>
      <c r="T6" s="23"/>
      <c r="U6" s="23"/>
      <c r="V6" s="23"/>
      <c r="W6" s="23"/>
      <c r="X6" s="19"/>
      <c r="Y6" s="19"/>
      <c r="Z6" s="19"/>
      <c r="AA6" s="19"/>
    </row>
    <row r="7" ht="14.25" customHeight="1">
      <c r="A7" s="36" t="s">
        <v>29</v>
      </c>
      <c r="B7" s="30">
        <v>1290.0</v>
      </c>
      <c r="C7" s="31">
        <f>('Aggregated EOQ'!C8+'Aggregated EOQ'!O8+'Aggregated EOQ'!AA8+'Aggregated EOQ'!AY8+'Aggregated EOQ'!BK8+'Aggregated EOQ'!BW8+'Aggregated EOQ'!CI8+'Aggregated EOQ'!CU8+'Aggregated EOQ'!DG8+'Aggregated EOQ'!DS8+'Aggregated EOQ'!EE8)</f>
        <v>674475.9165</v>
      </c>
      <c r="D7" s="32">
        <f t="shared" si="1"/>
        <v>12970.6907</v>
      </c>
      <c r="E7" s="33">
        <f t="shared" si="2"/>
        <v>16732191</v>
      </c>
      <c r="F7" s="23"/>
      <c r="G7" s="28" t="s">
        <v>30</v>
      </c>
      <c r="H7" s="34">
        <v>95.0</v>
      </c>
      <c r="I7" s="34">
        <v>30.0</v>
      </c>
      <c r="J7" s="35">
        <v>5.0</v>
      </c>
      <c r="K7" s="35">
        <v>711750.0</v>
      </c>
      <c r="L7" s="35">
        <v>1.235640705E9</v>
      </c>
      <c r="M7" s="23"/>
      <c r="N7" s="23"/>
      <c r="O7" s="23"/>
      <c r="P7" s="23"/>
      <c r="Q7" s="23"/>
      <c r="R7" s="23"/>
      <c r="S7" s="23"/>
      <c r="T7" s="23"/>
      <c r="U7" s="23"/>
      <c r="V7" s="23"/>
      <c r="W7" s="23"/>
      <c r="X7" s="19"/>
      <c r="Y7" s="19"/>
      <c r="Z7" s="19"/>
      <c r="AA7" s="19"/>
    </row>
    <row r="8" ht="14.25" customHeight="1">
      <c r="A8" s="36" t="s">
        <v>31</v>
      </c>
      <c r="B8" s="37">
        <v>3560.0</v>
      </c>
      <c r="C8" s="31">
        <f>('Aggregated EOQ'!C9+'Aggregated EOQ'!O9+'Aggregated EOQ'!AA9+'Aggregated EOQ'!AY9+'Aggregated EOQ'!BK9+'Aggregated EOQ'!BW9+'Aggregated EOQ'!CI9+'Aggregated EOQ'!CU9+'Aggregated EOQ'!DG9+'Aggregated EOQ'!DS9+'Aggregated EOQ'!EE9)</f>
        <v>444619.9481</v>
      </c>
      <c r="D8" s="32">
        <f t="shared" si="1"/>
        <v>8550.383616</v>
      </c>
      <c r="E8" s="38">
        <f t="shared" si="2"/>
        <v>30439365.67</v>
      </c>
      <c r="F8" s="23"/>
      <c r="G8" s="28" t="s">
        <v>32</v>
      </c>
      <c r="H8" s="34">
        <v>95.0</v>
      </c>
      <c r="I8" s="34">
        <v>24.0</v>
      </c>
      <c r="J8" s="35">
        <v>5.0</v>
      </c>
      <c r="K8" s="35">
        <v>569400.0</v>
      </c>
      <c r="L8" s="35">
        <v>9.88512564E8</v>
      </c>
      <c r="M8" s="23"/>
      <c r="N8" s="23"/>
      <c r="O8" s="23"/>
      <c r="P8" s="23"/>
      <c r="Q8" s="23"/>
      <c r="R8" s="23"/>
      <c r="S8" s="23"/>
      <c r="T8" s="23"/>
      <c r="U8" s="23"/>
      <c r="V8" s="23"/>
      <c r="W8" s="23"/>
      <c r="X8" s="19"/>
      <c r="Y8" s="19"/>
      <c r="Z8" s="19"/>
      <c r="AA8" s="19"/>
    </row>
    <row r="9" ht="14.25" customHeight="1">
      <c r="A9" s="36" t="s">
        <v>33</v>
      </c>
      <c r="B9" s="37">
        <v>2989.0</v>
      </c>
      <c r="C9" s="31">
        <f>('Aggregated EOQ'!C10+'Aggregated EOQ'!O10+'Aggregated EOQ'!AA10+'Aggregated EOQ'!AY10+'Aggregated EOQ'!BK10+'Aggregated EOQ'!BW10+'Aggregated EOQ'!CI10+'Aggregated EOQ'!CU10+'Aggregated EOQ'!DG10+'Aggregated EOQ'!DS10+'Aggregated EOQ'!EE10)</f>
        <v>16403.91926</v>
      </c>
      <c r="D9" s="32">
        <f t="shared" si="1"/>
        <v>315.4599857</v>
      </c>
      <c r="E9" s="38">
        <f t="shared" si="2"/>
        <v>942909.8972</v>
      </c>
      <c r="F9" s="23"/>
      <c r="G9" s="28" t="s">
        <v>34</v>
      </c>
      <c r="H9" s="34">
        <v>95.0</v>
      </c>
      <c r="I9" s="34">
        <v>36.0</v>
      </c>
      <c r="J9" s="35">
        <v>5.0</v>
      </c>
      <c r="K9" s="35">
        <v>854100.0</v>
      </c>
      <c r="L9" s="35">
        <v>1.482768846E9</v>
      </c>
      <c r="M9" s="23"/>
      <c r="N9" s="23"/>
      <c r="O9" s="23"/>
      <c r="P9" s="23"/>
      <c r="Q9" s="23"/>
      <c r="R9" s="23"/>
      <c r="S9" s="23"/>
      <c r="T9" s="23"/>
      <c r="U9" s="23"/>
      <c r="V9" s="23"/>
      <c r="W9" s="23"/>
      <c r="X9" s="19"/>
      <c r="Y9" s="19"/>
      <c r="Z9" s="19"/>
      <c r="AA9" s="19"/>
    </row>
    <row r="10" ht="14.25" customHeight="1">
      <c r="A10" s="39" t="s">
        <v>35</v>
      </c>
      <c r="B10" s="40">
        <v>6000.0</v>
      </c>
      <c r="C10" s="41">
        <f>('Aggregated EOQ'!C11+'Aggregated EOQ'!O11+'Aggregated EOQ'!AA11+'Aggregated EOQ'!AY11+'Aggregated EOQ'!BK11+'Aggregated EOQ'!BW11+'Aggregated EOQ'!CI11+'Aggregated EOQ'!CU11+'Aggregated EOQ'!DG11+'Aggregated EOQ'!DS11+'Aggregated EOQ'!EE11)</f>
        <v>1242283.265</v>
      </c>
      <c r="D10" s="32">
        <f t="shared" si="1"/>
        <v>23890.06279</v>
      </c>
      <c r="E10" s="42">
        <f t="shared" si="2"/>
        <v>143340376.7</v>
      </c>
      <c r="F10" s="23"/>
      <c r="G10" s="28" t="s">
        <v>36</v>
      </c>
      <c r="H10" s="34">
        <v>95.0</v>
      </c>
      <c r="I10" s="34">
        <v>105.0</v>
      </c>
      <c r="J10" s="35">
        <v>5.0</v>
      </c>
      <c r="K10" s="35">
        <v>2491125.0</v>
      </c>
      <c r="L10" s="35">
        <v>4.3247424675E9</v>
      </c>
      <c r="M10" s="23"/>
      <c r="N10" s="23"/>
      <c r="O10" s="23"/>
      <c r="P10" s="23"/>
      <c r="Q10" s="23"/>
      <c r="R10" s="23"/>
      <c r="S10" s="23"/>
      <c r="T10" s="23"/>
      <c r="U10" s="23"/>
      <c r="V10" s="23"/>
      <c r="W10" s="23"/>
      <c r="X10" s="19"/>
      <c r="Y10" s="19"/>
      <c r="Z10" s="19"/>
      <c r="AA10" s="19"/>
    </row>
    <row r="11" ht="14.25" customHeight="1">
      <c r="A11" s="23"/>
      <c r="B11" s="23"/>
      <c r="C11" s="43"/>
      <c r="D11" s="44" t="s">
        <v>37</v>
      </c>
      <c r="E11" s="45">
        <f>SUM(E3:E10)*52</f>
        <v>26958157840</v>
      </c>
      <c r="F11" s="23"/>
      <c r="G11" s="28" t="s">
        <v>38</v>
      </c>
      <c r="H11" s="34">
        <v>95.0</v>
      </c>
      <c r="I11" s="34">
        <v>80.0</v>
      </c>
      <c r="J11" s="35">
        <v>5.0</v>
      </c>
      <c r="K11" s="35">
        <v>1898000.0</v>
      </c>
      <c r="L11" s="35">
        <v>3.29504188E9</v>
      </c>
      <c r="M11" s="23"/>
      <c r="N11" s="23"/>
      <c r="O11" s="23"/>
      <c r="P11" s="23"/>
      <c r="Q11" s="23"/>
      <c r="R11" s="23"/>
      <c r="S11" s="23"/>
      <c r="T11" s="23"/>
      <c r="U11" s="23"/>
      <c r="V11" s="23"/>
      <c r="W11" s="23"/>
      <c r="X11" s="19"/>
      <c r="Y11" s="19"/>
      <c r="Z11" s="19"/>
      <c r="AA11" s="19"/>
    </row>
    <row r="12" ht="14.25" customHeight="1">
      <c r="A12" s="23"/>
      <c r="B12" s="23"/>
      <c r="C12" s="43"/>
      <c r="D12" s="23"/>
      <c r="E12" s="23"/>
      <c r="F12" s="23"/>
      <c r="G12" s="46" t="s">
        <v>39</v>
      </c>
      <c r="H12" s="46">
        <v>95.0</v>
      </c>
      <c r="I12" s="46">
        <v>441.0</v>
      </c>
      <c r="J12" s="47">
        <v>5.0</v>
      </c>
      <c r="K12" s="47">
        <v>1.0462725E7</v>
      </c>
      <c r="L12" s="48">
        <v>1.81639183635E10</v>
      </c>
      <c r="M12" s="23"/>
      <c r="N12" s="23"/>
      <c r="O12" s="23"/>
      <c r="P12" s="23"/>
      <c r="Q12" s="23"/>
      <c r="R12" s="23"/>
      <c r="S12" s="23"/>
      <c r="T12" s="23"/>
      <c r="U12" s="23"/>
      <c r="V12" s="23"/>
      <c r="W12" s="23"/>
      <c r="X12" s="19"/>
      <c r="Y12" s="19"/>
      <c r="Z12" s="19"/>
      <c r="AA12" s="19"/>
    </row>
    <row r="13" ht="14.25" customHeight="1">
      <c r="A13" s="49" t="s">
        <v>40</v>
      </c>
      <c r="B13" s="50"/>
      <c r="C13" s="50"/>
      <c r="D13" s="50"/>
      <c r="E13" s="51"/>
      <c r="F13" s="23"/>
      <c r="G13" s="23"/>
      <c r="H13" s="23"/>
      <c r="I13" s="23"/>
      <c r="J13" s="23"/>
      <c r="K13" s="23"/>
      <c r="L13" s="23"/>
      <c r="M13" s="23"/>
      <c r="N13" s="23"/>
      <c r="O13" s="23"/>
      <c r="P13" s="23"/>
      <c r="Q13" s="23"/>
      <c r="R13" s="23"/>
      <c r="S13" s="23"/>
      <c r="T13" s="23"/>
      <c r="U13" s="23"/>
      <c r="V13" s="23"/>
      <c r="W13" s="23"/>
      <c r="X13" s="19"/>
      <c r="Y13" s="19"/>
      <c r="Z13" s="19"/>
      <c r="AA13" s="19"/>
    </row>
    <row r="14" ht="14.25" customHeight="1">
      <c r="A14" s="24" t="s">
        <v>10</v>
      </c>
      <c r="B14" s="26" t="s">
        <v>41</v>
      </c>
      <c r="C14" s="52" t="s">
        <v>42</v>
      </c>
      <c r="D14" s="26" t="s">
        <v>13</v>
      </c>
      <c r="E14" s="53" t="s">
        <v>14</v>
      </c>
      <c r="F14" s="54"/>
      <c r="G14" s="23"/>
      <c r="H14" s="23"/>
      <c r="I14" s="23"/>
      <c r="J14" s="23"/>
      <c r="K14" s="23"/>
      <c r="L14" s="23"/>
      <c r="M14" s="23"/>
      <c r="N14" s="23"/>
      <c r="O14" s="23"/>
      <c r="P14" s="23"/>
      <c r="Q14" s="23"/>
      <c r="R14" s="23"/>
      <c r="S14" s="23"/>
      <c r="T14" s="23"/>
      <c r="U14" s="23"/>
      <c r="V14" s="23"/>
      <c r="W14" s="23"/>
      <c r="X14" s="19"/>
      <c r="Y14" s="19"/>
      <c r="Z14" s="19"/>
      <c r="AA14" s="19"/>
    </row>
    <row r="15" ht="14.25" customHeight="1">
      <c r="A15" s="29" t="s">
        <v>21</v>
      </c>
      <c r="B15" s="55">
        <f>AVERAGE('Sourcing_costs_LT_and stdv'!C6:N6)</f>
        <v>374.75</v>
      </c>
      <c r="C15" s="31">
        <f>('Aggregated EOQ'!C4+'Aggregated EOQ'!O4+'Aggregated EOQ'!AA4+'Aggregated EOQ'!AY4+'Aggregated EOQ'!BK4+'Aggregated EOQ'!BW4+'Aggregated EOQ'!CI4+'Aggregated EOQ'!CU4+'Aggregated EOQ'!DG4+'Aggregated EOQ'!DS4+'Aggregated EOQ'!EE4)</f>
        <v>4681628.759</v>
      </c>
      <c r="D15" s="31">
        <f t="shared" ref="D15:D20" si="3">C15/52</f>
        <v>90031.3223</v>
      </c>
      <c r="E15" s="56">
        <f t="shared" ref="E15:E22" si="4">D15*B15</f>
        <v>33739238.03</v>
      </c>
      <c r="F15" s="54"/>
      <c r="G15" s="23"/>
      <c r="H15" s="23"/>
      <c r="I15" s="23"/>
      <c r="J15" s="23"/>
      <c r="K15" s="23"/>
      <c r="L15" s="23"/>
      <c r="M15" s="23"/>
      <c r="N15" s="23"/>
      <c r="O15" s="23"/>
      <c r="P15" s="23"/>
      <c r="Q15" s="23"/>
      <c r="R15" s="23"/>
      <c r="S15" s="23"/>
      <c r="T15" s="23"/>
      <c r="U15" s="23"/>
      <c r="V15" s="23"/>
      <c r="W15" s="23"/>
      <c r="X15" s="19"/>
      <c r="Y15" s="19"/>
      <c r="Z15" s="19"/>
      <c r="AA15" s="19"/>
    </row>
    <row r="16" ht="14.25" customHeight="1">
      <c r="A16" s="36" t="s">
        <v>23</v>
      </c>
      <c r="B16" s="55">
        <f>AVERAGE('Sourcing_costs_LT_and stdv'!C10:N10)</f>
        <v>425.5833333</v>
      </c>
      <c r="C16" s="31">
        <f>('Aggregated EOQ'!C5+'Aggregated EOQ'!O5+'Aggregated EOQ'!AA5+'Aggregated EOQ'!AY5+'Aggregated EOQ'!BK5+'Aggregated EOQ'!BW5+'Aggregated EOQ'!CI5+'Aggregated EOQ'!CU5+'Aggregated EOQ'!DG5+'Aggregated EOQ'!DS5+'Aggregated EOQ'!EE5)</f>
        <v>3042251.904</v>
      </c>
      <c r="D16" s="31">
        <f t="shared" si="3"/>
        <v>58504.84431</v>
      </c>
      <c r="E16" s="56">
        <f t="shared" si="4"/>
        <v>24898686.66</v>
      </c>
      <c r="F16" s="54"/>
      <c r="G16" s="23"/>
      <c r="H16" s="23"/>
      <c r="I16" s="23"/>
      <c r="J16" s="23"/>
      <c r="K16" s="23"/>
      <c r="L16" s="23"/>
      <c r="M16" s="23"/>
      <c r="N16" s="23"/>
      <c r="O16" s="23"/>
      <c r="P16" s="23"/>
      <c r="Q16" s="23"/>
      <c r="R16" s="23"/>
      <c r="S16" s="23"/>
      <c r="T16" s="23"/>
      <c r="U16" s="23"/>
      <c r="V16" s="23"/>
      <c r="W16" s="23"/>
      <c r="X16" s="19"/>
      <c r="Y16" s="19"/>
      <c r="Z16" s="19"/>
      <c r="AA16" s="19"/>
    </row>
    <row r="17" ht="14.25" customHeight="1">
      <c r="A17" s="36" t="s">
        <v>25</v>
      </c>
      <c r="B17" s="55">
        <f>AVERAGE('Sourcing_costs_LT_and stdv'!C14:N14)</f>
        <v>926.5833333</v>
      </c>
      <c r="C17" s="31">
        <f>('Aggregated EOQ'!C6+'Aggregated EOQ'!O6+'Aggregated EOQ'!AA6+'Aggregated EOQ'!AY6+'Aggregated EOQ'!BK6+'Aggregated EOQ'!BW6+'Aggregated EOQ'!CI6+'Aggregated EOQ'!CU6+'Aggregated EOQ'!DG6+'Aggregated EOQ'!DS6+'Aggregated EOQ'!EE6)</f>
        <v>422384.1626</v>
      </c>
      <c r="D17" s="31">
        <f t="shared" si="3"/>
        <v>8122.772357</v>
      </c>
      <c r="E17" s="56">
        <f t="shared" si="4"/>
        <v>7526425.487</v>
      </c>
      <c r="F17" s="54"/>
      <c r="G17" s="23"/>
      <c r="H17" s="23"/>
      <c r="I17" s="23"/>
      <c r="J17" s="23"/>
      <c r="K17" s="23"/>
      <c r="L17" s="23"/>
      <c r="M17" s="23"/>
      <c r="N17" s="23"/>
      <c r="O17" s="23"/>
      <c r="P17" s="23"/>
      <c r="Q17" s="23"/>
      <c r="R17" s="23"/>
      <c r="S17" s="23"/>
      <c r="T17" s="23"/>
      <c r="U17" s="23"/>
      <c r="V17" s="23"/>
      <c r="W17" s="23"/>
      <c r="X17" s="19"/>
      <c r="Y17" s="19"/>
      <c r="Z17" s="19"/>
      <c r="AA17" s="19"/>
    </row>
    <row r="18" ht="14.25" customHeight="1">
      <c r="A18" s="36" t="s">
        <v>27</v>
      </c>
      <c r="B18" s="55">
        <f>AVERAGE('Sourcing_costs_LT_and stdv'!C18:N18)</f>
        <v>280.9166667</v>
      </c>
      <c r="C18" s="31">
        <f>('Aggregated EOQ'!C7+'Aggregated EOQ'!O7+'Aggregated EOQ'!AA7+'Aggregated EOQ'!AY7+'Aggregated EOQ'!BK7+'Aggregated EOQ'!BW7+'Aggregated EOQ'!CI7+'Aggregated EOQ'!CU7+'Aggregated EOQ'!DG7+'Aggregated EOQ'!DS7+'Aggregated EOQ'!EE7)</f>
        <v>1115581.423</v>
      </c>
      <c r="D18" s="31">
        <f t="shared" si="3"/>
        <v>21453.4889</v>
      </c>
      <c r="E18" s="56">
        <f t="shared" si="4"/>
        <v>6026642.591</v>
      </c>
      <c r="F18" s="54"/>
      <c r="G18" s="23"/>
      <c r="H18" s="23"/>
      <c r="I18" s="23"/>
      <c r="J18" s="23"/>
      <c r="K18" s="23"/>
      <c r="L18" s="23"/>
      <c r="M18" s="23"/>
      <c r="N18" s="23"/>
      <c r="O18" s="23"/>
      <c r="P18" s="23"/>
      <c r="Q18" s="23"/>
      <c r="R18" s="23"/>
      <c r="S18" s="23"/>
      <c r="T18" s="23"/>
      <c r="U18" s="23"/>
      <c r="V18" s="23"/>
      <c r="W18" s="23"/>
      <c r="X18" s="19"/>
      <c r="Y18" s="19"/>
      <c r="Z18" s="19"/>
      <c r="AA18" s="19"/>
    </row>
    <row r="19" ht="14.25" customHeight="1">
      <c r="A19" s="36" t="s">
        <v>29</v>
      </c>
      <c r="B19" s="55">
        <f>AVERAGE('Sourcing_costs_LT_and stdv'!C22:N22)</f>
        <v>264.3333333</v>
      </c>
      <c r="C19" s="31">
        <f>('Aggregated EOQ'!C8+'Aggregated EOQ'!O8+'Aggregated EOQ'!AA8+'Aggregated EOQ'!AY8+'Aggregated EOQ'!BK8+'Aggregated EOQ'!BW8+'Aggregated EOQ'!CI8+'Aggregated EOQ'!CU8+'Aggregated EOQ'!DG8+'Aggregated EOQ'!DS8+'Aggregated EOQ'!EE8)</f>
        <v>674475.9165</v>
      </c>
      <c r="D19" s="31">
        <f t="shared" si="3"/>
        <v>12970.6907</v>
      </c>
      <c r="E19" s="56">
        <f t="shared" si="4"/>
        <v>3428585.909</v>
      </c>
      <c r="F19" s="54"/>
      <c r="G19" s="23"/>
      <c r="H19" s="23"/>
      <c r="I19" s="23"/>
      <c r="J19" s="23"/>
      <c r="K19" s="23"/>
      <c r="L19" s="23"/>
      <c r="M19" s="23"/>
      <c r="N19" s="23"/>
      <c r="O19" s="23"/>
      <c r="P19" s="23"/>
      <c r="Q19" s="23"/>
      <c r="R19" s="23"/>
      <c r="S19" s="23"/>
      <c r="T19" s="23"/>
      <c r="U19" s="23"/>
      <c r="V19" s="23"/>
      <c r="W19" s="23"/>
      <c r="X19" s="19"/>
      <c r="Y19" s="19"/>
      <c r="Z19" s="19"/>
      <c r="AA19" s="19"/>
    </row>
    <row r="20" ht="14.25" customHeight="1">
      <c r="A20" s="36" t="s">
        <v>31</v>
      </c>
      <c r="B20" s="55">
        <f>AVERAGE('Sourcing_costs_LT_and stdv'!C26:N26)</f>
        <v>373.8333333</v>
      </c>
      <c r="C20" s="31">
        <f>('Aggregated EOQ'!C9+'Aggregated EOQ'!O9+'Aggregated EOQ'!AA9+'Aggregated EOQ'!AY9+'Aggregated EOQ'!BK9+'Aggregated EOQ'!BW9+'Aggregated EOQ'!CI9+'Aggregated EOQ'!CU9+'Aggregated EOQ'!DG9+'Aggregated EOQ'!DS9+'Aggregated EOQ'!EE9)</f>
        <v>444619.9481</v>
      </c>
      <c r="D20" s="31">
        <f t="shared" si="3"/>
        <v>8550.383616</v>
      </c>
      <c r="E20" s="56">
        <f t="shared" si="4"/>
        <v>3196418.409</v>
      </c>
      <c r="F20" s="54"/>
      <c r="G20" s="23"/>
      <c r="H20" s="23"/>
      <c r="I20" s="23"/>
      <c r="J20" s="23"/>
      <c r="K20" s="23"/>
      <c r="L20" s="23"/>
      <c r="M20" s="23"/>
      <c r="N20" s="23"/>
      <c r="O20" s="23"/>
      <c r="P20" s="23"/>
      <c r="Q20" s="23"/>
      <c r="R20" s="23"/>
      <c r="S20" s="23"/>
      <c r="T20" s="23"/>
      <c r="U20" s="23"/>
      <c r="V20" s="23"/>
      <c r="W20" s="23"/>
      <c r="X20" s="19"/>
      <c r="Y20" s="19"/>
      <c r="Z20" s="19"/>
      <c r="AA20" s="19"/>
    </row>
    <row r="21" ht="14.25" customHeight="1">
      <c r="A21" s="57" t="s">
        <v>33</v>
      </c>
      <c r="B21" s="55">
        <f>AVERAGE('Sourcing_costs_LT_and stdv'!C30:N30)</f>
        <v>799.9166667</v>
      </c>
      <c r="C21" s="31">
        <v>0.0</v>
      </c>
      <c r="D21" s="31">
        <v>0.0</v>
      </c>
      <c r="E21" s="56">
        <f t="shared" si="4"/>
        <v>0</v>
      </c>
      <c r="F21" s="54"/>
      <c r="G21" s="23"/>
      <c r="H21" s="23"/>
      <c r="I21" s="23"/>
      <c r="J21" s="23"/>
      <c r="K21" s="23"/>
      <c r="L21" s="23"/>
      <c r="M21" s="23"/>
      <c r="N21" s="23"/>
      <c r="O21" s="23"/>
      <c r="P21" s="23"/>
      <c r="Q21" s="23"/>
      <c r="R21" s="23"/>
      <c r="S21" s="23"/>
      <c r="T21" s="23"/>
      <c r="U21" s="23"/>
      <c r="V21" s="23"/>
      <c r="W21" s="23"/>
      <c r="X21" s="19"/>
      <c r="Y21" s="19"/>
      <c r="Z21" s="19"/>
      <c r="AA21" s="19"/>
    </row>
    <row r="22" ht="14.25" customHeight="1">
      <c r="A22" s="39" t="s">
        <v>35</v>
      </c>
      <c r="B22" s="58">
        <f>AVERAGE('Sourcing_costs_LT_and stdv'!C34:N34)</f>
        <v>2600.5</v>
      </c>
      <c r="C22" s="41">
        <f>('Aggregated EOQ'!C11+'Aggregated EOQ'!O11+'Aggregated EOQ'!AA11+'Aggregated EOQ'!AY11+'Aggregated EOQ'!BK11+'Aggregated EOQ'!BW11+'Aggregated EOQ'!CI11+'Aggregated EOQ'!CU11+'Aggregated EOQ'!DG11+'Aggregated EOQ'!DS11+'Aggregated EOQ'!EE11)</f>
        <v>1242283.265</v>
      </c>
      <c r="D22" s="41">
        <f>C22/52</f>
        <v>23890.06279</v>
      </c>
      <c r="E22" s="56">
        <f t="shared" si="4"/>
        <v>62126108.29</v>
      </c>
      <c r="F22" s="54"/>
      <c r="G22" s="23"/>
      <c r="H22" s="23"/>
      <c r="I22" s="23"/>
      <c r="J22" s="23"/>
      <c r="K22" s="23"/>
      <c r="L22" s="23"/>
      <c r="M22" s="23"/>
      <c r="N22" s="23"/>
      <c r="O22" s="23"/>
      <c r="P22" s="23"/>
      <c r="Q22" s="23"/>
      <c r="R22" s="23"/>
      <c r="S22" s="23"/>
      <c r="T22" s="23"/>
      <c r="U22" s="23"/>
      <c r="V22" s="23"/>
      <c r="W22" s="23"/>
      <c r="X22" s="19"/>
      <c r="Y22" s="19"/>
      <c r="Z22" s="19"/>
      <c r="AA22" s="19"/>
    </row>
    <row r="23" ht="14.25" customHeight="1">
      <c r="A23" s="23"/>
      <c r="B23" s="59"/>
      <c r="C23" s="59"/>
      <c r="D23" s="60" t="s">
        <v>43</v>
      </c>
      <c r="E23" s="61">
        <f>SUM(E15:E22)*52</f>
        <v>7328989479</v>
      </c>
      <c r="F23" s="54"/>
      <c r="G23" s="23"/>
      <c r="H23" s="23"/>
      <c r="I23" s="23"/>
      <c r="J23" s="23"/>
      <c r="K23" s="23"/>
      <c r="L23" s="23"/>
      <c r="M23" s="23"/>
      <c r="N23" s="23"/>
      <c r="O23" s="23"/>
      <c r="P23" s="23"/>
      <c r="Q23" s="23"/>
      <c r="R23" s="23"/>
      <c r="S23" s="23"/>
      <c r="T23" s="23"/>
      <c r="U23" s="23"/>
      <c r="V23" s="23"/>
      <c r="W23" s="23"/>
      <c r="X23" s="19"/>
      <c r="Y23" s="19"/>
      <c r="Z23" s="19"/>
      <c r="AA23" s="19"/>
    </row>
    <row r="24" ht="14.25" customHeight="1">
      <c r="A24" s="23"/>
      <c r="B24" s="23"/>
      <c r="C24" s="23"/>
      <c r="D24" s="23"/>
      <c r="E24" s="23"/>
      <c r="F24" s="23"/>
      <c r="G24" s="23"/>
      <c r="H24" s="23"/>
      <c r="I24" s="23"/>
      <c r="J24" s="23"/>
      <c r="K24" s="23"/>
      <c r="L24" s="23"/>
      <c r="M24" s="23"/>
      <c r="N24" s="23"/>
      <c r="O24" s="23"/>
      <c r="P24" s="23"/>
      <c r="Q24" s="23"/>
      <c r="R24" s="23"/>
      <c r="S24" s="23"/>
      <c r="T24" s="23"/>
      <c r="U24" s="23"/>
      <c r="V24" s="23"/>
      <c r="W24" s="23"/>
      <c r="X24" s="19"/>
      <c r="Y24" s="19"/>
      <c r="Z24" s="19"/>
      <c r="AA24" s="19"/>
    </row>
    <row r="25" ht="14.25" customHeight="1">
      <c r="A25" s="49" t="s">
        <v>44</v>
      </c>
      <c r="B25" s="50"/>
      <c r="C25" s="50"/>
      <c r="D25" s="50"/>
      <c r="E25" s="50"/>
      <c r="F25" s="50"/>
      <c r="G25" s="51"/>
      <c r="H25" s="23"/>
      <c r="I25" s="23"/>
      <c r="J25" s="23"/>
      <c r="K25" s="23"/>
      <c r="L25" s="23"/>
      <c r="M25" s="23"/>
      <c r="N25" s="23"/>
      <c r="O25" s="23"/>
      <c r="P25" s="23"/>
      <c r="Q25" s="23"/>
      <c r="R25" s="23"/>
      <c r="S25" s="23"/>
      <c r="T25" s="23"/>
      <c r="U25" s="23"/>
      <c r="V25" s="23"/>
      <c r="W25" s="23"/>
      <c r="X25" s="19"/>
      <c r="Y25" s="19"/>
      <c r="Z25" s="19"/>
      <c r="AA25" s="19"/>
    </row>
    <row r="26" ht="15.75" customHeight="1">
      <c r="A26" s="24" t="s">
        <v>10</v>
      </c>
      <c r="B26" s="26" t="s">
        <v>45</v>
      </c>
      <c r="C26" s="26" t="s">
        <v>46</v>
      </c>
      <c r="D26" s="26" t="s">
        <v>47</v>
      </c>
      <c r="E26" s="26" t="s">
        <v>48</v>
      </c>
      <c r="F26" s="62" t="s">
        <v>49</v>
      </c>
      <c r="G26" s="27" t="s">
        <v>50</v>
      </c>
      <c r="H26" s="23"/>
      <c r="I26" s="23"/>
      <c r="J26" s="23"/>
      <c r="K26" s="23"/>
      <c r="L26" s="23"/>
      <c r="M26" s="23"/>
      <c r="N26" s="23"/>
      <c r="O26" s="23"/>
      <c r="P26" s="23"/>
      <c r="Q26" s="23"/>
      <c r="R26" s="23"/>
      <c r="S26" s="23"/>
      <c r="T26" s="23"/>
      <c r="U26" s="23"/>
      <c r="V26" s="23"/>
      <c r="W26" s="23"/>
      <c r="X26" s="23"/>
      <c r="Y26" s="19"/>
      <c r="Z26" s="19"/>
    </row>
    <row r="27" ht="14.25" customHeight="1">
      <c r="A27" s="29" t="s">
        <v>21</v>
      </c>
      <c r="B27" s="31">
        <f>('Aggregated EOQ'!C4+'Aggregated EOQ'!O4+'Aggregated EOQ'!AA4+'Aggregated EOQ'!AY4+'Aggregated EOQ'!BK4+'Aggregated EOQ'!BW4+'Aggregated EOQ'!CI4+'Aggregated EOQ'!CU4+'Aggregated EOQ'!DG4+'Aggregated EOQ'!DS4+'Aggregated EOQ'!EE4)</f>
        <v>4681628.759</v>
      </c>
      <c r="C27" s="31">
        <v>40823.313299999994</v>
      </c>
      <c r="D27" s="63">
        <f t="shared" ref="D27:D34" si="5">ROUNDUP(B27/C27,0)</f>
        <v>115</v>
      </c>
      <c r="E27" s="30">
        <v>1921.0</v>
      </c>
      <c r="F27" s="64">
        <f>'Aggregated EOQ'!H4+'Aggregated EOQ'!T4+'Aggregated EOQ'!AF4+'Aggregated EOQ'!AR4+'Aggregated EOQ'!BD4+'Aggregated EOQ'!BP4+'Aggregated EOQ'!CB4+'Aggregated EOQ'!CN4+'Aggregated EOQ'!CZ4+'Aggregated EOQ'!DL4+'Aggregated EOQ'!DX4+'Aggregated EOQ'!EJ4</f>
        <v>37513122</v>
      </c>
      <c r="G27" s="56">
        <f t="shared" ref="G27:G34" si="6">F27/52</f>
        <v>721406.1923</v>
      </c>
      <c r="H27" s="23"/>
      <c r="I27" s="23"/>
      <c r="J27" s="23"/>
      <c r="K27" s="23"/>
      <c r="L27" s="23"/>
      <c r="M27" s="23"/>
      <c r="N27" s="23"/>
      <c r="O27" s="23"/>
      <c r="P27" s="23"/>
      <c r="Q27" s="23"/>
      <c r="R27" s="23"/>
      <c r="S27" s="23"/>
      <c r="T27" s="23"/>
      <c r="U27" s="23"/>
      <c r="V27" s="23"/>
      <c r="W27" s="23"/>
      <c r="X27" s="23"/>
      <c r="Y27" s="19"/>
      <c r="Z27" s="19"/>
    </row>
    <row r="28" ht="14.25" customHeight="1">
      <c r="A28" s="36" t="s">
        <v>23</v>
      </c>
      <c r="B28" s="31">
        <f>('Aggregated EOQ'!C5+'Aggregated EOQ'!O5+'Aggregated EOQ'!AA5+'Aggregated EOQ'!AY5+'Aggregated EOQ'!BK5+'Aggregated EOQ'!BW5+'Aggregated EOQ'!CI5+'Aggregated EOQ'!CU5+'Aggregated EOQ'!DG5+'Aggregated EOQ'!DS5+'Aggregated EOQ'!EE5)</f>
        <v>3042251.904</v>
      </c>
      <c r="C28" s="31">
        <v>40823.313299999994</v>
      </c>
      <c r="D28" s="63">
        <f t="shared" si="5"/>
        <v>75</v>
      </c>
      <c r="E28" s="30">
        <v>1921.0</v>
      </c>
      <c r="F28" s="64">
        <f>'Aggregated EOQ'!H5+'Aggregated EOQ'!T5+'Aggregated EOQ'!AF5+'Aggregated EOQ'!AR5+'Aggregated EOQ'!BD5+'Aggregated EOQ'!BP5+'Aggregated EOQ'!CB5+'Aggregated EOQ'!CN5+'Aggregated EOQ'!CZ5+'Aggregated EOQ'!DL5+'Aggregated EOQ'!DX5+'Aggregated EOQ'!EJ5</f>
        <v>270595902</v>
      </c>
      <c r="G28" s="56">
        <f t="shared" si="6"/>
        <v>5203767.346</v>
      </c>
      <c r="H28" s="23"/>
      <c r="I28" s="23"/>
      <c r="J28" s="23"/>
      <c r="K28" s="23"/>
      <c r="L28" s="23"/>
      <c r="M28" s="23"/>
      <c r="N28" s="23"/>
      <c r="O28" s="23"/>
      <c r="P28" s="23"/>
      <c r="Q28" s="23"/>
      <c r="R28" s="23"/>
      <c r="S28" s="23"/>
      <c r="T28" s="23"/>
      <c r="U28" s="23"/>
      <c r="V28" s="23"/>
      <c r="W28" s="23"/>
      <c r="X28" s="23"/>
      <c r="Y28" s="19"/>
      <c r="Z28" s="19"/>
    </row>
    <row r="29" ht="14.25" customHeight="1">
      <c r="A29" s="36" t="s">
        <v>25</v>
      </c>
      <c r="B29" s="31">
        <f>('Aggregated EOQ'!C6+'Aggregated EOQ'!O6+'Aggregated EOQ'!AA6+'Aggregated EOQ'!AY6+'Aggregated EOQ'!BK6+'Aggregated EOQ'!BW6+'Aggregated EOQ'!CI6+'Aggregated EOQ'!CU6+'Aggregated EOQ'!DG6+'Aggregated EOQ'!DS6+'Aggregated EOQ'!EE6)</f>
        <v>422384.1626</v>
      </c>
      <c r="C29" s="31">
        <v>40823.313299999994</v>
      </c>
      <c r="D29" s="63">
        <f t="shared" si="5"/>
        <v>11</v>
      </c>
      <c r="E29" s="30">
        <v>1921.0</v>
      </c>
      <c r="F29" s="64">
        <f>'Aggregated EOQ'!H6+'Aggregated EOQ'!T6+'Aggregated EOQ'!AF6+'Aggregated EOQ'!AR6+'Aggregated EOQ'!BD6+'Aggregated EOQ'!BP6+'Aggregated EOQ'!CB6+'Aggregated EOQ'!CN6+'Aggregated EOQ'!CZ6+'Aggregated EOQ'!DL6+'Aggregated EOQ'!DX6+'Aggregated EOQ'!EJ6</f>
        <v>10992530</v>
      </c>
      <c r="G29" s="56">
        <f t="shared" si="6"/>
        <v>211394.8077</v>
      </c>
      <c r="H29" s="23"/>
      <c r="I29" s="23"/>
      <c r="J29" s="23"/>
      <c r="K29" s="23"/>
      <c r="L29" s="23"/>
      <c r="M29" s="23"/>
      <c r="N29" s="23"/>
      <c r="O29" s="23"/>
      <c r="P29" s="23"/>
      <c r="Q29" s="23"/>
      <c r="R29" s="23"/>
      <c r="S29" s="23"/>
      <c r="T29" s="23"/>
      <c r="U29" s="23"/>
      <c r="V29" s="23"/>
      <c r="W29" s="23"/>
      <c r="X29" s="23"/>
      <c r="Y29" s="19"/>
      <c r="Z29" s="19"/>
    </row>
    <row r="30" ht="14.25" customHeight="1">
      <c r="A30" s="36" t="s">
        <v>27</v>
      </c>
      <c r="B30" s="31">
        <f>('Aggregated EOQ'!C7+'Aggregated EOQ'!O7+'Aggregated EOQ'!AA7+'Aggregated EOQ'!AY7+'Aggregated EOQ'!BK7+'Aggregated EOQ'!BW7+'Aggregated EOQ'!CI7+'Aggregated EOQ'!CU7+'Aggregated EOQ'!DG7+'Aggregated EOQ'!DS7+'Aggregated EOQ'!EE7)</f>
        <v>1115581.423</v>
      </c>
      <c r="C30" s="31">
        <v>40823.313299999994</v>
      </c>
      <c r="D30" s="63">
        <f t="shared" si="5"/>
        <v>28</v>
      </c>
      <c r="E30" s="30">
        <v>1921.0</v>
      </c>
      <c r="F30" s="64">
        <f>'Aggregated EOQ'!H7+'Aggregated EOQ'!T7+'Aggregated EOQ'!AF7+'Aggregated EOQ'!AR7+'Aggregated EOQ'!BD7+'Aggregated EOQ'!BP7+'Aggregated EOQ'!CB7+'Aggregated EOQ'!CN7+'Aggregated EOQ'!CZ7+'Aggregated EOQ'!DL7+'Aggregated EOQ'!DX7+'Aggregated EOQ'!EJ7</f>
        <v>86146738</v>
      </c>
      <c r="G30" s="56">
        <f t="shared" si="6"/>
        <v>1656668.038</v>
      </c>
      <c r="H30" s="23"/>
      <c r="I30" s="23"/>
      <c r="J30" s="23"/>
      <c r="K30" s="23"/>
      <c r="L30" s="23"/>
      <c r="M30" s="23"/>
      <c r="N30" s="23"/>
      <c r="O30" s="23"/>
      <c r="P30" s="23"/>
      <c r="Q30" s="23"/>
      <c r="R30" s="23"/>
      <c r="S30" s="23"/>
      <c r="T30" s="23"/>
      <c r="U30" s="23"/>
      <c r="V30" s="23"/>
      <c r="W30" s="23"/>
      <c r="X30" s="23"/>
      <c r="Y30" s="19"/>
      <c r="Z30" s="19"/>
    </row>
    <row r="31" ht="14.25" customHeight="1">
      <c r="A31" s="36" t="s">
        <v>29</v>
      </c>
      <c r="B31" s="31">
        <f>('Aggregated EOQ'!C8+'Aggregated EOQ'!O8+'Aggregated EOQ'!AA8+'Aggregated EOQ'!AY8+'Aggregated EOQ'!BK8+'Aggregated EOQ'!BW8+'Aggregated EOQ'!CI8+'Aggregated EOQ'!CU8+'Aggregated EOQ'!DG8+'Aggregated EOQ'!DS8+'Aggregated EOQ'!EE8)</f>
        <v>674475.9165</v>
      </c>
      <c r="C31" s="31">
        <v>40823.313299999994</v>
      </c>
      <c r="D31" s="63">
        <f t="shared" si="5"/>
        <v>17</v>
      </c>
      <c r="E31" s="30">
        <v>1921.0</v>
      </c>
      <c r="F31" s="64">
        <f>'Aggregated EOQ'!H8+'Aggregated EOQ'!T8+'Aggregated EOQ'!AF8+'Aggregated EOQ'!AR8+'Aggregated EOQ'!BD8+'Aggregated EOQ'!BP8+'Aggregated EOQ'!CB8+'Aggregated EOQ'!CN8+'Aggregated EOQ'!CZ8+'Aggregated EOQ'!DL8+'Aggregated EOQ'!DX8+'Aggregated EOQ'!EJ8</f>
        <v>48013136</v>
      </c>
      <c r="G31" s="56">
        <f t="shared" si="6"/>
        <v>923329.5385</v>
      </c>
      <c r="H31" s="23"/>
      <c r="I31" s="23"/>
      <c r="J31" s="23"/>
      <c r="K31" s="23"/>
      <c r="L31" s="23"/>
      <c r="M31" s="23"/>
      <c r="N31" s="23"/>
      <c r="O31" s="23"/>
      <c r="P31" s="23"/>
      <c r="Q31" s="23"/>
      <c r="R31" s="23"/>
      <c r="S31" s="23"/>
      <c r="T31" s="23"/>
      <c r="U31" s="23"/>
      <c r="V31" s="23"/>
      <c r="W31" s="23"/>
      <c r="X31" s="23"/>
      <c r="Y31" s="19"/>
      <c r="Z31" s="19"/>
    </row>
    <row r="32" ht="14.25" customHeight="1">
      <c r="A32" s="36" t="s">
        <v>31</v>
      </c>
      <c r="B32" s="31">
        <f>('Aggregated EOQ'!C9+'Aggregated EOQ'!O9+'Aggregated EOQ'!AA9+'Aggregated EOQ'!AY9+'Aggregated EOQ'!BK9+'Aggregated EOQ'!BW9+'Aggregated EOQ'!CI9+'Aggregated EOQ'!CU9+'Aggregated EOQ'!DG9+'Aggregated EOQ'!DS9+'Aggregated EOQ'!EE9)</f>
        <v>444619.9481</v>
      </c>
      <c r="C32" s="31">
        <v>40823.313299999994</v>
      </c>
      <c r="D32" s="63">
        <f t="shared" si="5"/>
        <v>11</v>
      </c>
      <c r="E32" s="30">
        <v>1921.0</v>
      </c>
      <c r="F32" s="64">
        <f>'Aggregated EOQ'!H9+'Aggregated EOQ'!T9+'Aggregated EOQ'!AF9+'Aggregated EOQ'!AR9+'Aggregated EOQ'!BD9+'Aggregated EOQ'!BP9+'Aggregated EOQ'!CB9+'Aggregated EOQ'!CN9+'Aggregated EOQ'!CZ9+'Aggregated EOQ'!DL9+'Aggregated EOQ'!DX9+'Aggregated EOQ'!EJ9</f>
        <v>63212257</v>
      </c>
      <c r="G32" s="56">
        <f t="shared" si="6"/>
        <v>1215620.327</v>
      </c>
      <c r="H32" s="23"/>
      <c r="I32" s="23"/>
      <c r="J32" s="23"/>
      <c r="K32" s="23"/>
      <c r="L32" s="23"/>
      <c r="M32" s="23"/>
      <c r="N32" s="23"/>
      <c r="O32" s="23"/>
      <c r="P32" s="23"/>
      <c r="Q32" s="23"/>
      <c r="R32" s="23"/>
      <c r="S32" s="23"/>
      <c r="T32" s="23"/>
      <c r="U32" s="23"/>
      <c r="V32" s="23"/>
      <c r="W32" s="23"/>
      <c r="X32" s="23"/>
      <c r="Y32" s="19"/>
      <c r="Z32" s="19"/>
    </row>
    <row r="33" ht="14.25" customHeight="1">
      <c r="A33" s="63" t="s">
        <v>33</v>
      </c>
      <c r="B33" s="31">
        <f>('Aggregated EOQ'!C10+'Aggregated EOQ'!O10+'Aggregated EOQ'!AA10+'Aggregated EOQ'!AY10+'Aggregated EOQ'!BK10+'Aggregated EOQ'!BW10+'Aggregated EOQ'!CI10+'Aggregated EOQ'!CU10+'Aggregated EOQ'!DG10+'Aggregated EOQ'!DS10+'Aggregated EOQ'!EE10)</f>
        <v>16403.91926</v>
      </c>
      <c r="C33" s="31">
        <v>40823.313299999994</v>
      </c>
      <c r="D33" s="63">
        <f t="shared" si="5"/>
        <v>1</v>
      </c>
      <c r="E33" s="30">
        <v>1921.0</v>
      </c>
      <c r="F33" s="64">
        <f>'Aggregated EOQ'!H10+'Aggregated EOQ'!T10+'Aggregated EOQ'!AF10+'Aggregated EOQ'!AR10+'Aggregated EOQ'!BD10+'Aggregated EOQ'!BP10+'Aggregated EOQ'!CB10+'Aggregated EOQ'!CN10+'Aggregated EOQ'!CZ10+'Aggregated EOQ'!DL10+'Aggregated EOQ'!DX10+'Aggregated EOQ'!EJ10</f>
        <v>2536368</v>
      </c>
      <c r="G33" s="56">
        <f t="shared" si="6"/>
        <v>48776.30769</v>
      </c>
      <c r="H33" s="23"/>
      <c r="I33" s="23"/>
      <c r="J33" s="23"/>
      <c r="K33" s="23"/>
      <c r="L33" s="23"/>
      <c r="M33" s="23"/>
      <c r="N33" s="23"/>
      <c r="O33" s="23"/>
      <c r="P33" s="23"/>
      <c r="Q33" s="23"/>
      <c r="R33" s="23"/>
      <c r="S33" s="23"/>
      <c r="T33" s="23"/>
      <c r="U33" s="23"/>
      <c r="V33" s="23"/>
      <c r="W33" s="23"/>
      <c r="X33" s="19"/>
      <c r="Y33" s="19"/>
      <c r="Z33" s="19"/>
    </row>
    <row r="34" ht="14.25" customHeight="1">
      <c r="A34" s="65" t="s">
        <v>35</v>
      </c>
      <c r="B34" s="41">
        <f>('Aggregated EOQ'!C11+'Aggregated EOQ'!O11+'Aggregated EOQ'!AA11+'Aggregated EOQ'!AY11+'Aggregated EOQ'!BK11+'Aggregated EOQ'!BW11+'Aggregated EOQ'!CI11+'Aggregated EOQ'!CU11+'Aggregated EOQ'!DG11+'Aggregated EOQ'!DS11+'Aggregated EOQ'!EE11)</f>
        <v>1242283.265</v>
      </c>
      <c r="C34" s="41">
        <v>40823.313299999994</v>
      </c>
      <c r="D34" s="65">
        <f t="shared" si="5"/>
        <v>31</v>
      </c>
      <c r="E34" s="66">
        <v>1921.0</v>
      </c>
      <c r="F34" s="67">
        <f>'Aggregated EOQ'!H11+'Aggregated EOQ'!T11+'Aggregated EOQ'!AF11+'Aggregated EOQ'!AR11+'Aggregated EOQ'!BD11+'Aggregated EOQ'!BP11+'Aggregated EOQ'!CB11+'Aggregated EOQ'!CN11+'Aggregated EOQ'!CZ11+'Aggregated EOQ'!DL11+'Aggregated EOQ'!DX11+'Aggregated EOQ'!EJ11</f>
        <v>119415274</v>
      </c>
      <c r="G34" s="68">
        <f t="shared" si="6"/>
        <v>2296447.577</v>
      </c>
      <c r="H34" s="23"/>
      <c r="I34" s="23"/>
      <c r="J34" s="23"/>
      <c r="K34" s="23"/>
      <c r="L34" s="23"/>
      <c r="M34" s="23"/>
      <c r="N34" s="23"/>
      <c r="O34" s="23"/>
      <c r="P34" s="23"/>
      <c r="Q34" s="23"/>
      <c r="R34" s="23"/>
      <c r="S34" s="23"/>
      <c r="T34" s="23"/>
      <c r="U34" s="23"/>
      <c r="V34" s="23"/>
      <c r="W34" s="23"/>
      <c r="X34" s="19"/>
      <c r="Y34" s="19"/>
      <c r="Z34" s="19"/>
    </row>
    <row r="35" ht="14.25" customHeight="1">
      <c r="A35" s="59"/>
      <c r="B35" s="59"/>
      <c r="C35" s="59"/>
      <c r="D35" s="59"/>
      <c r="E35" s="59"/>
      <c r="F35" s="69" t="s">
        <v>51</v>
      </c>
      <c r="G35" s="70">
        <f>SUM(G27:G34)*52</f>
        <v>638425327</v>
      </c>
      <c r="H35" s="23"/>
      <c r="I35" s="23"/>
      <c r="J35" s="23"/>
      <c r="K35" s="23"/>
      <c r="L35" s="23"/>
      <c r="M35" s="23"/>
      <c r="N35" s="23"/>
      <c r="O35" s="23"/>
      <c r="P35" s="23"/>
      <c r="Q35" s="23"/>
      <c r="R35" s="23"/>
      <c r="S35" s="23"/>
      <c r="T35" s="23"/>
      <c r="U35" s="23"/>
      <c r="V35" s="23"/>
      <c r="W35" s="23"/>
      <c r="X35" s="19"/>
      <c r="Y35" s="19"/>
      <c r="Z35" s="19"/>
      <c r="AA35" s="19"/>
    </row>
    <row r="36" ht="14.2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71"/>
    </row>
    <row r="37" ht="14.2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71"/>
    </row>
    <row r="38" ht="14.2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71"/>
    </row>
    <row r="39" ht="15.0" customHeight="1">
      <c r="A39" s="49" t="s">
        <v>52</v>
      </c>
      <c r="B39" s="51"/>
      <c r="C39" s="72"/>
      <c r="D39" s="72"/>
      <c r="E39" s="72"/>
      <c r="F39" s="72"/>
      <c r="G39" s="72"/>
      <c r="H39" s="23"/>
      <c r="I39" s="23"/>
      <c r="J39" s="23"/>
      <c r="K39" s="23"/>
      <c r="L39" s="23"/>
      <c r="M39" s="23"/>
      <c r="N39" s="23"/>
      <c r="O39" s="23"/>
      <c r="P39" s="23"/>
      <c r="Q39" s="23"/>
      <c r="R39" s="23"/>
      <c r="S39" s="23"/>
      <c r="T39" s="23"/>
      <c r="U39" s="23"/>
      <c r="V39" s="23"/>
      <c r="W39" s="23"/>
      <c r="X39" s="23"/>
      <c r="Y39" s="23"/>
      <c r="Z39" s="23"/>
      <c r="AA39" s="71"/>
    </row>
    <row r="40" ht="14.25" customHeight="1">
      <c r="A40" s="69" t="s">
        <v>43</v>
      </c>
      <c r="B40" s="61">
        <f>G35+C87</f>
        <v>797550715</v>
      </c>
      <c r="C40" s="23"/>
      <c r="D40" s="23"/>
      <c r="E40" s="23"/>
      <c r="F40" s="23"/>
      <c r="G40" s="23"/>
      <c r="H40" s="23"/>
      <c r="I40" s="23"/>
      <c r="J40" s="23"/>
      <c r="K40" s="23"/>
      <c r="L40" s="23"/>
      <c r="M40" s="23"/>
      <c r="N40" s="23"/>
      <c r="O40" s="23"/>
      <c r="P40" s="23"/>
      <c r="Q40" s="23"/>
      <c r="R40" s="23"/>
      <c r="S40" s="23"/>
      <c r="T40" s="23"/>
      <c r="U40" s="23"/>
      <c r="V40" s="23"/>
      <c r="W40" s="23"/>
      <c r="X40" s="23"/>
      <c r="Y40" s="23"/>
      <c r="Z40" s="23"/>
      <c r="AA40" s="71"/>
    </row>
    <row r="41" ht="14.2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71"/>
    </row>
    <row r="42" ht="14.25" customHeight="1">
      <c r="A42" s="23"/>
      <c r="B42" s="73" t="s">
        <v>53</v>
      </c>
      <c r="C42" s="18"/>
      <c r="D42" s="74"/>
      <c r="E42" s="23"/>
      <c r="F42" s="49" t="s">
        <v>54</v>
      </c>
      <c r="G42" s="51"/>
      <c r="H42" s="23"/>
      <c r="I42" s="23"/>
      <c r="J42" s="23"/>
      <c r="K42" s="23"/>
      <c r="L42" s="23"/>
      <c r="M42" s="23"/>
      <c r="N42" s="23"/>
      <c r="O42" s="23"/>
      <c r="P42" s="23"/>
      <c r="Q42" s="23"/>
      <c r="R42" s="23"/>
      <c r="S42" s="23"/>
      <c r="T42" s="23"/>
      <c r="U42" s="23"/>
      <c r="V42" s="23"/>
      <c r="W42" s="23"/>
      <c r="X42" s="23"/>
      <c r="Y42" s="23"/>
      <c r="Z42" s="23"/>
      <c r="AA42" s="71"/>
    </row>
    <row r="43" ht="14.25" customHeight="1">
      <c r="A43" s="75"/>
      <c r="B43" s="24" t="s">
        <v>10</v>
      </c>
      <c r="C43" s="27" t="s">
        <v>50</v>
      </c>
      <c r="D43" s="76"/>
      <c r="E43" s="75"/>
      <c r="F43" s="24" t="s">
        <v>10</v>
      </c>
      <c r="G43" s="27" t="s">
        <v>50</v>
      </c>
      <c r="H43" s="76"/>
      <c r="I43" s="23"/>
      <c r="J43" s="23"/>
      <c r="K43" s="23"/>
      <c r="L43" s="23"/>
      <c r="M43" s="23"/>
      <c r="N43" s="23"/>
      <c r="O43" s="23"/>
      <c r="P43" s="23"/>
      <c r="Q43" s="23"/>
      <c r="R43" s="23"/>
      <c r="S43" s="23"/>
      <c r="T43" s="23"/>
      <c r="U43" s="23"/>
      <c r="V43" s="23"/>
      <c r="W43" s="23"/>
      <c r="X43" s="23"/>
      <c r="Y43" s="23"/>
      <c r="Z43" s="23"/>
      <c r="AA43" s="71"/>
    </row>
    <row r="44" ht="14.25" customHeight="1">
      <c r="A44" s="77">
        <v>1.0</v>
      </c>
      <c r="B44" s="29" t="s">
        <v>21</v>
      </c>
      <c r="C44" s="56">
        <f>('Aggregated EOQ'!J4+'Aggregated EOQ'!V4+'Aggregated EOQ'!AH4+'Aggregated EOQ'!AT4+'Aggregated EOQ'!BF4+'Aggregated EOQ'!BR4+'Aggregated EOQ'!CD4+'Aggregated EOQ'!CP4+'Aggregated EOQ'!DB4+'Aggregated EOQ'!DN4+'Aggregated EOQ'!DZ4+'Aggregated EOQ'!EL4)/52</f>
        <v>19427.89295</v>
      </c>
      <c r="D44" s="76"/>
      <c r="E44" s="77">
        <v>1.0</v>
      </c>
      <c r="F44" s="29" t="s">
        <v>21</v>
      </c>
      <c r="G44" s="56">
        <f>SUM('Aggregated EOQ'!N4,'Aggregated EOQ'!Z4,'Aggregated EOQ'!AL4,'Aggregated EOQ'!AX4,'Aggregated EOQ'!BJ4,'Aggregated EOQ'!BV4,'Aggregated EOQ'!CH4,'Aggregated EOQ'!CT4,'Aggregated EOQ'!DF4,'Aggregated EOQ'!DR4,'Aggregated EOQ'!ED4,'Aggregated EOQ'!EP4)*Products!C3/52</f>
        <v>0</v>
      </c>
      <c r="H44" s="76"/>
      <c r="I44" s="23"/>
      <c r="J44" s="23"/>
      <c r="K44" s="23"/>
      <c r="L44" s="23"/>
      <c r="M44" s="23"/>
      <c r="N44" s="23"/>
      <c r="O44" s="23"/>
      <c r="P44" s="23"/>
      <c r="Q44" s="23"/>
      <c r="R44" s="23"/>
      <c r="S44" s="23"/>
      <c r="T44" s="23"/>
      <c r="U44" s="23"/>
      <c r="V44" s="23"/>
      <c r="W44" s="23"/>
      <c r="X44" s="23"/>
      <c r="Y44" s="23"/>
      <c r="Z44" s="23"/>
      <c r="AA44" s="71"/>
    </row>
    <row r="45" ht="14.25" customHeight="1">
      <c r="A45" s="77">
        <v>2.0</v>
      </c>
      <c r="B45" s="36" t="s">
        <v>23</v>
      </c>
      <c r="C45" s="56">
        <f>('Aggregated EOQ'!J5+'Aggregated EOQ'!V5+'Aggregated EOQ'!AH5+'Aggregated EOQ'!AT5+'Aggregated EOQ'!BF5+'Aggregated EOQ'!BR5+'Aggregated EOQ'!CD5+'Aggregated EOQ'!CP5+'Aggregated EOQ'!DB5+'Aggregated EOQ'!DN5+'Aggregated EOQ'!DZ5+'Aggregated EOQ'!EL5)/52</f>
        <v>72053804.89</v>
      </c>
      <c r="D45" s="76"/>
      <c r="E45" s="77">
        <v>2.0</v>
      </c>
      <c r="F45" s="36" t="s">
        <v>23</v>
      </c>
      <c r="G45" s="56">
        <f>SUM('Aggregated EOQ'!N5,'Aggregated EOQ'!Z5,'Aggregated EOQ'!AL5,'Aggregated EOQ'!AX5,'Aggregated EOQ'!BJ5,'Aggregated EOQ'!BV5,'Aggregated EOQ'!CH5,'Aggregated EOQ'!CT5,'Aggregated EOQ'!DF5,'Aggregated EOQ'!DR5,'Aggregated EOQ'!ED5,'Aggregated EOQ'!EP5)*Products!C4/52</f>
        <v>0</v>
      </c>
      <c r="H45" s="76"/>
      <c r="I45" s="23"/>
      <c r="J45" s="23"/>
      <c r="K45" s="23"/>
      <c r="L45" s="23"/>
      <c r="M45" s="23"/>
      <c r="N45" s="23"/>
      <c r="O45" s="23"/>
      <c r="P45" s="23"/>
      <c r="Q45" s="23"/>
      <c r="R45" s="23"/>
      <c r="S45" s="23"/>
      <c r="T45" s="23"/>
      <c r="U45" s="23"/>
      <c r="V45" s="23"/>
      <c r="W45" s="23"/>
      <c r="X45" s="23"/>
      <c r="Y45" s="23"/>
      <c r="Z45" s="23"/>
      <c r="AA45" s="71"/>
    </row>
    <row r="46" ht="14.25" customHeight="1">
      <c r="A46" s="77">
        <v>3.0</v>
      </c>
      <c r="B46" s="36" t="s">
        <v>25</v>
      </c>
      <c r="C46" s="56">
        <f>('Aggregated EOQ'!J6+'Aggregated EOQ'!V6+'Aggregated EOQ'!AH6+'Aggregated EOQ'!AT6+'Aggregated EOQ'!BF6+'Aggregated EOQ'!BR6+'Aggregated EOQ'!CD6+'Aggregated EOQ'!CP6+'Aggregated EOQ'!DB6+'Aggregated EOQ'!DN6+'Aggregated EOQ'!DZ6+'Aggregated EOQ'!EL6)/52</f>
        <v>13799.177</v>
      </c>
      <c r="D46" s="76"/>
      <c r="E46" s="77">
        <v>3.0</v>
      </c>
      <c r="F46" s="36" t="s">
        <v>25</v>
      </c>
      <c r="G46" s="56">
        <f>SUM('Aggregated EOQ'!N6,'Aggregated EOQ'!Z6,'Aggregated EOQ'!AL6,'Aggregated EOQ'!AX6,'Aggregated EOQ'!BJ6,'Aggregated EOQ'!BV6,'Aggregated EOQ'!CH6,'Aggregated EOQ'!CT6,'Aggregated EOQ'!DF6,'Aggregated EOQ'!DR6,'Aggregated EOQ'!ED6,'Aggregated EOQ'!EP6)*Products!C5/52</f>
        <v>0</v>
      </c>
      <c r="H46" s="76"/>
      <c r="I46" s="23"/>
      <c r="J46" s="23"/>
      <c r="K46" s="23"/>
      <c r="L46" s="23"/>
      <c r="M46" s="23"/>
      <c r="N46" s="23"/>
      <c r="O46" s="23"/>
      <c r="P46" s="23"/>
      <c r="Q46" s="23"/>
      <c r="R46" s="23"/>
      <c r="S46" s="23"/>
      <c r="T46" s="23"/>
      <c r="U46" s="23"/>
      <c r="V46" s="23"/>
      <c r="W46" s="23"/>
      <c r="X46" s="23"/>
      <c r="Y46" s="23"/>
      <c r="Z46" s="23"/>
      <c r="AA46" s="71"/>
    </row>
    <row r="47" ht="14.25" customHeight="1">
      <c r="A47" s="77">
        <v>4.0</v>
      </c>
      <c r="B47" s="36" t="s">
        <v>27</v>
      </c>
      <c r="C47" s="56">
        <f>('Aggregated EOQ'!J7+'Aggregated EOQ'!V7+'Aggregated EOQ'!AH7+'Aggregated EOQ'!AT7+'Aggregated EOQ'!BF7+'Aggregated EOQ'!BR7+'Aggregated EOQ'!CD7+'Aggregated EOQ'!CP7+'Aggregated EOQ'!DB7+'Aggregated EOQ'!DN7+'Aggregated EOQ'!DZ7+'Aggregated EOQ'!EL7)/52</f>
        <v>261353.2171</v>
      </c>
      <c r="D47" s="76"/>
      <c r="E47" s="77">
        <v>4.0</v>
      </c>
      <c r="F47" s="36" t="s">
        <v>27</v>
      </c>
      <c r="G47" s="56">
        <f>SUM('Aggregated EOQ'!N7,'Aggregated EOQ'!Z7,'Aggregated EOQ'!AL7,'Aggregated EOQ'!AX7,'Aggregated EOQ'!BJ7,'Aggregated EOQ'!BV7,'Aggregated EOQ'!CH7,'Aggregated EOQ'!CT7,'Aggregated EOQ'!DF7,'Aggregated EOQ'!DR7,'Aggregated EOQ'!ED7,'Aggregated EOQ'!EP7)*Products!C6/52</f>
        <v>0</v>
      </c>
      <c r="H47" s="76"/>
      <c r="I47" s="23"/>
      <c r="J47" s="23"/>
      <c r="K47" s="23"/>
      <c r="L47" s="23"/>
      <c r="M47" s="23"/>
      <c r="N47" s="23"/>
      <c r="O47" s="23"/>
      <c r="P47" s="23"/>
      <c r="Q47" s="23"/>
      <c r="R47" s="23"/>
      <c r="S47" s="23"/>
      <c r="T47" s="23"/>
      <c r="U47" s="23"/>
      <c r="V47" s="23"/>
      <c r="W47" s="23"/>
      <c r="X47" s="23"/>
      <c r="Y47" s="23"/>
      <c r="Z47" s="23"/>
      <c r="AA47" s="71"/>
    </row>
    <row r="48" ht="14.25" customHeight="1">
      <c r="A48" s="77">
        <v>5.0</v>
      </c>
      <c r="B48" s="36" t="s">
        <v>29</v>
      </c>
      <c r="C48" s="56">
        <f>('Aggregated EOQ'!J8+'Aggregated EOQ'!V8+'Aggregated EOQ'!AH8+'Aggregated EOQ'!AT8+'Aggregated EOQ'!BF8+'Aggregated EOQ'!BR8+'Aggregated EOQ'!CD8+'Aggregated EOQ'!CP8+'Aggregated EOQ'!DB8+'Aggregated EOQ'!DN8+'Aggregated EOQ'!DZ8+'Aggregated EOQ'!EL8)/52</f>
        <v>49556.08914</v>
      </c>
      <c r="D48" s="76"/>
      <c r="E48" s="77">
        <v>5.0</v>
      </c>
      <c r="F48" s="36" t="s">
        <v>29</v>
      </c>
      <c r="G48" s="56">
        <f>SUM('Aggregated EOQ'!N8,'Aggregated EOQ'!Z8,'Aggregated EOQ'!AL8,'Aggregated EOQ'!AX8,'Aggregated EOQ'!BJ8,'Aggregated EOQ'!BV8,'Aggregated EOQ'!CH8,'Aggregated EOQ'!CT8,'Aggregated EOQ'!DF8,'Aggregated EOQ'!DR8,'Aggregated EOQ'!ED8,'Aggregated EOQ'!EP8)*Products!C7/52</f>
        <v>0</v>
      </c>
      <c r="H48" s="76"/>
      <c r="I48" s="23"/>
      <c r="J48" s="23"/>
      <c r="K48" s="23"/>
      <c r="L48" s="23"/>
      <c r="M48" s="23"/>
      <c r="N48" s="23"/>
      <c r="O48" s="23"/>
      <c r="P48" s="23"/>
      <c r="Q48" s="23"/>
      <c r="R48" s="23"/>
      <c r="S48" s="23"/>
      <c r="T48" s="23"/>
      <c r="U48" s="23"/>
      <c r="V48" s="23"/>
      <c r="W48" s="23"/>
      <c r="X48" s="23"/>
      <c r="Y48" s="23"/>
      <c r="Z48" s="23"/>
      <c r="AA48" s="71"/>
    </row>
    <row r="49" ht="14.25" customHeight="1">
      <c r="A49" s="78">
        <v>6.0</v>
      </c>
      <c r="B49" s="36" t="s">
        <v>31</v>
      </c>
      <c r="C49" s="56">
        <f>('Aggregated EOQ'!J9+'Aggregated EOQ'!V9+'Aggregated EOQ'!AH9+'Aggregated EOQ'!AT9+'Aggregated EOQ'!BF9+'Aggregated EOQ'!BR9+'Aggregated EOQ'!CD9+'Aggregated EOQ'!CP9+'Aggregated EOQ'!DB9+'Aggregated EOQ'!DN9+'Aggregated EOQ'!DZ9+'Aggregated EOQ'!EL9)/52</f>
        <v>350334726.4</v>
      </c>
      <c r="D49" s="76"/>
      <c r="E49" s="78">
        <v>6.0</v>
      </c>
      <c r="F49" s="36" t="s">
        <v>31</v>
      </c>
      <c r="G49" s="56">
        <f>SUM('Aggregated EOQ'!N9,'Aggregated EOQ'!Z9,'Aggregated EOQ'!AL9,'Aggregated EOQ'!AX9,'Aggregated EOQ'!BJ9,'Aggregated EOQ'!BV9,'Aggregated EOQ'!CH9,'Aggregated EOQ'!CT9,'Aggregated EOQ'!DF9,'Aggregated EOQ'!DR9,'Aggregated EOQ'!ED9,'Aggregated EOQ'!EP9)*Products!C8/52</f>
        <v>0</v>
      </c>
      <c r="H49" s="76"/>
      <c r="I49" s="23"/>
      <c r="J49" s="23"/>
      <c r="K49" s="23"/>
      <c r="L49" s="23"/>
      <c r="M49" s="23"/>
      <c r="N49" s="23"/>
      <c r="O49" s="23"/>
      <c r="P49" s="23"/>
      <c r="Q49" s="23"/>
      <c r="R49" s="23"/>
      <c r="S49" s="23"/>
      <c r="T49" s="23"/>
      <c r="U49" s="23"/>
      <c r="V49" s="23"/>
      <c r="W49" s="23"/>
      <c r="X49" s="23"/>
      <c r="Y49" s="23"/>
      <c r="Z49" s="23"/>
      <c r="AA49" s="71"/>
    </row>
    <row r="50" ht="14.25" customHeight="1">
      <c r="A50" s="78">
        <v>7.0</v>
      </c>
      <c r="B50" s="36" t="s">
        <v>33</v>
      </c>
      <c r="C50" s="56">
        <f>('Aggregated EOQ'!J10+'Aggregated EOQ'!V10+'Aggregated EOQ'!AH10+'Aggregated EOQ'!AT10+'Aggregated EOQ'!BF10+'Aggregated EOQ'!BR10+'Aggregated EOQ'!CD10+'Aggregated EOQ'!CP10+'Aggregated EOQ'!DB10+'Aggregated EOQ'!DN10+'Aggregated EOQ'!DZ10+'Aggregated EOQ'!EL10)/52</f>
        <v>77.70071637</v>
      </c>
      <c r="D50" s="76"/>
      <c r="E50" s="78">
        <v>7.0</v>
      </c>
      <c r="F50" s="36" t="s">
        <v>33</v>
      </c>
      <c r="G50" s="56">
        <f>SUM('Aggregated EOQ'!N10,'Aggregated EOQ'!Z10,'Aggregated EOQ'!AL10,'Aggregated EOQ'!AX10,'Aggregated EOQ'!BJ10,'Aggregated EOQ'!BV10,'Aggregated EOQ'!CH10,'Aggregated EOQ'!CT10,'Aggregated EOQ'!DF10,'Aggregated EOQ'!DR10,'Aggregated EOQ'!ED10,'Aggregated EOQ'!EP10)*Products!C9/52</f>
        <v>5.207469006</v>
      </c>
      <c r="H50" s="76"/>
      <c r="I50" s="23"/>
      <c r="J50" s="23"/>
      <c r="K50" s="23"/>
      <c r="L50" s="23"/>
      <c r="M50" s="23"/>
      <c r="N50" s="23"/>
      <c r="O50" s="23"/>
      <c r="P50" s="23"/>
      <c r="Q50" s="23"/>
      <c r="R50" s="23"/>
      <c r="S50" s="23"/>
      <c r="T50" s="23"/>
      <c r="U50" s="23"/>
      <c r="V50" s="23"/>
      <c r="W50" s="23"/>
      <c r="X50" s="23"/>
      <c r="Y50" s="23"/>
      <c r="Z50" s="23"/>
      <c r="AA50" s="71"/>
    </row>
    <row r="51" ht="14.25" customHeight="1">
      <c r="A51" s="79">
        <v>8.0</v>
      </c>
      <c r="B51" s="39" t="s">
        <v>35</v>
      </c>
      <c r="C51" s="68">
        <f>('Aggregated EOQ'!J11+'Aggregated EOQ'!V11+'Aggregated EOQ'!AH11+'Aggregated EOQ'!AT11+'Aggregated EOQ'!BF11+'Aggregated EOQ'!BR11+'Aggregated EOQ'!CD11+'Aggregated EOQ'!CP11+'Aggregated EOQ'!DB11+'Aggregated EOQ'!DN11+'Aggregated EOQ'!DZ11+'Aggregated EOQ'!EL11)/52</f>
        <v>720545.6017</v>
      </c>
      <c r="D51" s="76"/>
      <c r="E51" s="79">
        <v>8.0</v>
      </c>
      <c r="F51" s="39" t="s">
        <v>35</v>
      </c>
      <c r="G51" s="68">
        <f>SUM('Aggregated EOQ'!N11,'Aggregated EOQ'!Z11,'Aggregated EOQ'!AL11,'Aggregated EOQ'!AX11,'Aggregated EOQ'!BJ11,'Aggregated EOQ'!BV11,'Aggregated EOQ'!CH11,'Aggregated EOQ'!CT11,'Aggregated EOQ'!DF11,'Aggregated EOQ'!DR11,'Aggregated EOQ'!ED11,'Aggregated EOQ'!EP11)*Products!C10/52</f>
        <v>0</v>
      </c>
      <c r="H51" s="76"/>
      <c r="I51" s="23"/>
      <c r="J51" s="23"/>
      <c r="K51" s="23"/>
      <c r="L51" s="23"/>
      <c r="M51" s="23"/>
      <c r="N51" s="23"/>
      <c r="O51" s="23"/>
      <c r="P51" s="23"/>
      <c r="Q51" s="23"/>
      <c r="R51" s="23"/>
      <c r="S51" s="23"/>
      <c r="T51" s="23"/>
      <c r="U51" s="23"/>
      <c r="V51" s="23"/>
      <c r="W51" s="23"/>
      <c r="X51" s="23"/>
      <c r="Y51" s="23"/>
      <c r="Z51" s="23"/>
      <c r="AA51" s="71"/>
    </row>
    <row r="52" ht="14.25" customHeight="1">
      <c r="A52" s="23"/>
      <c r="B52" s="59"/>
      <c r="C52" s="80">
        <f>SUM(C44:C51)</f>
        <v>423453291</v>
      </c>
      <c r="D52" s="23"/>
      <c r="E52" s="23"/>
      <c r="F52" s="59"/>
      <c r="G52" s="59"/>
      <c r="H52" s="23"/>
      <c r="I52" s="23"/>
      <c r="J52" s="23"/>
      <c r="K52" s="23"/>
      <c r="L52" s="23"/>
      <c r="M52" s="23"/>
      <c r="N52" s="23"/>
      <c r="O52" s="23"/>
      <c r="P52" s="23"/>
      <c r="Q52" s="23"/>
      <c r="R52" s="23"/>
      <c r="S52" s="23"/>
      <c r="T52" s="23"/>
      <c r="U52" s="23"/>
      <c r="V52" s="23"/>
      <c r="W52" s="23"/>
      <c r="X52" s="23"/>
      <c r="Y52" s="23"/>
      <c r="Z52" s="23"/>
      <c r="AA52" s="71"/>
    </row>
    <row r="53" ht="14.25" customHeight="1">
      <c r="A53" s="23"/>
      <c r="B53" s="23"/>
      <c r="C53" s="23"/>
      <c r="D53" s="74"/>
      <c r="E53" s="74"/>
      <c r="F53" s="74"/>
      <c r="G53" s="74"/>
      <c r="H53" s="23"/>
      <c r="I53" s="23"/>
      <c r="J53" s="23"/>
      <c r="K53" s="23"/>
      <c r="L53" s="23"/>
      <c r="M53" s="23"/>
      <c r="N53" s="23"/>
      <c r="O53" s="23"/>
      <c r="P53" s="23"/>
      <c r="Q53" s="23"/>
      <c r="R53" s="23"/>
      <c r="S53" s="23"/>
      <c r="T53" s="23"/>
      <c r="U53" s="23"/>
      <c r="V53" s="23"/>
      <c r="W53" s="23"/>
      <c r="X53" s="23"/>
      <c r="Y53" s="23"/>
      <c r="Z53" s="23"/>
      <c r="AA53" s="71"/>
    </row>
    <row r="54" ht="14.25" customHeight="1">
      <c r="A54" s="23"/>
      <c r="B54" s="49" t="s">
        <v>55</v>
      </c>
      <c r="C54" s="51"/>
      <c r="D54" s="23"/>
      <c r="E54" s="23"/>
      <c r="F54" s="49" t="s">
        <v>56</v>
      </c>
      <c r="G54" s="51"/>
      <c r="H54" s="23"/>
      <c r="I54" s="23"/>
      <c r="J54" s="23"/>
      <c r="K54" s="23"/>
      <c r="L54" s="23"/>
      <c r="M54" s="23"/>
      <c r="N54" s="23"/>
      <c r="O54" s="23"/>
      <c r="P54" s="23"/>
      <c r="Q54" s="23"/>
      <c r="R54" s="23"/>
      <c r="S54" s="23"/>
      <c r="T54" s="23"/>
      <c r="U54" s="23"/>
      <c r="V54" s="23"/>
      <c r="W54" s="23"/>
      <c r="X54" s="23"/>
      <c r="Y54" s="23"/>
      <c r="Z54" s="23"/>
      <c r="AA54" s="71"/>
    </row>
    <row r="55" ht="14.25" customHeight="1">
      <c r="A55" s="75"/>
      <c r="B55" s="24" t="s">
        <v>10</v>
      </c>
      <c r="C55" s="27" t="s">
        <v>50</v>
      </c>
      <c r="D55" s="76"/>
      <c r="E55" s="75"/>
      <c r="F55" s="24" t="s">
        <v>10</v>
      </c>
      <c r="G55" s="27" t="s">
        <v>50</v>
      </c>
      <c r="H55" s="76"/>
      <c r="I55" s="23"/>
      <c r="J55" s="23"/>
      <c r="K55" s="23"/>
      <c r="L55" s="23"/>
      <c r="M55" s="23"/>
      <c r="N55" s="23"/>
      <c r="O55" s="23"/>
      <c r="P55" s="23"/>
      <c r="Q55" s="23"/>
      <c r="R55" s="23"/>
      <c r="S55" s="23"/>
      <c r="T55" s="23"/>
      <c r="U55" s="23"/>
      <c r="V55" s="23"/>
      <c r="W55" s="23"/>
      <c r="X55" s="23"/>
      <c r="Y55" s="23"/>
      <c r="Z55" s="23"/>
      <c r="AA55" s="71"/>
    </row>
    <row r="56" ht="14.25" customHeight="1">
      <c r="A56" s="77">
        <v>1.0</v>
      </c>
      <c r="B56" s="29" t="s">
        <v>21</v>
      </c>
      <c r="C56" s="56">
        <f>('Aggregated EOQ'!I4+'Aggregated EOQ'!U4+'Aggregated EOQ'!AG4+'Aggregated EOQ'!AS4+'Aggregated EOQ'!BE4+'Aggregated EOQ'!BQ4+'Aggregated EOQ'!CC4+'Aggregated EOQ'!CO4+'Aggregated EOQ'!DA4+'Aggregated EOQ'!DM4+'Aggregated EOQ'!DY4+'Aggregated EOQ'!EK4)/52</f>
        <v>16949.71645</v>
      </c>
      <c r="D56" s="76"/>
      <c r="E56" s="77">
        <v>1.0</v>
      </c>
      <c r="F56" s="29" t="s">
        <v>21</v>
      </c>
      <c r="G56" s="56">
        <f>('Aggregated EOQ'!L4+'Aggregated EOQ'!X4+'Aggregated EOQ'!AJ4+'Aggregated EOQ'!AV4+'Aggregated EOQ'!BH4+'Aggregated EOQ'!BT4+'Aggregated EOQ'!CF4+'Aggregated EOQ'!CR4+'Aggregated EOQ'!DD4+'Aggregated EOQ'!DP4+'Aggregated EOQ'!EB4+'Aggregated EOQ'!EN4)/52</f>
        <v>1849410.724</v>
      </c>
      <c r="H56" s="76"/>
      <c r="I56" s="23"/>
      <c r="J56" s="23"/>
      <c r="K56" s="23"/>
      <c r="L56" s="23"/>
      <c r="M56" s="23"/>
      <c r="N56" s="23"/>
      <c r="O56" s="23"/>
      <c r="P56" s="23"/>
      <c r="Q56" s="23"/>
      <c r="R56" s="23"/>
      <c r="S56" s="23"/>
      <c r="T56" s="23"/>
      <c r="U56" s="23"/>
      <c r="V56" s="23"/>
      <c r="W56" s="23"/>
      <c r="X56" s="23"/>
      <c r="Y56" s="23"/>
      <c r="Z56" s="23"/>
      <c r="AA56" s="71"/>
    </row>
    <row r="57" ht="14.25" customHeight="1">
      <c r="A57" s="77">
        <v>2.0</v>
      </c>
      <c r="B57" s="36" t="s">
        <v>23</v>
      </c>
      <c r="C57" s="56">
        <f>('Aggregated EOQ'!I5+'Aggregated EOQ'!U5+'Aggregated EOQ'!AG5+'Aggregated EOQ'!AS5+'Aggregated EOQ'!BE5+'Aggregated EOQ'!BQ5+'Aggregated EOQ'!CC5+'Aggregated EOQ'!CO5+'Aggregated EOQ'!DA5+'Aggregated EOQ'!DM5+'Aggregated EOQ'!DY5+'Aggregated EOQ'!EK5)/52</f>
        <v>36105.21609</v>
      </c>
      <c r="D57" s="76"/>
      <c r="E57" s="77">
        <v>2.0</v>
      </c>
      <c r="F57" s="36" t="s">
        <v>23</v>
      </c>
      <c r="G57" s="56">
        <f>('Aggregated EOQ'!L5+'Aggregated EOQ'!X5+'Aggregated EOQ'!AJ5+'Aggregated EOQ'!AV5+'Aggregated EOQ'!BH5+'Aggregated EOQ'!BT5+'Aggregated EOQ'!CF5+'Aggregated EOQ'!CR5+'Aggregated EOQ'!DD5+'Aggregated EOQ'!DP5+'Aggregated EOQ'!EB5+'Aggregated EOQ'!EN5)/52</f>
        <v>1360406.537</v>
      </c>
      <c r="H57" s="76"/>
      <c r="I57" s="23"/>
      <c r="J57" s="23"/>
      <c r="K57" s="23"/>
      <c r="L57" s="23"/>
      <c r="M57" s="23"/>
      <c r="N57" s="23"/>
      <c r="O57" s="23"/>
      <c r="P57" s="23"/>
      <c r="Q57" s="23"/>
      <c r="R57" s="23"/>
      <c r="S57" s="23"/>
      <c r="T57" s="23"/>
      <c r="U57" s="23"/>
      <c r="V57" s="23"/>
      <c r="W57" s="23"/>
      <c r="X57" s="23"/>
      <c r="Y57" s="23"/>
      <c r="Z57" s="23"/>
      <c r="AA57" s="71"/>
    </row>
    <row r="58" ht="14.25" customHeight="1">
      <c r="A58" s="77">
        <v>3.0</v>
      </c>
      <c r="B58" s="36" t="s">
        <v>25</v>
      </c>
      <c r="C58" s="56">
        <f>('Aggregated EOQ'!I6+'Aggregated EOQ'!U6+'Aggregated EOQ'!AG6+'Aggregated EOQ'!AS6+'Aggregated EOQ'!BE6+'Aggregated EOQ'!BQ6+'Aggregated EOQ'!CC6+'Aggregated EOQ'!CO6+'Aggregated EOQ'!DA6+'Aggregated EOQ'!DM6+'Aggregated EOQ'!DY6+'Aggregated EOQ'!EK6)/52</f>
        <v>13262.87666</v>
      </c>
      <c r="D58" s="76"/>
      <c r="E58" s="77">
        <v>3.0</v>
      </c>
      <c r="F58" s="36" t="s">
        <v>25</v>
      </c>
      <c r="G58" s="56">
        <f>('Aggregated EOQ'!L6+'Aggregated EOQ'!X6+'Aggregated EOQ'!AJ6+'Aggregated EOQ'!AV6+'Aggregated EOQ'!BH6+'Aggregated EOQ'!BT6+'Aggregated EOQ'!CF6+'Aggregated EOQ'!CR6+'Aggregated EOQ'!DD6+'Aggregated EOQ'!DP6+'Aggregated EOQ'!EB6+'Aggregated EOQ'!EN6)/52</f>
        <v>410235.237</v>
      </c>
      <c r="H58" s="76"/>
      <c r="I58" s="23"/>
      <c r="J58" s="23"/>
      <c r="K58" s="23"/>
      <c r="L58" s="23"/>
      <c r="M58" s="23"/>
      <c r="N58" s="23"/>
      <c r="O58" s="23"/>
      <c r="P58" s="23"/>
      <c r="Q58" s="23"/>
      <c r="R58" s="23"/>
      <c r="S58" s="23"/>
      <c r="T58" s="23"/>
      <c r="U58" s="23"/>
      <c r="V58" s="23"/>
      <c r="W58" s="23"/>
      <c r="X58" s="23"/>
      <c r="Y58" s="23"/>
      <c r="Z58" s="23"/>
      <c r="AA58" s="71"/>
    </row>
    <row r="59" ht="14.25" customHeight="1">
      <c r="A59" s="77">
        <v>4.0</v>
      </c>
      <c r="B59" s="36" t="s">
        <v>27</v>
      </c>
      <c r="C59" s="56">
        <f>('Aggregated EOQ'!I7+'Aggregated EOQ'!U7+'Aggregated EOQ'!AG7+'Aggregated EOQ'!AS7+'Aggregated EOQ'!BE7+'Aggregated EOQ'!BQ7+'Aggregated EOQ'!CC7+'Aggregated EOQ'!CO7+'Aggregated EOQ'!DA7+'Aggregated EOQ'!DM7+'Aggregated EOQ'!DY7+'Aggregated EOQ'!EK7)/52</f>
        <v>47294.35392</v>
      </c>
      <c r="D59" s="76"/>
      <c r="E59" s="77">
        <v>4.0</v>
      </c>
      <c r="F59" s="36" t="s">
        <v>27</v>
      </c>
      <c r="G59" s="56">
        <f>('Aggregated EOQ'!L7+'Aggregated EOQ'!X7+'Aggregated EOQ'!AJ7+'Aggregated EOQ'!AV7+'Aggregated EOQ'!BH7+'Aggregated EOQ'!BT7+'Aggregated EOQ'!CF7+'Aggregated EOQ'!CR7+'Aggregated EOQ'!DD7+'Aggregated EOQ'!DP7+'Aggregated EOQ'!EB7+'Aggregated EOQ'!EN7)/52</f>
        <v>330134.2624</v>
      </c>
      <c r="H59" s="76"/>
      <c r="I59" s="23"/>
      <c r="J59" s="23"/>
      <c r="K59" s="23"/>
      <c r="L59" s="23"/>
      <c r="M59" s="23"/>
      <c r="N59" s="23"/>
      <c r="O59" s="23"/>
      <c r="P59" s="23"/>
      <c r="Q59" s="23"/>
      <c r="R59" s="23"/>
      <c r="S59" s="23"/>
      <c r="T59" s="23"/>
      <c r="U59" s="23"/>
      <c r="V59" s="23"/>
      <c r="W59" s="23"/>
      <c r="X59" s="23"/>
      <c r="Y59" s="23"/>
      <c r="Z59" s="23"/>
      <c r="AA59" s="71"/>
    </row>
    <row r="60" ht="14.25" customHeight="1">
      <c r="A60" s="77">
        <v>5.0</v>
      </c>
      <c r="B60" s="36" t="s">
        <v>29</v>
      </c>
      <c r="C60" s="56">
        <f>('Aggregated EOQ'!I8+'Aggregated EOQ'!U8+'Aggregated EOQ'!AG8+'Aggregated EOQ'!AS8+'Aggregated EOQ'!BE8+'Aggregated EOQ'!BQ8+'Aggregated EOQ'!CC8+'Aggregated EOQ'!CO8+'Aggregated EOQ'!DA8+'Aggregated EOQ'!DM8+'Aggregated EOQ'!DY8+'Aggregated EOQ'!EK8)/52</f>
        <v>6059.14444</v>
      </c>
      <c r="D60" s="76"/>
      <c r="E60" s="77">
        <v>5.0</v>
      </c>
      <c r="F60" s="36" t="s">
        <v>29</v>
      </c>
      <c r="G60" s="56">
        <f>('Aggregated EOQ'!L8+'Aggregated EOQ'!X8+'Aggregated EOQ'!AJ8+'Aggregated EOQ'!AV8+'Aggregated EOQ'!BH8+'Aggregated EOQ'!BT8+'Aggregated EOQ'!CF8+'Aggregated EOQ'!CR8+'Aggregated EOQ'!DD8+'Aggregated EOQ'!DP8+'Aggregated EOQ'!EB8+'Aggregated EOQ'!EN8)/52</f>
        <v>187924.0683</v>
      </c>
      <c r="H60" s="76"/>
      <c r="I60" s="23"/>
      <c r="J60" s="23"/>
      <c r="K60" s="23"/>
      <c r="L60" s="23"/>
      <c r="M60" s="23"/>
      <c r="N60" s="23"/>
      <c r="O60" s="23"/>
      <c r="P60" s="23"/>
      <c r="Q60" s="23"/>
      <c r="R60" s="23"/>
      <c r="S60" s="23"/>
      <c r="T60" s="23"/>
      <c r="U60" s="23"/>
      <c r="V60" s="23"/>
      <c r="W60" s="23"/>
      <c r="X60" s="23"/>
      <c r="Y60" s="23"/>
      <c r="Z60" s="23"/>
      <c r="AA60" s="71"/>
    </row>
    <row r="61" ht="14.25" customHeight="1">
      <c r="A61" s="78">
        <v>6.0</v>
      </c>
      <c r="B61" s="36" t="s">
        <v>31</v>
      </c>
      <c r="C61" s="56">
        <f>('Aggregated EOQ'!I9+'Aggregated EOQ'!U9+'Aggregated EOQ'!AG9+'Aggregated EOQ'!AS9+'Aggregated EOQ'!BE9+'Aggregated EOQ'!BQ9+'Aggregated EOQ'!CC9+'Aggregated EOQ'!CO9+'Aggregated EOQ'!DA9+'Aggregated EOQ'!DM9+'Aggregated EOQ'!DY9+'Aggregated EOQ'!EK9)/52</f>
        <v>93005.07939</v>
      </c>
      <c r="D61" s="76"/>
      <c r="E61" s="78">
        <v>6.0</v>
      </c>
      <c r="F61" s="36" t="s">
        <v>31</v>
      </c>
      <c r="G61" s="56">
        <f>('Aggregated EOQ'!L9+'Aggregated EOQ'!X9+'Aggregated EOQ'!AJ9+'Aggregated EOQ'!AV9+'Aggregated EOQ'!BH9+'Aggregated EOQ'!BT9+'Aggregated EOQ'!CF9+'Aggregated EOQ'!CR9+'Aggregated EOQ'!DD9+'Aggregated EOQ'!DP9+'Aggregated EOQ'!EB9+'Aggregated EOQ'!EN9)/52</f>
        <v>166116.6875</v>
      </c>
      <c r="H61" s="76"/>
      <c r="I61" s="23"/>
      <c r="J61" s="23"/>
      <c r="K61" s="23"/>
      <c r="L61" s="23"/>
      <c r="M61" s="23"/>
      <c r="N61" s="23"/>
      <c r="O61" s="23"/>
      <c r="P61" s="23"/>
      <c r="Q61" s="23"/>
      <c r="R61" s="23"/>
      <c r="S61" s="23"/>
      <c r="T61" s="23"/>
      <c r="U61" s="23"/>
      <c r="V61" s="23"/>
      <c r="W61" s="23"/>
      <c r="X61" s="23"/>
      <c r="Y61" s="23"/>
      <c r="Z61" s="23"/>
      <c r="AA61" s="71"/>
    </row>
    <row r="62" ht="14.25" customHeight="1">
      <c r="A62" s="78">
        <v>7.0</v>
      </c>
      <c r="B62" s="36" t="s">
        <v>33</v>
      </c>
      <c r="C62" s="56">
        <f>('Aggregated EOQ'!I10+'Aggregated EOQ'!U10+'Aggregated EOQ'!AG10+'Aggregated EOQ'!AS10+'Aggregated EOQ'!BE10+'Aggregated EOQ'!BQ10+'Aggregated EOQ'!CC10+'Aggregated EOQ'!CO10+'Aggregated EOQ'!DA10+'Aggregated EOQ'!DM10+'Aggregated EOQ'!DY10+'Aggregated EOQ'!EK10)/52</f>
        <v>14207.51331</v>
      </c>
      <c r="D62" s="76"/>
      <c r="E62" s="78">
        <v>7.0</v>
      </c>
      <c r="F62" s="36" t="s">
        <v>33</v>
      </c>
      <c r="G62" s="56">
        <f>('Aggregated EOQ'!L10+'Aggregated EOQ'!X10+'Aggregated EOQ'!AJ10+'Aggregated EOQ'!AV10+'Aggregated EOQ'!BH10+'Aggregated EOQ'!BT10+'Aggregated EOQ'!CF10+'Aggregated EOQ'!CR10+'Aggregated EOQ'!DD10+'Aggregated EOQ'!DP10+'Aggregated EOQ'!EB10+'Aggregated EOQ'!EN10)/52</f>
        <v>12639.18148</v>
      </c>
      <c r="H62" s="76"/>
      <c r="I62" s="23"/>
      <c r="J62" s="23"/>
      <c r="K62" s="23"/>
      <c r="L62" s="23"/>
      <c r="M62" s="23"/>
      <c r="N62" s="23"/>
      <c r="O62" s="23"/>
      <c r="P62" s="23"/>
      <c r="Q62" s="23"/>
      <c r="R62" s="23"/>
      <c r="S62" s="23"/>
      <c r="T62" s="23"/>
      <c r="U62" s="23"/>
      <c r="V62" s="23"/>
      <c r="W62" s="23"/>
      <c r="X62" s="23"/>
      <c r="Y62" s="23"/>
      <c r="Z62" s="23"/>
      <c r="AA62" s="71"/>
    </row>
    <row r="63" ht="15.75" customHeight="1">
      <c r="A63" s="79">
        <v>8.0</v>
      </c>
      <c r="B63" s="39" t="s">
        <v>35</v>
      </c>
      <c r="C63" s="68">
        <f>('Aggregated EOQ'!I11+'Aggregated EOQ'!U11+'Aggregated EOQ'!AG11+'Aggregated EOQ'!AS11+'Aggregated EOQ'!BE11+'Aggregated EOQ'!BQ11+'Aggregated EOQ'!CC11+'Aggregated EOQ'!CO11+'Aggregated EOQ'!DA11+'Aggregated EOQ'!DM11+'Aggregated EOQ'!DY11+'Aggregated EOQ'!EK11)/52</f>
        <v>3149491.607</v>
      </c>
      <c r="D63" s="76"/>
      <c r="E63" s="79">
        <v>8.0</v>
      </c>
      <c r="F63" s="39" t="s">
        <v>35</v>
      </c>
      <c r="G63" s="68">
        <f>('Aggregated EOQ'!L11+'Aggregated EOQ'!X11+'Aggregated EOQ'!AJ11+'Aggregated EOQ'!AV11+'Aggregated EOQ'!BH11+'Aggregated EOQ'!BT11+'Aggregated EOQ'!CF11+'Aggregated EOQ'!CR11+'Aggregated EOQ'!DD11+'Aggregated EOQ'!DP11+'Aggregated EOQ'!EB11+'Aggregated EOQ'!EN11)/52</f>
        <v>3413040.114</v>
      </c>
      <c r="H63" s="76"/>
      <c r="I63" s="23"/>
      <c r="J63" s="23"/>
      <c r="K63" s="23"/>
      <c r="L63" s="23"/>
      <c r="M63" s="23"/>
      <c r="N63" s="23"/>
      <c r="O63" s="23"/>
      <c r="P63" s="23"/>
      <c r="Q63" s="23"/>
      <c r="R63" s="23"/>
      <c r="S63" s="23"/>
      <c r="T63" s="23"/>
      <c r="U63" s="23"/>
      <c r="V63" s="23"/>
      <c r="W63" s="23"/>
      <c r="X63" s="23"/>
      <c r="Y63" s="23"/>
      <c r="Z63" s="23"/>
      <c r="AA63" s="71"/>
    </row>
    <row r="64" ht="14.25" customHeight="1">
      <c r="A64" s="23"/>
      <c r="B64" s="59"/>
      <c r="C64" s="59">
        <f>SUM(C55:C63)</f>
        <v>3376375.507</v>
      </c>
      <c r="D64" s="23"/>
      <c r="E64" s="23"/>
      <c r="F64" s="59"/>
      <c r="G64" s="80">
        <f>SUM(G56:G63)</f>
        <v>7729906.811</v>
      </c>
      <c r="H64" s="23"/>
      <c r="I64" s="23"/>
      <c r="J64" s="23"/>
      <c r="K64" s="23"/>
      <c r="L64" s="23"/>
      <c r="M64" s="23"/>
      <c r="N64" s="23"/>
      <c r="O64" s="23"/>
      <c r="P64" s="23"/>
      <c r="Q64" s="23"/>
      <c r="R64" s="23"/>
      <c r="S64" s="23"/>
      <c r="T64" s="23"/>
      <c r="U64" s="23"/>
      <c r="V64" s="23"/>
      <c r="W64" s="23"/>
      <c r="X64" s="23"/>
      <c r="Y64" s="23"/>
      <c r="Z64" s="23"/>
      <c r="AA64" s="71"/>
    </row>
    <row r="65" ht="14.25" customHeight="1">
      <c r="A65" s="23"/>
      <c r="B65" s="23"/>
      <c r="C65" s="23"/>
      <c r="D65" s="23"/>
      <c r="E65" s="81"/>
      <c r="F65" s="81"/>
      <c r="G65" s="23"/>
      <c r="H65" s="23"/>
      <c r="I65" s="23"/>
      <c r="J65" s="23"/>
      <c r="K65" s="23"/>
      <c r="L65" s="23"/>
      <c r="M65" s="23"/>
      <c r="N65" s="23"/>
      <c r="O65" s="23"/>
      <c r="P65" s="23"/>
      <c r="Q65" s="23"/>
      <c r="R65" s="23"/>
      <c r="S65" s="23"/>
      <c r="T65" s="23"/>
      <c r="U65" s="23"/>
      <c r="V65" s="23"/>
      <c r="W65" s="23"/>
      <c r="X65" s="23"/>
      <c r="Y65" s="23"/>
      <c r="Z65" s="23"/>
      <c r="AA65" s="71"/>
    </row>
    <row r="66" ht="14.25" customHeight="1">
      <c r="A66" s="23"/>
      <c r="B66" s="73" t="s">
        <v>57</v>
      </c>
      <c r="C66" s="18"/>
      <c r="D66" s="82"/>
      <c r="G66" s="76"/>
      <c r="H66" s="23"/>
      <c r="I66" s="23"/>
      <c r="J66" s="23"/>
      <c r="K66" s="23"/>
      <c r="L66" s="23"/>
      <c r="M66" s="23"/>
      <c r="N66" s="23"/>
      <c r="O66" s="23"/>
      <c r="P66" s="23"/>
      <c r="Q66" s="23"/>
      <c r="R66" s="23"/>
      <c r="S66" s="23"/>
      <c r="T66" s="23"/>
      <c r="U66" s="23"/>
      <c r="V66" s="23"/>
      <c r="W66" s="23"/>
      <c r="X66" s="23"/>
      <c r="Y66" s="23"/>
      <c r="Z66" s="23"/>
      <c r="AA66" s="71"/>
    </row>
    <row r="67" ht="14.25" customHeight="1">
      <c r="A67" s="75"/>
      <c r="B67" s="24" t="s">
        <v>10</v>
      </c>
      <c r="C67" s="27" t="s">
        <v>50</v>
      </c>
      <c r="D67" s="83"/>
      <c r="G67" s="76"/>
      <c r="H67" s="23"/>
      <c r="I67" s="23"/>
      <c r="J67" s="23"/>
      <c r="K67" s="23"/>
      <c r="L67" s="23"/>
      <c r="M67" s="23"/>
      <c r="N67" s="23"/>
      <c r="O67" s="23"/>
      <c r="P67" s="23"/>
      <c r="Q67" s="23"/>
      <c r="R67" s="23"/>
      <c r="S67" s="23"/>
      <c r="T67" s="23"/>
      <c r="U67" s="23"/>
      <c r="V67" s="23"/>
      <c r="W67" s="23"/>
      <c r="X67" s="23"/>
      <c r="Y67" s="23"/>
      <c r="Z67" s="23"/>
      <c r="AA67" s="71"/>
    </row>
    <row r="68" ht="14.25" customHeight="1">
      <c r="A68" s="77">
        <v>1.0</v>
      </c>
      <c r="B68" s="29" t="s">
        <v>21</v>
      </c>
      <c r="C68" s="56">
        <f>('Aggregated EOQ'!M4+'Aggregated EOQ'!Y4+'Aggregated EOQ'!AK4+'Aggregated EOQ'!AW4+'Aggregated EOQ'!BI4+'Aggregated EOQ'!BU4+'Aggregated EOQ'!CG4+'Aggregated EOQ'!CS4+'Aggregated EOQ'!DE4+'Aggregated EOQ'!DQ4+'Aggregated EOQ'!EC4+'Aggregated EOQ'!EO4)/52</f>
        <v>27031.43213</v>
      </c>
      <c r="D68" s="83"/>
      <c r="G68" s="76"/>
      <c r="H68" s="23"/>
      <c r="I68" s="23"/>
      <c r="J68" s="23"/>
      <c r="K68" s="23"/>
      <c r="L68" s="23"/>
      <c r="M68" s="23"/>
      <c r="N68" s="23"/>
      <c r="O68" s="23"/>
      <c r="P68" s="23"/>
      <c r="Q68" s="23"/>
      <c r="R68" s="23"/>
      <c r="S68" s="23"/>
      <c r="T68" s="23"/>
      <c r="U68" s="23"/>
      <c r="V68" s="23"/>
      <c r="W68" s="23"/>
      <c r="X68" s="23"/>
      <c r="Y68" s="23"/>
      <c r="Z68" s="23"/>
      <c r="AA68" s="71"/>
    </row>
    <row r="69" ht="14.25" customHeight="1">
      <c r="A69" s="77">
        <v>2.0</v>
      </c>
      <c r="B69" s="36" t="s">
        <v>23</v>
      </c>
      <c r="C69" s="56">
        <f>('Aggregated EOQ'!M5+'Aggregated EOQ'!Y5+'Aggregated EOQ'!AK5+'Aggregated EOQ'!AW5+'Aggregated EOQ'!BI5+'Aggregated EOQ'!BU5+'Aggregated EOQ'!CG5+'Aggregated EOQ'!CS5+'Aggregated EOQ'!DE5+'Aggregated EOQ'!DQ5+'Aggregated EOQ'!EC5+'Aggregated EOQ'!EO5)/52</f>
        <v>184514.0672</v>
      </c>
      <c r="D69" s="83"/>
      <c r="G69" s="76"/>
      <c r="H69" s="23"/>
      <c r="I69" s="23"/>
      <c r="J69" s="23"/>
      <c r="K69" s="23"/>
      <c r="L69" s="23"/>
      <c r="M69" s="23"/>
      <c r="N69" s="23"/>
      <c r="O69" s="23"/>
      <c r="P69" s="23"/>
      <c r="Q69" s="23"/>
      <c r="R69" s="23"/>
      <c r="S69" s="23"/>
      <c r="T69" s="23"/>
      <c r="U69" s="23"/>
      <c r="V69" s="23"/>
      <c r="W69" s="23"/>
      <c r="X69" s="23"/>
      <c r="Y69" s="23"/>
      <c r="Z69" s="23"/>
      <c r="AA69" s="71"/>
    </row>
    <row r="70" ht="14.25" customHeight="1">
      <c r="A70" s="77">
        <v>3.0</v>
      </c>
      <c r="B70" s="36" t="s">
        <v>25</v>
      </c>
      <c r="C70" s="56">
        <f>('Aggregated EOQ'!M6+'Aggregated EOQ'!Y6+'Aggregated EOQ'!AK6+'Aggregated EOQ'!AW6+'Aggregated EOQ'!BI6+'Aggregated EOQ'!BU6+'Aggregated EOQ'!CG6+'Aggregated EOQ'!CS6+'Aggregated EOQ'!DE6+'Aggregated EOQ'!DQ6+'Aggregated EOQ'!EC6+'Aggregated EOQ'!EO6)/52</f>
        <v>27627.52293</v>
      </c>
      <c r="D70" s="83"/>
      <c r="E70" s="34" t="s">
        <v>2</v>
      </c>
      <c r="F70" s="84"/>
      <c r="G70" s="76"/>
      <c r="H70" s="85" t="s">
        <v>58</v>
      </c>
      <c r="I70" s="86"/>
      <c r="J70" s="23"/>
      <c r="K70" s="23"/>
      <c r="L70" s="23"/>
      <c r="M70" s="23"/>
      <c r="N70" s="23"/>
      <c r="O70" s="23"/>
      <c r="P70" s="23"/>
      <c r="Q70" s="23"/>
      <c r="R70" s="23"/>
      <c r="S70" s="23"/>
      <c r="T70" s="23"/>
      <c r="U70" s="23"/>
      <c r="V70" s="23"/>
      <c r="W70" s="23"/>
      <c r="X70" s="23"/>
      <c r="Y70" s="23"/>
      <c r="Z70" s="23"/>
      <c r="AA70" s="71"/>
    </row>
    <row r="71" ht="14.25" customHeight="1">
      <c r="A71" s="77">
        <v>4.0</v>
      </c>
      <c r="B71" s="36" t="s">
        <v>27</v>
      </c>
      <c r="C71" s="56">
        <f>('Aggregated EOQ'!M7+'Aggregated EOQ'!Y7+'Aggregated EOQ'!AK7+'Aggregated EOQ'!AW7+'Aggregated EOQ'!BI7+'Aggregated EOQ'!BU7+'Aggregated EOQ'!CG7+'Aggregated EOQ'!CS7+'Aggregated EOQ'!DE7+'Aggregated EOQ'!DQ7+'Aggregated EOQ'!EC7+'Aggregated EOQ'!EO7)/52</f>
        <v>19897.33006</v>
      </c>
      <c r="D71" s="76"/>
      <c r="E71" s="87"/>
      <c r="F71" s="87" t="s">
        <v>59</v>
      </c>
      <c r="G71" s="82"/>
      <c r="H71" s="88" t="s">
        <v>60</v>
      </c>
      <c r="I71" s="89">
        <v>2201862.5</v>
      </c>
      <c r="J71" s="76"/>
      <c r="K71" s="23"/>
      <c r="L71" s="23"/>
      <c r="M71" s="23"/>
      <c r="N71" s="23"/>
      <c r="O71" s="23"/>
      <c r="P71" s="23"/>
      <c r="Q71" s="23"/>
      <c r="R71" s="23"/>
      <c r="S71" s="23"/>
      <c r="T71" s="23"/>
      <c r="U71" s="23"/>
      <c r="V71" s="23"/>
      <c r="W71" s="23"/>
      <c r="X71" s="23"/>
      <c r="Y71" s="23"/>
      <c r="Z71" s="23"/>
      <c r="AA71" s="71"/>
    </row>
    <row r="72" ht="14.25" customHeight="1">
      <c r="A72" s="77">
        <v>5.0</v>
      </c>
      <c r="B72" s="36" t="s">
        <v>29</v>
      </c>
      <c r="C72" s="56">
        <f>('Aggregated EOQ'!M8+'Aggregated EOQ'!Y8+'Aggregated EOQ'!AK8+'Aggregated EOQ'!AW8+'Aggregated EOQ'!BI8+'Aggregated EOQ'!BU8+'Aggregated EOQ'!CG8+'Aggregated EOQ'!CS8+'Aggregated EOQ'!DE8+'Aggregated EOQ'!DQ8+'Aggregated EOQ'!EC8+'Aggregated EOQ'!EO8)/52</f>
        <v>20540.62322</v>
      </c>
      <c r="D72" s="76"/>
      <c r="E72" s="87" t="s">
        <v>61</v>
      </c>
      <c r="F72" s="90">
        <v>7393375.0</v>
      </c>
      <c r="G72" s="82"/>
      <c r="H72" s="88" t="s">
        <v>62</v>
      </c>
      <c r="I72" s="89">
        <v>233130.0</v>
      </c>
      <c r="J72" s="76"/>
      <c r="K72" s="23"/>
      <c r="L72" s="23"/>
      <c r="M72" s="23"/>
      <c r="N72" s="23"/>
      <c r="O72" s="23"/>
      <c r="P72" s="23"/>
      <c r="Q72" s="23"/>
      <c r="R72" s="23"/>
      <c r="S72" s="23"/>
      <c r="T72" s="23"/>
      <c r="U72" s="23"/>
      <c r="V72" s="23"/>
      <c r="W72" s="23"/>
      <c r="X72" s="23"/>
      <c r="Y72" s="23"/>
      <c r="Z72" s="23"/>
      <c r="AA72" s="71"/>
    </row>
    <row r="73" ht="14.25" customHeight="1">
      <c r="A73" s="78">
        <v>6.0</v>
      </c>
      <c r="B73" s="36" t="s">
        <v>31</v>
      </c>
      <c r="C73" s="56">
        <f>('Aggregated EOQ'!M9+'Aggregated EOQ'!Y9+'Aggregated EOQ'!AK9+'Aggregated EOQ'!AW9+'Aggregated EOQ'!BI9+'Aggregated EOQ'!BU9+'Aggregated EOQ'!CG9+'Aggregated EOQ'!CS9+'Aggregated EOQ'!DE9+'Aggregated EOQ'!DQ9+'Aggregated EOQ'!EC9+'Aggregated EOQ'!EO9)/52</f>
        <v>43591.53068</v>
      </c>
      <c r="D73" s="76"/>
      <c r="E73" s="88" t="s">
        <v>63</v>
      </c>
      <c r="F73" s="90">
        <v>8218320.0</v>
      </c>
      <c r="G73" s="82"/>
      <c r="H73" s="88" t="s">
        <v>64</v>
      </c>
      <c r="I73" s="89">
        <v>2434992.5</v>
      </c>
      <c r="J73" s="76"/>
      <c r="K73" s="23"/>
      <c r="L73" s="23"/>
      <c r="M73" s="23"/>
      <c r="N73" s="23"/>
      <c r="O73" s="23"/>
      <c r="P73" s="23"/>
      <c r="Q73" s="23"/>
      <c r="R73" s="23"/>
      <c r="S73" s="23"/>
      <c r="T73" s="23"/>
      <c r="U73" s="23"/>
      <c r="V73" s="23"/>
      <c r="W73" s="23"/>
      <c r="X73" s="23"/>
      <c r="Y73" s="23"/>
      <c r="Z73" s="23"/>
      <c r="AA73" s="71"/>
    </row>
    <row r="74" ht="14.25" customHeight="1">
      <c r="A74" s="78">
        <v>7.0</v>
      </c>
      <c r="B74" s="36" t="s">
        <v>33</v>
      </c>
      <c r="C74" s="56">
        <f>('Aggregated EOQ'!M10+'Aggregated EOQ'!Y10+'Aggregated EOQ'!AK10+'Aggregated EOQ'!AW10+'Aggregated EOQ'!BI10+'Aggregated EOQ'!BU10+'Aggregated EOQ'!CG10+'Aggregated EOQ'!CS10+'Aggregated EOQ'!DE10+'Aggregated EOQ'!DQ10+'Aggregated EOQ'!EC10+'Aggregated EOQ'!EO10)/52</f>
        <v>1344.141341</v>
      </c>
      <c r="D74" s="76"/>
      <c r="E74" s="88"/>
      <c r="F74" s="90"/>
      <c r="G74" s="23"/>
      <c r="H74" s="59"/>
      <c r="I74" s="59"/>
      <c r="J74" s="23"/>
      <c r="K74" s="23"/>
      <c r="L74" s="23"/>
      <c r="M74" s="23"/>
      <c r="N74" s="23"/>
      <c r="O74" s="23"/>
      <c r="P74" s="23"/>
      <c r="Q74" s="23"/>
      <c r="R74" s="23"/>
      <c r="S74" s="23"/>
      <c r="T74" s="23"/>
      <c r="U74" s="23"/>
      <c r="V74" s="23"/>
      <c r="W74" s="23"/>
      <c r="X74" s="23"/>
      <c r="Y74" s="23"/>
      <c r="Z74" s="23"/>
      <c r="AA74" s="71"/>
    </row>
    <row r="75" ht="14.25" customHeight="1">
      <c r="A75" s="79">
        <v>8.0</v>
      </c>
      <c r="B75" s="39" t="s">
        <v>35</v>
      </c>
      <c r="C75" s="68">
        <f>('Aggregated EOQ'!M11+'Aggregated EOQ'!Y11+'Aggregated EOQ'!AK11+'Aggregated EOQ'!AW11+'Aggregated EOQ'!BI11+'Aggregated EOQ'!BU11+'Aggregated EOQ'!CG11+'Aggregated EOQ'!CS11+'Aggregated EOQ'!DE11+'Aggregated EOQ'!DQ11+'Aggregated EOQ'!EC11+'Aggregated EOQ'!EO11)/52</f>
        <v>324575.463</v>
      </c>
      <c r="D75" s="76"/>
      <c r="E75" s="87" t="s">
        <v>65</v>
      </c>
      <c r="F75" s="90">
        <v>1.5611695E7</v>
      </c>
      <c r="G75" s="23"/>
      <c r="H75" s="23"/>
      <c r="I75" s="23"/>
      <c r="J75" s="23"/>
      <c r="K75" s="23"/>
      <c r="L75" s="23"/>
      <c r="M75" s="23"/>
      <c r="N75" s="23"/>
      <c r="O75" s="23"/>
      <c r="P75" s="23"/>
      <c r="Q75" s="23"/>
      <c r="R75" s="23"/>
      <c r="S75" s="23"/>
      <c r="T75" s="23"/>
      <c r="U75" s="23"/>
      <c r="V75" s="23"/>
      <c r="W75" s="23"/>
      <c r="X75" s="23"/>
      <c r="Y75" s="23"/>
      <c r="Z75" s="23"/>
      <c r="AA75" s="71"/>
    </row>
    <row r="76" ht="14.25" customHeight="1">
      <c r="A76" s="23"/>
      <c r="B76" s="59"/>
      <c r="C76" s="59">
        <f>SUM(C67:C75)</f>
        <v>649122.1106</v>
      </c>
      <c r="D76" s="23"/>
      <c r="E76" s="23"/>
      <c r="F76" s="91"/>
      <c r="G76" s="23"/>
      <c r="H76" s="23"/>
      <c r="I76" s="23"/>
      <c r="J76" s="23"/>
      <c r="K76" s="23"/>
      <c r="L76" s="23"/>
      <c r="M76" s="23"/>
      <c r="N76" s="23"/>
      <c r="O76" s="23"/>
      <c r="P76" s="23"/>
      <c r="Q76" s="23"/>
      <c r="R76" s="23"/>
      <c r="S76" s="23"/>
      <c r="T76" s="23"/>
      <c r="U76" s="23"/>
      <c r="V76" s="23"/>
      <c r="W76" s="23"/>
      <c r="X76" s="23"/>
      <c r="Y76" s="23"/>
      <c r="Z76" s="23"/>
      <c r="AA76" s="71"/>
    </row>
    <row r="77" ht="14.25" customHeight="1">
      <c r="A77" s="85"/>
      <c r="B77" s="92"/>
      <c r="C77" s="86"/>
      <c r="D77" s="23"/>
      <c r="E77" s="23"/>
      <c r="F77" s="23"/>
      <c r="G77" s="23"/>
      <c r="H77" s="23"/>
      <c r="I77" s="23"/>
      <c r="J77" s="23"/>
      <c r="K77" s="23"/>
      <c r="L77" s="23"/>
      <c r="M77" s="23"/>
      <c r="N77" s="23"/>
      <c r="O77" s="23"/>
      <c r="P77" s="23"/>
      <c r="Q77" s="23"/>
      <c r="R77" s="23"/>
      <c r="S77" s="23"/>
      <c r="T77" s="23"/>
      <c r="U77" s="23"/>
      <c r="V77" s="23"/>
      <c r="W77" s="23"/>
      <c r="X77" s="23"/>
      <c r="Y77" s="23"/>
      <c r="Z77" s="23"/>
      <c r="AA77" s="71"/>
    </row>
    <row r="78" ht="14.25" customHeight="1">
      <c r="A78" s="93"/>
      <c r="B78" s="93"/>
      <c r="C78" s="93"/>
      <c r="D78" s="76"/>
      <c r="E78" s="23"/>
      <c r="F78" s="23"/>
      <c r="G78" s="23"/>
      <c r="H78" s="23"/>
      <c r="I78" s="23"/>
      <c r="J78" s="23"/>
      <c r="K78" s="23"/>
      <c r="L78" s="23"/>
      <c r="M78" s="23"/>
      <c r="N78" s="23"/>
      <c r="O78" s="23"/>
      <c r="P78" s="23"/>
      <c r="Q78" s="23"/>
      <c r="R78" s="23"/>
      <c r="S78" s="23"/>
      <c r="T78" s="23"/>
      <c r="U78" s="23"/>
      <c r="V78" s="23"/>
      <c r="W78" s="23"/>
      <c r="X78" s="23"/>
      <c r="Y78" s="23"/>
      <c r="Z78" s="23"/>
      <c r="AA78" s="71"/>
    </row>
    <row r="79" ht="14.25" customHeight="1">
      <c r="A79" s="93"/>
      <c r="B79" s="93"/>
      <c r="C79" s="94"/>
      <c r="D79" s="76"/>
      <c r="E79" s="23"/>
      <c r="F79" s="23"/>
      <c r="G79" s="23"/>
      <c r="H79" s="23"/>
      <c r="I79" s="23"/>
      <c r="J79" s="23"/>
      <c r="K79" s="23"/>
      <c r="L79" s="23"/>
      <c r="M79" s="23"/>
      <c r="N79" s="23"/>
      <c r="O79" s="23"/>
      <c r="P79" s="23"/>
      <c r="Q79" s="23"/>
      <c r="R79" s="23"/>
      <c r="S79" s="23"/>
      <c r="T79" s="23"/>
      <c r="U79" s="23"/>
      <c r="V79" s="23"/>
      <c r="W79" s="23"/>
      <c r="X79" s="23"/>
      <c r="Y79" s="23"/>
      <c r="Z79" s="23"/>
      <c r="AA79" s="71"/>
    </row>
    <row r="80" ht="14.25" customHeight="1">
      <c r="A80" s="93"/>
      <c r="B80" s="93"/>
      <c r="C80" s="94"/>
      <c r="D80" s="76"/>
      <c r="E80" s="23"/>
      <c r="F80" s="23"/>
      <c r="G80" s="23"/>
      <c r="H80" s="23"/>
      <c r="I80" s="23"/>
      <c r="J80" s="23"/>
      <c r="K80" s="23"/>
      <c r="L80" s="23"/>
      <c r="M80" s="23"/>
      <c r="N80" s="23"/>
      <c r="O80" s="23"/>
      <c r="P80" s="23"/>
      <c r="Q80" s="23"/>
      <c r="R80" s="23"/>
      <c r="S80" s="23"/>
      <c r="T80" s="23"/>
      <c r="U80" s="23"/>
      <c r="V80" s="23"/>
      <c r="W80" s="23"/>
      <c r="X80" s="23"/>
      <c r="Y80" s="23"/>
      <c r="Z80" s="23"/>
      <c r="AA80" s="71"/>
    </row>
    <row r="81" ht="14.25" customHeight="1">
      <c r="A81" s="94"/>
      <c r="B81" s="93"/>
      <c r="C81" s="95"/>
      <c r="D81" s="76"/>
      <c r="E81" s="23"/>
      <c r="F81" s="23"/>
      <c r="G81" s="23"/>
      <c r="H81" s="23"/>
      <c r="I81" s="23"/>
      <c r="J81" s="23"/>
      <c r="K81" s="23"/>
      <c r="L81" s="23"/>
      <c r="M81" s="23"/>
      <c r="N81" s="23"/>
      <c r="O81" s="23"/>
      <c r="P81" s="23"/>
      <c r="Q81" s="23"/>
      <c r="R81" s="23"/>
      <c r="S81" s="23"/>
      <c r="T81" s="23"/>
      <c r="U81" s="23"/>
      <c r="V81" s="23"/>
      <c r="W81" s="23"/>
      <c r="X81" s="23"/>
      <c r="Y81" s="23"/>
      <c r="Z81" s="23"/>
      <c r="AA81" s="71"/>
    </row>
    <row r="82" ht="14.25" customHeight="1">
      <c r="A82" s="12"/>
      <c r="B82" s="59"/>
      <c r="C82" s="59"/>
      <c r="D82" s="23"/>
      <c r="E82" s="23"/>
      <c r="F82" s="23"/>
      <c r="G82" s="23"/>
      <c r="H82" s="23"/>
      <c r="I82" s="23"/>
      <c r="J82" s="23"/>
      <c r="K82" s="23"/>
      <c r="L82" s="23"/>
      <c r="M82" s="23"/>
      <c r="N82" s="23"/>
      <c r="O82" s="23"/>
      <c r="P82" s="23"/>
      <c r="Q82" s="23"/>
      <c r="R82" s="23"/>
      <c r="S82" s="23"/>
      <c r="T82" s="23"/>
      <c r="U82" s="23"/>
      <c r="V82" s="23"/>
      <c r="W82" s="23"/>
      <c r="X82" s="23"/>
      <c r="Y82" s="23"/>
      <c r="Z82" s="23"/>
      <c r="AA82" s="71"/>
    </row>
    <row r="83" ht="14.25" customHeight="1">
      <c r="A83" s="88" t="s">
        <v>66</v>
      </c>
      <c r="B83" s="96"/>
      <c r="C83" s="81"/>
      <c r="D83" s="23"/>
      <c r="E83" s="23"/>
      <c r="F83" s="23"/>
      <c r="G83" s="23"/>
      <c r="H83" s="23"/>
      <c r="I83" s="23"/>
      <c r="J83" s="23"/>
      <c r="K83" s="23"/>
      <c r="L83" s="23"/>
      <c r="M83" s="23"/>
      <c r="N83" s="23"/>
      <c r="O83" s="23"/>
      <c r="P83" s="23"/>
      <c r="Q83" s="23"/>
      <c r="R83" s="23"/>
      <c r="S83" s="23"/>
      <c r="T83" s="23"/>
      <c r="U83" s="23"/>
      <c r="V83" s="23"/>
      <c r="W83" s="23"/>
      <c r="X83" s="23"/>
      <c r="Y83" s="23"/>
      <c r="Z83" s="23"/>
      <c r="AA83" s="71"/>
    </row>
    <row r="84" ht="14.25" customHeight="1">
      <c r="A84" s="97" t="s">
        <v>67</v>
      </c>
      <c r="B84" s="97" t="s">
        <v>68</v>
      </c>
      <c r="C84" s="97" t="s">
        <v>69</v>
      </c>
      <c r="D84" s="76"/>
      <c r="E84" s="23"/>
      <c r="F84" s="23"/>
      <c r="G84" s="23"/>
      <c r="H84" s="23"/>
      <c r="I84" s="23"/>
      <c r="J84" s="23"/>
      <c r="K84" s="23"/>
      <c r="L84" s="23"/>
      <c r="M84" s="23"/>
      <c r="N84" s="23"/>
      <c r="O84" s="23"/>
      <c r="P84" s="23"/>
      <c r="Q84" s="23"/>
      <c r="R84" s="23"/>
      <c r="S84" s="23"/>
      <c r="T84" s="23"/>
      <c r="U84" s="23"/>
      <c r="V84" s="23"/>
      <c r="W84" s="23"/>
      <c r="X84" s="23"/>
      <c r="Y84" s="23"/>
      <c r="Z84" s="23"/>
      <c r="AA84" s="71"/>
    </row>
    <row r="85" ht="14.25" customHeight="1">
      <c r="A85" s="98" t="s">
        <v>70</v>
      </c>
      <c r="B85" s="99">
        <v>4367150.0</v>
      </c>
      <c r="C85" s="100">
        <v>1.310145E8</v>
      </c>
      <c r="D85" s="76"/>
      <c r="E85" s="23"/>
      <c r="F85" s="23"/>
      <c r="G85" s="23"/>
      <c r="H85" s="23"/>
      <c r="I85" s="23"/>
      <c r="J85" s="23"/>
      <c r="K85" s="23"/>
      <c r="L85" s="23"/>
      <c r="M85" s="23"/>
      <c r="N85" s="23"/>
      <c r="O85" s="23"/>
      <c r="P85" s="23"/>
      <c r="Q85" s="23"/>
      <c r="R85" s="23"/>
      <c r="S85" s="23"/>
      <c r="T85" s="23"/>
      <c r="U85" s="23"/>
      <c r="V85" s="23"/>
      <c r="W85" s="23"/>
      <c r="X85" s="23"/>
      <c r="Y85" s="23"/>
      <c r="Z85" s="23"/>
      <c r="AA85" s="71"/>
    </row>
    <row r="86" ht="14.25" customHeight="1">
      <c r="A86" s="101" t="s">
        <v>71</v>
      </c>
      <c r="B86" s="102">
        <v>426.0</v>
      </c>
      <c r="C86" s="103">
        <v>2.8110888E7</v>
      </c>
      <c r="D86" s="76"/>
      <c r="E86" s="23"/>
      <c r="F86" s="23"/>
      <c r="G86" s="23"/>
      <c r="H86" s="23"/>
      <c r="I86" s="23"/>
      <c r="J86" s="23"/>
      <c r="K86" s="23"/>
      <c r="L86" s="23"/>
      <c r="M86" s="23"/>
      <c r="N86" s="23"/>
      <c r="O86" s="23"/>
      <c r="P86" s="23"/>
      <c r="Q86" s="23"/>
      <c r="R86" s="23"/>
      <c r="S86" s="23"/>
      <c r="T86" s="23"/>
      <c r="U86" s="23"/>
      <c r="V86" s="23"/>
      <c r="W86" s="23"/>
      <c r="X86" s="23"/>
      <c r="Y86" s="23"/>
      <c r="Z86" s="23"/>
      <c r="AA86" s="71"/>
    </row>
    <row r="87" ht="14.25" customHeight="1">
      <c r="A87" s="104"/>
      <c r="B87" s="105" t="s">
        <v>72</v>
      </c>
      <c r="C87" s="106">
        <v>1.59125388E8</v>
      </c>
      <c r="D87" s="76"/>
      <c r="E87" s="23"/>
      <c r="F87" s="23"/>
      <c r="G87" s="23"/>
      <c r="H87" s="23"/>
      <c r="I87" s="23"/>
      <c r="J87" s="23"/>
      <c r="K87" s="23"/>
      <c r="L87" s="23"/>
      <c r="M87" s="23"/>
      <c r="N87" s="23"/>
      <c r="O87" s="23"/>
      <c r="P87" s="23"/>
      <c r="Q87" s="23"/>
      <c r="R87" s="23"/>
      <c r="S87" s="23"/>
      <c r="T87" s="23"/>
      <c r="U87" s="23"/>
      <c r="V87" s="23"/>
      <c r="W87" s="23"/>
      <c r="X87" s="23"/>
      <c r="Y87" s="23"/>
      <c r="Z87" s="23"/>
      <c r="AA87" s="71"/>
    </row>
    <row r="88" ht="14.25" customHeight="1">
      <c r="A88" s="59"/>
      <c r="B88" s="59"/>
      <c r="C88" s="59"/>
      <c r="D88" s="23"/>
      <c r="E88" s="23"/>
      <c r="F88" s="23"/>
      <c r="G88" s="23"/>
      <c r="H88" s="23"/>
      <c r="I88" s="23"/>
      <c r="J88" s="23"/>
      <c r="K88" s="23"/>
      <c r="L88" s="23"/>
      <c r="M88" s="23"/>
      <c r="N88" s="23"/>
      <c r="O88" s="23"/>
      <c r="P88" s="23"/>
      <c r="Q88" s="23"/>
      <c r="R88" s="23"/>
      <c r="S88" s="23"/>
      <c r="T88" s="23"/>
      <c r="U88" s="23"/>
      <c r="V88" s="23"/>
      <c r="W88" s="23"/>
      <c r="X88" s="23"/>
      <c r="Y88" s="23"/>
      <c r="Z88" s="23"/>
      <c r="AA88" s="71"/>
    </row>
    <row r="89" ht="14.2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71"/>
    </row>
    <row r="90" ht="14.2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71"/>
    </row>
    <row r="91" ht="14.2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71"/>
    </row>
    <row r="92" ht="14.2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71"/>
    </row>
    <row r="93" ht="14.2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71"/>
    </row>
    <row r="94" ht="14.2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71"/>
    </row>
    <row r="95" ht="14.2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71"/>
    </row>
    <row r="96" ht="14.2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71"/>
    </row>
    <row r="97" ht="14.2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71"/>
    </row>
    <row r="98" ht="14.2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71"/>
    </row>
    <row r="99" ht="14.2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71"/>
    </row>
    <row r="100" ht="14.2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71"/>
    </row>
    <row r="101" ht="14.2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71"/>
    </row>
    <row r="102" ht="14.2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71"/>
    </row>
    <row r="103" ht="14.2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71"/>
    </row>
    <row r="104" ht="14.2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71"/>
    </row>
    <row r="105" ht="14.2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71"/>
    </row>
    <row r="106" ht="14.2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71"/>
    </row>
    <row r="107" ht="14.2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71"/>
    </row>
    <row r="108" ht="14.2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71"/>
    </row>
    <row r="109" ht="14.2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71"/>
    </row>
    <row r="110" ht="14.2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71"/>
    </row>
    <row r="111" ht="14.2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71"/>
    </row>
    <row r="112" ht="14.2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71"/>
    </row>
    <row r="113" ht="14.2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71"/>
    </row>
    <row r="114" ht="14.2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71"/>
    </row>
    <row r="115" ht="14.2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71"/>
    </row>
    <row r="116" ht="14.2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71"/>
    </row>
    <row r="117" ht="14.2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71"/>
    </row>
    <row r="118" ht="14.2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71"/>
    </row>
    <row r="119" ht="14.2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71"/>
    </row>
    <row r="120" ht="14.2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71"/>
    </row>
    <row r="121" ht="14.2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71"/>
    </row>
    <row r="122" ht="14.2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71"/>
    </row>
    <row r="123" ht="14.2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71"/>
    </row>
    <row r="124" ht="14.2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71"/>
    </row>
    <row r="125" ht="14.2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71"/>
    </row>
    <row r="126" ht="14.2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71"/>
    </row>
    <row r="127" ht="14.2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71"/>
    </row>
    <row r="128" ht="14.2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71"/>
    </row>
    <row r="129" ht="14.2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71"/>
    </row>
    <row r="130" ht="14.2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71"/>
    </row>
    <row r="131" ht="14.2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71"/>
    </row>
    <row r="132" ht="14.2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71"/>
    </row>
    <row r="133" ht="14.2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71"/>
    </row>
    <row r="134" ht="14.2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71"/>
    </row>
    <row r="135" ht="14.2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71"/>
    </row>
    <row r="136" ht="14.2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71"/>
    </row>
    <row r="137" ht="14.2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71"/>
    </row>
    <row r="138" ht="14.2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71"/>
    </row>
    <row r="139" ht="14.2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71"/>
    </row>
    <row r="140" ht="14.2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71"/>
    </row>
    <row r="141" ht="14.2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71"/>
    </row>
    <row r="142" ht="14.2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71"/>
    </row>
    <row r="143" ht="14.2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71"/>
    </row>
    <row r="144" ht="14.2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71"/>
    </row>
    <row r="145" ht="14.2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71"/>
    </row>
    <row r="146" ht="14.2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71"/>
    </row>
    <row r="147" ht="14.2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71"/>
    </row>
    <row r="148" ht="14.2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71"/>
    </row>
    <row r="149" ht="14.2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71"/>
    </row>
    <row r="150" ht="14.2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71"/>
    </row>
    <row r="151" ht="14.2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71"/>
    </row>
    <row r="152" ht="14.2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71"/>
    </row>
    <row r="153" ht="14.2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71"/>
    </row>
    <row r="154" ht="14.2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71"/>
    </row>
    <row r="155" ht="14.2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71"/>
    </row>
    <row r="156" ht="14.2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71"/>
    </row>
    <row r="157" ht="14.2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71"/>
    </row>
    <row r="158" ht="14.2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71"/>
    </row>
    <row r="159" ht="14.2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71"/>
    </row>
    <row r="160" ht="14.2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71"/>
    </row>
    <row r="161" ht="14.2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71"/>
    </row>
    <row r="162" ht="14.2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71"/>
    </row>
    <row r="163" ht="14.2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71"/>
    </row>
    <row r="164" ht="14.2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71"/>
    </row>
    <row r="165" ht="14.2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71"/>
    </row>
    <row r="166" ht="14.2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71"/>
    </row>
    <row r="167" ht="14.2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71"/>
    </row>
    <row r="168" ht="14.2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71"/>
    </row>
    <row r="169" ht="14.2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71"/>
    </row>
    <row r="170" ht="14.2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71"/>
    </row>
    <row r="171" ht="14.2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71"/>
    </row>
    <row r="172" ht="14.2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71"/>
    </row>
    <row r="173" ht="14.2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71"/>
    </row>
    <row r="174" ht="14.2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71"/>
    </row>
    <row r="175" ht="14.2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71"/>
    </row>
    <row r="176" ht="14.2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71"/>
    </row>
    <row r="177" ht="14.2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71"/>
    </row>
    <row r="178" ht="14.2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71"/>
    </row>
    <row r="179" ht="14.2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71"/>
    </row>
    <row r="180" ht="14.2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71"/>
    </row>
    <row r="181" ht="14.2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71"/>
    </row>
    <row r="182" ht="14.2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71"/>
    </row>
    <row r="183" ht="14.2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71"/>
    </row>
    <row r="184" ht="14.2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71"/>
    </row>
    <row r="185" ht="14.2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71"/>
    </row>
    <row r="186" ht="14.2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71"/>
    </row>
    <row r="187" ht="14.2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71"/>
    </row>
    <row r="188" ht="14.2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71"/>
    </row>
    <row r="189" ht="14.2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71"/>
    </row>
    <row r="190" ht="14.2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71"/>
    </row>
    <row r="191" ht="14.2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71"/>
    </row>
    <row r="192" ht="14.2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71"/>
    </row>
    <row r="193" ht="14.2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71"/>
    </row>
    <row r="194" ht="14.2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71"/>
    </row>
    <row r="195" ht="14.2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71"/>
    </row>
    <row r="196" ht="14.2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71"/>
    </row>
    <row r="197" ht="14.2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71"/>
    </row>
    <row r="198" ht="14.2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71"/>
    </row>
    <row r="199" ht="14.2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71"/>
    </row>
    <row r="200" ht="14.2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71"/>
    </row>
    <row r="201" ht="14.2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71"/>
    </row>
    <row r="202" ht="14.2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71"/>
    </row>
    <row r="203" ht="14.2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71"/>
    </row>
    <row r="204" ht="14.2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71"/>
    </row>
    <row r="205" ht="14.2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71"/>
    </row>
    <row r="206" ht="14.2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71"/>
    </row>
    <row r="207" ht="14.2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71"/>
    </row>
    <row r="208" ht="14.2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71"/>
    </row>
    <row r="209" ht="14.2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71"/>
    </row>
    <row r="210" ht="14.2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71"/>
    </row>
    <row r="211" ht="14.2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71"/>
    </row>
    <row r="212" ht="14.2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71"/>
    </row>
    <row r="213" ht="14.2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71"/>
    </row>
    <row r="214" ht="14.2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71"/>
    </row>
    <row r="215" ht="14.2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71"/>
    </row>
    <row r="216" ht="14.2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71"/>
    </row>
    <row r="217" ht="14.2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71"/>
    </row>
    <row r="218" ht="14.2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71"/>
    </row>
    <row r="219" ht="14.2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71"/>
    </row>
    <row r="220" ht="14.2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71"/>
    </row>
    <row r="221" ht="14.2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71"/>
    </row>
    <row r="222" ht="14.2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71"/>
    </row>
    <row r="223" ht="14.2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71"/>
    </row>
    <row r="224" ht="14.2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71"/>
    </row>
    <row r="225" ht="14.2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71"/>
    </row>
    <row r="226" ht="14.2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71"/>
    </row>
    <row r="227" ht="14.2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71"/>
    </row>
    <row r="228" ht="14.2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71"/>
    </row>
    <row r="229" ht="14.2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71"/>
    </row>
    <row r="230" ht="14.2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71"/>
    </row>
    <row r="231" ht="14.2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71"/>
    </row>
    <row r="232" ht="14.2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71"/>
    </row>
    <row r="233" ht="14.2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71"/>
    </row>
    <row r="234" ht="14.2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71"/>
    </row>
    <row r="235" ht="14.2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71"/>
    </row>
    <row r="236" ht="14.2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71"/>
    </row>
    <row r="237" ht="14.2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71"/>
    </row>
    <row r="238" ht="14.2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71"/>
    </row>
    <row r="239" ht="14.2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71"/>
    </row>
    <row r="240" ht="14.2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71"/>
    </row>
    <row r="241" ht="14.2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71"/>
    </row>
    <row r="242" ht="14.2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71"/>
    </row>
    <row r="243" ht="14.2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71"/>
    </row>
    <row r="244" ht="14.2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71"/>
    </row>
    <row r="245" ht="14.2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71"/>
    </row>
    <row r="246" ht="14.2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71"/>
    </row>
    <row r="247" ht="14.2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71"/>
    </row>
    <row r="248" ht="14.2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71"/>
    </row>
    <row r="249" ht="14.2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71"/>
    </row>
    <row r="250" ht="14.2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71"/>
    </row>
    <row r="251" ht="14.2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71"/>
    </row>
    <row r="252" ht="14.2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71"/>
    </row>
    <row r="253" ht="14.2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71"/>
    </row>
    <row r="254" ht="14.2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71"/>
    </row>
    <row r="255" ht="14.25" customHeight="1">
      <c r="A255" s="19"/>
      <c r="B255" s="19"/>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71"/>
    </row>
    <row r="256" ht="14.25" customHeight="1">
      <c r="A256" s="19"/>
      <c r="B256" s="19"/>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71"/>
    </row>
    <row r="257" ht="14.25" customHeight="1">
      <c r="A257" s="19"/>
      <c r="B257" s="19"/>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71"/>
    </row>
    <row r="258" ht="14.25" customHeight="1">
      <c r="A258" s="19"/>
      <c r="B258" s="19"/>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71"/>
    </row>
    <row r="259" ht="14.25" customHeight="1">
      <c r="A259" s="19"/>
      <c r="B259" s="19"/>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71"/>
    </row>
    <row r="260" ht="14.25" customHeight="1">
      <c r="A260" s="19"/>
      <c r="B260" s="19"/>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71"/>
    </row>
    <row r="261" ht="14.25" customHeight="1">
      <c r="A261" s="19"/>
      <c r="B261" s="19"/>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71"/>
    </row>
    <row r="262" ht="14.25" customHeight="1">
      <c r="A262" s="19"/>
      <c r="B262" s="19"/>
      <c r="C262" s="19"/>
      <c r="D262" s="19"/>
      <c r="E262" s="19"/>
      <c r="F262" s="19"/>
      <c r="G262" s="23"/>
      <c r="H262" s="23"/>
      <c r="I262" s="23"/>
      <c r="J262" s="23"/>
      <c r="K262" s="23"/>
      <c r="L262" s="23"/>
      <c r="M262" s="23"/>
      <c r="N262" s="23"/>
      <c r="O262" s="23"/>
      <c r="P262" s="23"/>
      <c r="Q262" s="23"/>
      <c r="R262" s="23"/>
      <c r="S262" s="23"/>
      <c r="T262" s="23"/>
      <c r="U262" s="23"/>
      <c r="V262" s="23"/>
      <c r="W262" s="23"/>
      <c r="X262" s="19"/>
      <c r="Y262" s="19"/>
      <c r="Z262" s="19"/>
      <c r="AA262" s="19"/>
    </row>
    <row r="263" ht="14.25" customHeight="1">
      <c r="A263" s="19"/>
      <c r="B263" s="19"/>
      <c r="C263" s="19"/>
      <c r="D263" s="19"/>
      <c r="E263" s="19"/>
      <c r="F263" s="19"/>
      <c r="G263" s="23"/>
      <c r="H263" s="23"/>
      <c r="I263" s="23"/>
      <c r="J263" s="23"/>
      <c r="K263" s="23"/>
      <c r="L263" s="23"/>
      <c r="M263" s="23"/>
      <c r="N263" s="23"/>
      <c r="O263" s="23"/>
      <c r="P263" s="23"/>
      <c r="Q263" s="23"/>
      <c r="R263" s="23"/>
      <c r="S263" s="23"/>
      <c r="T263" s="23"/>
      <c r="U263" s="23"/>
      <c r="V263" s="23"/>
      <c r="W263" s="23"/>
      <c r="X263" s="19"/>
      <c r="Y263" s="19"/>
      <c r="Z263" s="19"/>
      <c r="AA263" s="19"/>
    </row>
    <row r="264" ht="14.25" customHeight="1">
      <c r="A264" s="19"/>
      <c r="B264" s="19"/>
      <c r="C264" s="19"/>
      <c r="D264" s="19"/>
      <c r="E264" s="19"/>
      <c r="F264" s="19"/>
      <c r="G264" s="23"/>
      <c r="H264" s="23"/>
      <c r="I264" s="23"/>
      <c r="J264" s="23"/>
      <c r="K264" s="23"/>
      <c r="L264" s="23"/>
      <c r="M264" s="23"/>
      <c r="N264" s="23"/>
      <c r="O264" s="23"/>
      <c r="P264" s="23"/>
      <c r="Q264" s="23"/>
      <c r="R264" s="23"/>
      <c r="S264" s="23"/>
      <c r="T264" s="23"/>
      <c r="U264" s="23"/>
      <c r="V264" s="23"/>
      <c r="W264" s="23"/>
      <c r="X264" s="19"/>
      <c r="Y264" s="19"/>
      <c r="Z264" s="19"/>
      <c r="AA264" s="19"/>
    </row>
    <row r="265" ht="14.25" customHeight="1">
      <c r="A265" s="19"/>
      <c r="B265" s="19"/>
      <c r="C265" s="19"/>
      <c r="D265" s="19"/>
      <c r="E265" s="19"/>
      <c r="F265" s="19"/>
      <c r="G265" s="23"/>
      <c r="H265" s="23"/>
      <c r="I265" s="23"/>
      <c r="J265" s="23"/>
      <c r="K265" s="23"/>
      <c r="L265" s="23"/>
      <c r="M265" s="23"/>
      <c r="N265" s="23"/>
      <c r="O265" s="23"/>
      <c r="P265" s="23"/>
      <c r="Q265" s="23"/>
      <c r="R265" s="23"/>
      <c r="S265" s="23"/>
      <c r="T265" s="23"/>
      <c r="U265" s="23"/>
      <c r="V265" s="23"/>
      <c r="W265" s="23"/>
      <c r="X265" s="19"/>
      <c r="Y265" s="19"/>
      <c r="Z265" s="19"/>
      <c r="AA265" s="19"/>
    </row>
    <row r="266" ht="14.25" customHeight="1">
      <c r="A266" s="19"/>
      <c r="B266" s="19"/>
      <c r="C266" s="19"/>
      <c r="D266" s="19"/>
      <c r="E266" s="19"/>
      <c r="F266" s="19"/>
      <c r="G266" s="23"/>
      <c r="H266" s="23"/>
      <c r="I266" s="23"/>
      <c r="J266" s="23"/>
      <c r="K266" s="23"/>
      <c r="L266" s="23"/>
      <c r="M266" s="23"/>
      <c r="N266" s="23"/>
      <c r="O266" s="23"/>
      <c r="P266" s="23"/>
      <c r="Q266" s="23"/>
      <c r="R266" s="23"/>
      <c r="S266" s="23"/>
      <c r="T266" s="23"/>
      <c r="U266" s="23"/>
      <c r="V266" s="23"/>
      <c r="W266" s="23"/>
      <c r="X266" s="19"/>
      <c r="Y266" s="19"/>
      <c r="Z266" s="19"/>
      <c r="AA266" s="19"/>
    </row>
    <row r="267" ht="14.25" customHeight="1">
      <c r="A267" s="19"/>
      <c r="B267" s="19"/>
      <c r="C267" s="19"/>
      <c r="D267" s="19"/>
      <c r="E267" s="19"/>
      <c r="F267" s="19"/>
      <c r="G267" s="23"/>
      <c r="H267" s="23"/>
      <c r="I267" s="23"/>
      <c r="J267" s="23"/>
      <c r="K267" s="23"/>
      <c r="L267" s="23"/>
      <c r="M267" s="23"/>
      <c r="N267" s="23"/>
      <c r="O267" s="23"/>
      <c r="P267" s="23"/>
      <c r="Q267" s="23"/>
      <c r="R267" s="23"/>
      <c r="S267" s="23"/>
      <c r="T267" s="23"/>
      <c r="U267" s="23"/>
      <c r="V267" s="23"/>
      <c r="W267" s="23"/>
      <c r="X267" s="19"/>
      <c r="Y267" s="19"/>
      <c r="Z267" s="19"/>
      <c r="AA267" s="19"/>
    </row>
    <row r="268" ht="14.25" customHeight="1">
      <c r="A268" s="19"/>
      <c r="B268" s="19"/>
      <c r="C268" s="19"/>
      <c r="D268" s="19"/>
      <c r="E268" s="19"/>
      <c r="F268" s="19"/>
      <c r="G268" s="23"/>
      <c r="H268" s="23"/>
      <c r="I268" s="23"/>
      <c r="J268" s="23"/>
      <c r="K268" s="23"/>
      <c r="L268" s="23"/>
      <c r="M268" s="23"/>
      <c r="N268" s="23"/>
      <c r="O268" s="23"/>
      <c r="P268" s="23"/>
      <c r="Q268" s="23"/>
      <c r="R268" s="23"/>
      <c r="S268" s="23"/>
      <c r="T268" s="23"/>
      <c r="U268" s="23"/>
      <c r="V268" s="23"/>
      <c r="W268" s="23"/>
      <c r="X268" s="19"/>
      <c r="Y268" s="19"/>
      <c r="Z268" s="19"/>
      <c r="AA268" s="19"/>
    </row>
    <row r="269" ht="14.25" customHeight="1">
      <c r="A269" s="19"/>
      <c r="B269" s="19"/>
      <c r="C269" s="19"/>
      <c r="D269" s="19"/>
      <c r="E269" s="19"/>
      <c r="F269" s="19"/>
      <c r="G269" s="23"/>
      <c r="H269" s="23"/>
      <c r="I269" s="23"/>
      <c r="J269" s="23"/>
      <c r="K269" s="23"/>
      <c r="L269" s="23"/>
      <c r="M269" s="23"/>
      <c r="N269" s="23"/>
      <c r="O269" s="23"/>
      <c r="P269" s="23"/>
      <c r="Q269" s="23"/>
      <c r="R269" s="23"/>
      <c r="S269" s="23"/>
      <c r="T269" s="23"/>
      <c r="U269" s="23"/>
      <c r="V269" s="23"/>
      <c r="W269" s="23"/>
      <c r="X269" s="19"/>
      <c r="Y269" s="19"/>
      <c r="Z269" s="19"/>
      <c r="AA269" s="19"/>
    </row>
    <row r="270" ht="14.25" customHeight="1">
      <c r="A270" s="19"/>
      <c r="B270" s="19"/>
      <c r="C270" s="19"/>
      <c r="D270" s="19"/>
      <c r="E270" s="19"/>
      <c r="F270" s="19"/>
      <c r="G270" s="23"/>
      <c r="H270" s="23"/>
      <c r="I270" s="23"/>
      <c r="J270" s="23"/>
      <c r="K270" s="23"/>
      <c r="L270" s="23"/>
      <c r="M270" s="23"/>
      <c r="N270" s="23"/>
      <c r="O270" s="23"/>
      <c r="P270" s="23"/>
      <c r="Q270" s="23"/>
      <c r="R270" s="23"/>
      <c r="S270" s="23"/>
      <c r="T270" s="23"/>
      <c r="U270" s="23"/>
      <c r="V270" s="23"/>
      <c r="W270" s="23"/>
      <c r="X270" s="19"/>
      <c r="Y270" s="19"/>
      <c r="Z270" s="19"/>
      <c r="AA270" s="19"/>
    </row>
    <row r="271" ht="14.25" customHeight="1">
      <c r="A271" s="19"/>
      <c r="B271" s="19"/>
      <c r="C271" s="19"/>
      <c r="D271" s="19"/>
      <c r="E271" s="19"/>
      <c r="F271" s="19"/>
      <c r="G271" s="23"/>
      <c r="H271" s="23"/>
      <c r="I271" s="23"/>
      <c r="J271" s="23"/>
      <c r="K271" s="23"/>
      <c r="L271" s="23"/>
      <c r="M271" s="23"/>
      <c r="N271" s="23"/>
      <c r="O271" s="23"/>
      <c r="P271" s="23"/>
      <c r="Q271" s="23"/>
      <c r="R271" s="23"/>
      <c r="S271" s="23"/>
      <c r="T271" s="23"/>
      <c r="U271" s="23"/>
      <c r="V271" s="23"/>
      <c r="W271" s="23"/>
      <c r="X271" s="19"/>
      <c r="Y271" s="19"/>
      <c r="Z271" s="19"/>
      <c r="AA271" s="19"/>
    </row>
    <row r="272" ht="14.25" customHeight="1">
      <c r="A272" s="19"/>
      <c r="B272" s="19"/>
      <c r="C272" s="19"/>
      <c r="D272" s="19"/>
      <c r="E272" s="19"/>
      <c r="F272" s="19"/>
      <c r="G272" s="23"/>
      <c r="H272" s="23"/>
      <c r="I272" s="23"/>
      <c r="J272" s="23"/>
      <c r="K272" s="23"/>
      <c r="L272" s="23"/>
      <c r="M272" s="23"/>
      <c r="N272" s="23"/>
      <c r="O272" s="23"/>
      <c r="P272" s="23"/>
      <c r="Q272" s="23"/>
      <c r="R272" s="23"/>
      <c r="S272" s="23"/>
      <c r="T272" s="23"/>
      <c r="U272" s="23"/>
      <c r="V272" s="23"/>
      <c r="W272" s="23"/>
      <c r="X272" s="19"/>
      <c r="Y272" s="19"/>
      <c r="Z272" s="19"/>
      <c r="AA272" s="19"/>
    </row>
    <row r="273" ht="14.25" customHeight="1">
      <c r="A273" s="19"/>
      <c r="B273" s="19"/>
      <c r="C273" s="19"/>
      <c r="D273" s="19"/>
      <c r="E273" s="19"/>
      <c r="F273" s="19"/>
      <c r="G273" s="23"/>
      <c r="H273" s="23"/>
      <c r="I273" s="23"/>
      <c r="J273" s="23"/>
      <c r="K273" s="23"/>
      <c r="L273" s="23"/>
      <c r="M273" s="23"/>
      <c r="N273" s="23"/>
      <c r="O273" s="23"/>
      <c r="P273" s="23"/>
      <c r="Q273" s="23"/>
      <c r="R273" s="23"/>
      <c r="S273" s="23"/>
      <c r="T273" s="23"/>
      <c r="U273" s="23"/>
      <c r="V273" s="23"/>
      <c r="W273" s="23"/>
      <c r="X273" s="19"/>
      <c r="Y273" s="19"/>
      <c r="Z273" s="19"/>
      <c r="AA273" s="19"/>
    </row>
    <row r="274" ht="14.25" customHeight="1">
      <c r="A274" s="19"/>
      <c r="B274" s="19"/>
      <c r="C274" s="19"/>
      <c r="D274" s="19"/>
      <c r="E274" s="19"/>
      <c r="F274" s="19"/>
      <c r="G274" s="23"/>
      <c r="H274" s="23"/>
      <c r="I274" s="23"/>
      <c r="J274" s="23"/>
      <c r="K274" s="23"/>
      <c r="L274" s="23"/>
      <c r="M274" s="23"/>
      <c r="N274" s="23"/>
      <c r="O274" s="23"/>
      <c r="P274" s="23"/>
      <c r="Q274" s="23"/>
      <c r="R274" s="23"/>
      <c r="S274" s="23"/>
      <c r="T274" s="23"/>
      <c r="U274" s="23"/>
      <c r="V274" s="23"/>
      <c r="W274" s="23"/>
      <c r="X274" s="19"/>
      <c r="Y274" s="19"/>
      <c r="Z274" s="19"/>
      <c r="AA274" s="19"/>
    </row>
    <row r="275" ht="14.25" customHeight="1">
      <c r="A275" s="19"/>
      <c r="B275" s="19"/>
      <c r="C275" s="19"/>
      <c r="D275" s="19"/>
      <c r="E275" s="19"/>
      <c r="F275" s="19"/>
      <c r="G275" s="23"/>
      <c r="H275" s="23"/>
      <c r="I275" s="23"/>
      <c r="J275" s="23"/>
      <c r="K275" s="23"/>
      <c r="L275" s="23"/>
      <c r="M275" s="23"/>
      <c r="N275" s="23"/>
      <c r="O275" s="23"/>
      <c r="P275" s="23"/>
      <c r="Q275" s="23"/>
      <c r="R275" s="23"/>
      <c r="S275" s="23"/>
      <c r="T275" s="23"/>
      <c r="U275" s="23"/>
      <c r="V275" s="23"/>
      <c r="W275" s="23"/>
      <c r="X275" s="19"/>
      <c r="Y275" s="19"/>
      <c r="Z275" s="19"/>
      <c r="AA275" s="19"/>
    </row>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12">
    <mergeCell ref="B54:C54"/>
    <mergeCell ref="F54:G54"/>
    <mergeCell ref="B66:C66"/>
    <mergeCell ref="H70:I70"/>
    <mergeCell ref="A77:C77"/>
    <mergeCell ref="A1:E1"/>
    <mergeCell ref="G1:L1"/>
    <mergeCell ref="A13:E13"/>
    <mergeCell ref="A25:G25"/>
    <mergeCell ref="A39:B39"/>
    <mergeCell ref="B42:C42"/>
    <mergeCell ref="F42:G4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43"/>
    <col customWidth="1" min="2" max="2" width="18.0"/>
    <col customWidth="1" min="3" max="3" width="13.71"/>
    <col customWidth="1" min="4" max="4" width="11.57"/>
    <col customWidth="1" min="5" max="5" width="18.14"/>
    <col customWidth="1" min="6" max="25" width="11.43"/>
  </cols>
  <sheetData>
    <row r="1" ht="14.25" customHeight="1">
      <c r="A1" s="107"/>
      <c r="B1" s="108" t="s">
        <v>73</v>
      </c>
      <c r="C1" s="109"/>
      <c r="D1" s="5"/>
      <c r="E1" s="5"/>
      <c r="F1" s="5"/>
      <c r="G1" s="5"/>
      <c r="H1" s="5"/>
      <c r="I1" s="5"/>
      <c r="J1" s="5"/>
      <c r="K1" s="5"/>
      <c r="L1" s="5"/>
      <c r="M1" s="5"/>
      <c r="N1" s="5"/>
      <c r="O1" s="5"/>
      <c r="P1" s="5"/>
      <c r="Q1" s="5"/>
      <c r="R1" s="5"/>
      <c r="S1" s="5"/>
      <c r="T1" s="5"/>
      <c r="U1" s="5"/>
      <c r="V1" s="5"/>
      <c r="W1" s="5"/>
      <c r="X1" s="5"/>
      <c r="Y1" s="5"/>
    </row>
    <row r="2" ht="14.25" customHeight="1">
      <c r="A2" s="110"/>
      <c r="B2" s="111" t="s">
        <v>10</v>
      </c>
      <c r="C2" s="112" t="s">
        <v>74</v>
      </c>
      <c r="D2" s="5"/>
      <c r="E2" s="5"/>
      <c r="F2" s="5"/>
      <c r="G2" s="5"/>
      <c r="H2" s="5"/>
      <c r="I2" s="5"/>
      <c r="J2" s="5"/>
      <c r="K2" s="5"/>
      <c r="L2" s="5"/>
      <c r="M2" s="5"/>
      <c r="N2" s="5"/>
      <c r="O2" s="5"/>
      <c r="P2" s="5"/>
      <c r="Q2" s="5"/>
      <c r="R2" s="5"/>
      <c r="S2" s="5"/>
      <c r="T2" s="5"/>
      <c r="U2" s="5"/>
      <c r="V2" s="5"/>
      <c r="W2" s="5"/>
      <c r="X2" s="5"/>
      <c r="Y2" s="5"/>
    </row>
    <row r="3" ht="14.25" customHeight="1">
      <c r="A3" s="113">
        <v>1.0</v>
      </c>
      <c r="B3" s="114" t="s">
        <v>21</v>
      </c>
      <c r="C3" s="115">
        <f t="array" ref="C3">XLOOKUP(B3,'Incomes and Costs'!$A$3:$A$10,'Incomes and Costs'!$B$3:$B$10)</f>
        <v>1850</v>
      </c>
      <c r="D3" s="116"/>
      <c r="E3" s="5"/>
      <c r="F3" s="5"/>
      <c r="G3" s="5"/>
      <c r="H3" s="5"/>
      <c r="I3" s="5"/>
      <c r="J3" s="5"/>
      <c r="K3" s="5"/>
      <c r="L3" s="5"/>
      <c r="M3" s="5"/>
      <c r="N3" s="5"/>
      <c r="O3" s="5"/>
      <c r="P3" s="5"/>
      <c r="Q3" s="5"/>
      <c r="R3" s="5"/>
      <c r="S3" s="5"/>
      <c r="T3" s="5"/>
      <c r="U3" s="5"/>
      <c r="V3" s="5"/>
      <c r="W3" s="5"/>
      <c r="X3" s="5"/>
      <c r="Y3" s="5"/>
    </row>
    <row r="4" ht="14.25" customHeight="1">
      <c r="A4" s="113">
        <v>2.0</v>
      </c>
      <c r="B4" s="36" t="s">
        <v>23</v>
      </c>
      <c r="C4" s="117">
        <f t="array" ref="C4">XLOOKUP(B4,'Incomes and Costs'!$A$3:$A$10,'Incomes and Costs'!$B$3:$B$10)</f>
        <v>1490</v>
      </c>
      <c r="D4" s="116"/>
      <c r="E4" s="5"/>
      <c r="F4" s="5"/>
      <c r="G4" s="5"/>
      <c r="H4" s="5"/>
      <c r="I4" s="5"/>
      <c r="J4" s="5"/>
      <c r="K4" s="5"/>
      <c r="L4" s="5"/>
      <c r="M4" s="5"/>
      <c r="N4" s="5"/>
      <c r="O4" s="5"/>
      <c r="P4" s="5"/>
      <c r="Q4" s="5"/>
      <c r="R4" s="5"/>
      <c r="S4" s="5"/>
      <c r="T4" s="5"/>
      <c r="U4" s="5"/>
      <c r="V4" s="5"/>
      <c r="W4" s="5"/>
      <c r="X4" s="5"/>
      <c r="Y4" s="5"/>
    </row>
    <row r="5" ht="14.25" customHeight="1">
      <c r="A5" s="113">
        <v>3.0</v>
      </c>
      <c r="B5" s="36" t="s">
        <v>25</v>
      </c>
      <c r="C5" s="117">
        <f t="array" ref="C5">XLOOKUP(B5,'Incomes and Costs'!$A$3:$A$10,'Incomes and Costs'!$B$3:$B$10)</f>
        <v>5990</v>
      </c>
      <c r="D5" s="116"/>
      <c r="E5" s="5"/>
      <c r="F5" s="5"/>
      <c r="G5" s="5"/>
      <c r="H5" s="5"/>
      <c r="I5" s="5"/>
      <c r="J5" s="5"/>
      <c r="K5" s="5"/>
      <c r="L5" s="5"/>
      <c r="M5" s="5"/>
      <c r="N5" s="5"/>
      <c r="O5" s="5"/>
      <c r="P5" s="5"/>
      <c r="Q5" s="5"/>
      <c r="R5" s="5"/>
      <c r="S5" s="5"/>
      <c r="T5" s="5"/>
      <c r="U5" s="5"/>
      <c r="V5" s="5"/>
      <c r="W5" s="5"/>
      <c r="X5" s="5"/>
      <c r="Y5" s="5"/>
    </row>
    <row r="6" ht="14.25" customHeight="1">
      <c r="A6" s="113">
        <v>4.0</v>
      </c>
      <c r="B6" s="36" t="s">
        <v>27</v>
      </c>
      <c r="C6" s="117">
        <f t="array" ref="C6">XLOOKUP(B6,'Incomes and Costs'!$A$3:$A$10,'Incomes and Costs'!$B$3:$B$10)</f>
        <v>1146</v>
      </c>
      <c r="D6" s="116"/>
      <c r="E6" s="5"/>
      <c r="F6" s="5"/>
      <c r="G6" s="5"/>
      <c r="H6" s="5"/>
      <c r="I6" s="5"/>
      <c r="J6" s="5"/>
      <c r="K6" s="5"/>
      <c r="L6" s="5"/>
      <c r="M6" s="5"/>
      <c r="N6" s="5"/>
      <c r="O6" s="5"/>
      <c r="P6" s="5"/>
      <c r="Q6" s="5"/>
      <c r="R6" s="5"/>
      <c r="S6" s="5"/>
      <c r="T6" s="5"/>
      <c r="U6" s="5"/>
      <c r="V6" s="5"/>
      <c r="W6" s="5"/>
      <c r="X6" s="5"/>
      <c r="Y6" s="5"/>
    </row>
    <row r="7" ht="14.25" customHeight="1">
      <c r="A7" s="113">
        <v>5.0</v>
      </c>
      <c r="B7" s="36" t="s">
        <v>29</v>
      </c>
      <c r="C7" s="117">
        <f t="array" ref="C7">XLOOKUP(B7,'Incomes and Costs'!$A$3:$A$10,'Incomes and Costs'!$B$3:$B$10)</f>
        <v>1290</v>
      </c>
      <c r="D7" s="116"/>
      <c r="E7" s="5"/>
      <c r="F7" s="5"/>
      <c r="G7" s="5"/>
      <c r="H7" s="5"/>
      <c r="I7" s="5"/>
      <c r="J7" s="5"/>
      <c r="K7" s="5"/>
      <c r="L7" s="5"/>
      <c r="M7" s="5"/>
      <c r="N7" s="5"/>
      <c r="O7" s="5"/>
      <c r="P7" s="5"/>
      <c r="Q7" s="5"/>
      <c r="R7" s="5"/>
      <c r="S7" s="5"/>
      <c r="T7" s="5"/>
      <c r="U7" s="5"/>
      <c r="V7" s="5"/>
      <c r="W7" s="5"/>
      <c r="X7" s="5"/>
      <c r="Y7" s="5"/>
    </row>
    <row r="8" ht="14.25" customHeight="1">
      <c r="A8" s="113">
        <v>6.0</v>
      </c>
      <c r="B8" s="36" t="s">
        <v>31</v>
      </c>
      <c r="C8" s="117">
        <f t="array" ref="C8">XLOOKUP(B8,'Incomes and Costs'!$A$3:$A$10,'Incomes and Costs'!$B$3:$B$10)</f>
        <v>3560</v>
      </c>
      <c r="D8" s="116"/>
      <c r="E8" s="5"/>
      <c r="F8" s="5"/>
      <c r="G8" s="5"/>
      <c r="H8" s="5"/>
      <c r="I8" s="5"/>
      <c r="J8" s="5"/>
      <c r="K8" s="5"/>
      <c r="L8" s="5"/>
      <c r="M8" s="5"/>
      <c r="N8" s="5"/>
      <c r="O8" s="5"/>
      <c r="P8" s="5"/>
      <c r="Q8" s="5"/>
      <c r="R8" s="5"/>
      <c r="S8" s="5"/>
      <c r="T8" s="5"/>
      <c r="U8" s="5"/>
      <c r="V8" s="5"/>
      <c r="W8" s="5"/>
      <c r="X8" s="5"/>
      <c r="Y8" s="5"/>
    </row>
    <row r="9">
      <c r="A9" s="113">
        <v>7.0</v>
      </c>
      <c r="B9" s="36" t="s">
        <v>33</v>
      </c>
      <c r="C9" s="117">
        <f t="array" ref="C9">XLOOKUP(B9,'Incomes and Costs'!$A$3:$A$10,'Incomes and Costs'!$B$3:$B$10)</f>
        <v>2989</v>
      </c>
      <c r="D9" s="116"/>
      <c r="E9" s="5"/>
      <c r="F9" s="5"/>
      <c r="G9" s="5"/>
      <c r="H9" s="5"/>
      <c r="I9" s="5"/>
      <c r="J9" s="5"/>
      <c r="K9" s="5"/>
      <c r="L9" s="5"/>
      <c r="M9" s="5"/>
      <c r="N9" s="5"/>
      <c r="O9" s="5"/>
      <c r="P9" s="5"/>
      <c r="Q9" s="5"/>
      <c r="R9" s="5"/>
      <c r="S9" s="5"/>
      <c r="T9" s="5"/>
      <c r="U9" s="5"/>
      <c r="V9" s="5"/>
      <c r="W9" s="5"/>
      <c r="X9" s="5"/>
      <c r="Y9" s="5"/>
    </row>
    <row r="10">
      <c r="A10" s="113">
        <v>8.0</v>
      </c>
      <c r="B10" s="39" t="s">
        <v>35</v>
      </c>
      <c r="C10" s="118">
        <f t="array" ref="C10">XLOOKUP(B10,'Incomes and Costs'!$A$3:$A$10,'Incomes and Costs'!$B$3:$B$10)</f>
        <v>6000</v>
      </c>
      <c r="D10" s="116"/>
      <c r="E10" s="5"/>
      <c r="F10" s="5"/>
      <c r="G10" s="5"/>
      <c r="H10" s="5"/>
      <c r="I10" s="5"/>
      <c r="J10" s="5"/>
      <c r="K10" s="5"/>
      <c r="L10" s="5"/>
      <c r="M10" s="5"/>
      <c r="N10" s="5"/>
      <c r="O10" s="5"/>
      <c r="P10" s="5"/>
      <c r="Q10" s="5"/>
      <c r="R10" s="5"/>
      <c r="S10" s="5"/>
      <c r="T10" s="5"/>
      <c r="U10" s="5"/>
      <c r="V10" s="5"/>
      <c r="W10" s="5"/>
      <c r="X10" s="5"/>
      <c r="Y10" s="5"/>
    </row>
    <row r="11" ht="14.25" customHeight="1">
      <c r="A11" s="5"/>
      <c r="B11" s="119"/>
      <c r="C11" s="120"/>
      <c r="D11" s="5"/>
      <c r="E11" s="5"/>
      <c r="F11" s="5"/>
      <c r="G11" s="5"/>
      <c r="H11" s="5"/>
      <c r="I11" s="5"/>
      <c r="J11" s="5"/>
      <c r="K11" s="5"/>
      <c r="L11" s="5"/>
      <c r="M11" s="5"/>
      <c r="N11" s="5"/>
      <c r="O11" s="5"/>
      <c r="P11" s="5"/>
      <c r="Q11" s="5"/>
      <c r="R11" s="5"/>
      <c r="S11" s="5"/>
      <c r="T11" s="5"/>
      <c r="U11" s="5"/>
      <c r="V11" s="5"/>
      <c r="W11" s="5"/>
      <c r="X11" s="5"/>
      <c r="Y11" s="5"/>
    </row>
    <row r="12" ht="14.25" customHeight="1">
      <c r="B12" s="5"/>
      <c r="C12" s="5"/>
      <c r="D12" s="5"/>
      <c r="E12" s="5"/>
      <c r="F12" s="5"/>
      <c r="G12" s="5"/>
      <c r="H12" s="5"/>
      <c r="I12" s="5"/>
      <c r="J12" s="5"/>
      <c r="K12" s="5"/>
      <c r="L12" s="5"/>
      <c r="M12" s="5"/>
      <c r="N12" s="5"/>
      <c r="O12" s="5"/>
      <c r="P12" s="5"/>
      <c r="Q12" s="5"/>
      <c r="R12" s="5"/>
      <c r="S12" s="5"/>
      <c r="T12" s="5"/>
      <c r="U12" s="5"/>
      <c r="V12" s="5"/>
      <c r="W12" s="5"/>
      <c r="X12" s="5"/>
      <c r="Y12" s="5"/>
    </row>
    <row r="13" ht="15.0" customHeight="1">
      <c r="A13" s="121" t="s">
        <v>10</v>
      </c>
      <c r="B13" s="122" t="s">
        <v>75</v>
      </c>
      <c r="C13" s="123"/>
      <c r="D13" s="123"/>
      <c r="E13" s="124"/>
      <c r="I13" s="5"/>
      <c r="J13" s="5"/>
      <c r="K13" s="5"/>
      <c r="L13" s="5"/>
      <c r="M13" s="5"/>
      <c r="N13" s="5"/>
      <c r="O13" s="5"/>
      <c r="P13" s="5"/>
      <c r="Q13" s="5"/>
      <c r="R13" s="5"/>
      <c r="S13" s="5"/>
      <c r="T13" s="5"/>
      <c r="U13" s="5"/>
      <c r="V13" s="5"/>
      <c r="W13" s="5"/>
      <c r="X13" s="5"/>
      <c r="Y13" s="5"/>
    </row>
    <row r="14" ht="14.25" customHeight="1">
      <c r="A14" s="125"/>
      <c r="B14" s="126" t="s">
        <v>76</v>
      </c>
      <c r="C14" s="126" t="s">
        <v>77</v>
      </c>
      <c r="D14" s="127" t="s">
        <v>78</v>
      </c>
      <c r="E14" s="128" t="s">
        <v>79</v>
      </c>
      <c r="J14" s="5"/>
      <c r="K14" s="5"/>
      <c r="L14" s="5"/>
      <c r="M14" s="5"/>
      <c r="N14" s="5"/>
      <c r="O14" s="5"/>
      <c r="P14" s="5"/>
      <c r="Q14" s="5"/>
      <c r="R14" s="5"/>
      <c r="S14" s="5"/>
      <c r="T14" s="5"/>
      <c r="U14" s="5"/>
      <c r="V14" s="5"/>
      <c r="W14" s="5"/>
      <c r="X14" s="5"/>
      <c r="Y14" s="5"/>
    </row>
    <row r="15" ht="14.25" customHeight="1">
      <c r="A15" s="129" t="s">
        <v>21</v>
      </c>
      <c r="B15" s="130">
        <v>2.993709642</v>
      </c>
      <c r="C15" s="131">
        <v>0.15</v>
      </c>
      <c r="D15" s="132">
        <f t="shared" ref="D15:D22" si="1">B15*C15</f>
        <v>0.4490564463</v>
      </c>
      <c r="E15" s="133">
        <f>B15*C15*SUM('Consumption by comuna (Kg year)'!C2:C39)</f>
        <v>8242088.096</v>
      </c>
      <c r="H15" s="134"/>
      <c r="I15" s="135"/>
      <c r="J15" s="5"/>
      <c r="K15" s="5"/>
      <c r="L15" s="5"/>
      <c r="M15" s="5"/>
      <c r="N15" s="5"/>
      <c r="O15" s="5"/>
      <c r="P15" s="5"/>
      <c r="Q15" s="5"/>
      <c r="R15" s="5"/>
      <c r="S15" s="5"/>
      <c r="T15" s="5"/>
      <c r="U15" s="5"/>
      <c r="V15" s="5"/>
      <c r="W15" s="5"/>
      <c r="X15" s="5"/>
      <c r="Y15" s="5"/>
    </row>
    <row r="16" ht="14.25" customHeight="1">
      <c r="A16" s="136" t="s">
        <v>23</v>
      </c>
      <c r="B16" s="130">
        <v>4.036972093</v>
      </c>
      <c r="C16" s="131">
        <v>0.15</v>
      </c>
      <c r="D16" s="132">
        <f t="shared" si="1"/>
        <v>0.605545814</v>
      </c>
      <c r="E16" s="133">
        <f>B16*C16*SUM('Consumption by comuna (Kg year)'!D2:D39)</f>
        <v>14987506.84</v>
      </c>
      <c r="H16" s="134"/>
      <c r="I16" s="135"/>
      <c r="J16" s="5"/>
      <c r="K16" s="5"/>
      <c r="L16" s="5"/>
      <c r="M16" s="5"/>
      <c r="N16" s="5"/>
      <c r="O16" s="5"/>
      <c r="P16" s="5"/>
      <c r="Q16" s="5"/>
      <c r="R16" s="5"/>
      <c r="S16" s="5"/>
      <c r="T16" s="5"/>
      <c r="U16" s="5"/>
      <c r="V16" s="5"/>
      <c r="W16" s="5"/>
      <c r="X16" s="5"/>
      <c r="Y16" s="5"/>
    </row>
    <row r="17" ht="14.25" customHeight="1">
      <c r="A17" s="136" t="s">
        <v>25</v>
      </c>
      <c r="B17" s="130">
        <v>0.4989516070000001</v>
      </c>
      <c r="C17" s="131">
        <v>0.15</v>
      </c>
      <c r="D17" s="132">
        <f t="shared" si="1"/>
        <v>0.07484274105</v>
      </c>
      <c r="E17" s="133">
        <f>B17*C17*SUM('Consumption by comuna (Kg year)'!E2:E39)</f>
        <v>228946.8916</v>
      </c>
      <c r="H17" s="134"/>
      <c r="I17" s="135"/>
      <c r="J17" s="5"/>
      <c r="K17" s="5"/>
      <c r="L17" s="5"/>
      <c r="M17" s="5"/>
      <c r="N17" s="5"/>
      <c r="O17" s="5"/>
      <c r="P17" s="5"/>
      <c r="Q17" s="5"/>
      <c r="R17" s="5"/>
      <c r="S17" s="5"/>
      <c r="T17" s="5"/>
      <c r="U17" s="5"/>
      <c r="V17" s="5"/>
      <c r="W17" s="5"/>
      <c r="X17" s="5"/>
      <c r="Y17" s="5"/>
    </row>
    <row r="18" ht="14.25" customHeight="1">
      <c r="A18" s="136" t="s">
        <v>27</v>
      </c>
      <c r="B18" s="130">
        <v>1.587573295</v>
      </c>
      <c r="C18" s="131">
        <v>0.15</v>
      </c>
      <c r="D18" s="132">
        <f t="shared" si="1"/>
        <v>0.2381359943</v>
      </c>
      <c r="E18" s="133">
        <f>B18*C18*SUM('Consumption by comuna (Kg year)'!F2:F39)</f>
        <v>2317850.762</v>
      </c>
      <c r="H18" s="134"/>
      <c r="I18" s="135"/>
      <c r="J18" s="5"/>
      <c r="K18" s="5"/>
      <c r="L18" s="5"/>
      <c r="M18" s="5"/>
      <c r="N18" s="5"/>
      <c r="O18" s="5"/>
      <c r="P18" s="5"/>
      <c r="Q18" s="5"/>
      <c r="R18" s="5"/>
      <c r="S18" s="5"/>
      <c r="T18" s="5"/>
      <c r="U18" s="5"/>
      <c r="V18" s="5"/>
      <c r="W18" s="5"/>
      <c r="X18" s="5"/>
      <c r="Y18" s="5"/>
    </row>
    <row r="19" ht="14.25" customHeight="1">
      <c r="A19" s="136" t="s">
        <v>29</v>
      </c>
      <c r="B19" s="130">
        <v>1.0432624510000001</v>
      </c>
      <c r="C19" s="131">
        <v>0.15</v>
      </c>
      <c r="D19" s="132">
        <f t="shared" si="1"/>
        <v>0.1564893677</v>
      </c>
      <c r="E19" s="133">
        <f>B19*C19*SUM('Consumption by comuna (Kg year)'!G2:G39)</f>
        <v>1000933.104</v>
      </c>
      <c r="H19" s="134"/>
      <c r="I19" s="135"/>
      <c r="J19" s="5"/>
      <c r="K19" s="5"/>
      <c r="L19" s="5"/>
      <c r="M19" s="5"/>
      <c r="N19" s="5"/>
      <c r="O19" s="5"/>
      <c r="P19" s="5"/>
      <c r="Q19" s="5"/>
      <c r="R19" s="5"/>
      <c r="S19" s="5"/>
      <c r="T19" s="5"/>
      <c r="U19" s="5"/>
      <c r="V19" s="5"/>
      <c r="W19" s="5"/>
      <c r="X19" s="5"/>
      <c r="Y19" s="5"/>
    </row>
    <row r="20" ht="14.25" customHeight="1">
      <c r="A20" s="136" t="s">
        <v>31</v>
      </c>
      <c r="B20" s="130">
        <v>0.4989516070000001</v>
      </c>
      <c r="C20" s="131">
        <v>0.15</v>
      </c>
      <c r="D20" s="132">
        <f t="shared" si="1"/>
        <v>0.07484274105</v>
      </c>
      <c r="E20" s="133">
        <f>B20*C20*SUM('Consumption by comuna (Kg year)'!H2:H39)</f>
        <v>228946.8916</v>
      </c>
      <c r="H20" s="134"/>
      <c r="I20" s="135"/>
      <c r="J20" s="5"/>
      <c r="K20" s="5"/>
      <c r="L20" s="5"/>
      <c r="M20" s="5"/>
      <c r="N20" s="5"/>
      <c r="O20" s="5"/>
      <c r="P20" s="5"/>
      <c r="Q20" s="5"/>
      <c r="R20" s="5"/>
      <c r="S20" s="5"/>
      <c r="T20" s="5"/>
      <c r="U20" s="5"/>
      <c r="V20" s="5"/>
      <c r="W20" s="5"/>
      <c r="X20" s="5"/>
      <c r="Y20" s="5"/>
    </row>
    <row r="21" ht="14.25" customHeight="1">
      <c r="A21" s="136" t="s">
        <v>33</v>
      </c>
      <c r="B21" s="130">
        <v>0.04535923700000001</v>
      </c>
      <c r="C21" s="131">
        <v>0.15</v>
      </c>
      <c r="D21" s="132">
        <f t="shared" si="1"/>
        <v>0.00680388555</v>
      </c>
      <c r="E21" s="133">
        <f>B21*C21*SUM('Consumption by comuna (Kg year)'!I2:I39)</f>
        <v>1892.123071</v>
      </c>
      <c r="F21" s="5"/>
      <c r="G21" s="5"/>
      <c r="H21" s="137"/>
      <c r="I21" s="138"/>
      <c r="J21" s="5"/>
      <c r="K21" s="5"/>
      <c r="L21" s="5"/>
      <c r="M21" s="5"/>
      <c r="N21" s="5"/>
      <c r="O21" s="5"/>
      <c r="P21" s="5"/>
      <c r="Q21" s="5"/>
      <c r="R21" s="5"/>
      <c r="S21" s="5"/>
      <c r="T21" s="5"/>
      <c r="U21" s="5"/>
      <c r="V21" s="5"/>
      <c r="W21" s="5"/>
      <c r="X21" s="5"/>
      <c r="Y21" s="5"/>
    </row>
    <row r="22" ht="16.5" customHeight="1">
      <c r="A22" s="139" t="s">
        <v>35</v>
      </c>
      <c r="B22" s="130">
        <v>1.8597287169999999</v>
      </c>
      <c r="C22" s="131">
        <v>0.15</v>
      </c>
      <c r="D22" s="132">
        <f t="shared" si="1"/>
        <v>0.2789593076</v>
      </c>
      <c r="E22" s="133">
        <f>B22*C22*SUM('Consumption by comuna (Kg year)'!J2:J39)</f>
        <v>3180658.882</v>
      </c>
      <c r="F22" s="5"/>
      <c r="G22" s="5"/>
      <c r="H22" s="137"/>
      <c r="I22" s="138"/>
      <c r="J22" s="5"/>
      <c r="K22" s="5"/>
      <c r="L22" s="5"/>
      <c r="M22" s="5"/>
      <c r="N22" s="5"/>
      <c r="O22" s="5"/>
      <c r="P22" s="5"/>
      <c r="Q22" s="5"/>
      <c r="R22" s="5"/>
      <c r="S22" s="5"/>
      <c r="T22" s="5"/>
      <c r="U22" s="5"/>
      <c r="V22" s="5"/>
      <c r="W22" s="5"/>
      <c r="X22" s="5"/>
      <c r="Y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4.25" customHeight="1">
      <c r="F95" s="5"/>
      <c r="G95" s="5"/>
      <c r="H95" s="5"/>
      <c r="I95" s="5"/>
      <c r="J95" s="5"/>
      <c r="K95" s="5"/>
      <c r="L95" s="5"/>
      <c r="M95" s="5"/>
      <c r="N95" s="5"/>
      <c r="O95" s="5"/>
      <c r="P95" s="5"/>
      <c r="Q95" s="5"/>
      <c r="R95" s="5"/>
      <c r="S95" s="5"/>
      <c r="T95" s="5"/>
      <c r="U95" s="5"/>
      <c r="V95" s="5"/>
      <c r="W95" s="5"/>
      <c r="X95" s="5"/>
      <c r="Y95" s="5"/>
    </row>
    <row r="96" ht="14.25" customHeight="1">
      <c r="F96" s="5"/>
      <c r="G96" s="5"/>
      <c r="H96" s="5"/>
      <c r="I96" s="5"/>
      <c r="J96" s="5"/>
      <c r="K96" s="5"/>
      <c r="L96" s="5"/>
      <c r="M96" s="5"/>
      <c r="N96" s="5"/>
      <c r="O96" s="5"/>
      <c r="P96" s="5"/>
      <c r="Q96" s="5"/>
      <c r="R96" s="5"/>
      <c r="S96" s="5"/>
      <c r="T96" s="5"/>
      <c r="U96" s="5"/>
      <c r="V96" s="5"/>
      <c r="W96" s="5"/>
      <c r="X96" s="5"/>
      <c r="Y96" s="5"/>
    </row>
    <row r="97" ht="14.25" customHeight="1">
      <c r="F97" s="5"/>
      <c r="G97" s="5"/>
      <c r="H97" s="5"/>
      <c r="I97" s="5"/>
      <c r="J97" s="5"/>
      <c r="K97" s="5"/>
      <c r="L97" s="5"/>
      <c r="M97" s="5"/>
      <c r="N97" s="5"/>
      <c r="O97" s="5"/>
      <c r="P97" s="5"/>
      <c r="Q97" s="5"/>
      <c r="R97" s="5"/>
      <c r="S97" s="5"/>
      <c r="T97" s="5"/>
      <c r="U97" s="5"/>
      <c r="V97" s="5"/>
      <c r="W97" s="5"/>
      <c r="X97" s="5"/>
      <c r="Y97" s="5"/>
    </row>
    <row r="98" ht="14.25" customHeight="1">
      <c r="F98" s="5"/>
      <c r="G98" s="5"/>
      <c r="H98" s="5"/>
      <c r="I98" s="5"/>
      <c r="J98" s="5"/>
      <c r="K98" s="5"/>
      <c r="L98" s="5"/>
      <c r="M98" s="5"/>
      <c r="N98" s="5"/>
      <c r="O98" s="5"/>
      <c r="P98" s="5"/>
      <c r="Q98" s="5"/>
      <c r="R98" s="5"/>
      <c r="S98" s="5"/>
      <c r="T98" s="5"/>
      <c r="U98" s="5"/>
      <c r="V98" s="5"/>
      <c r="W98" s="5"/>
      <c r="X98" s="5"/>
      <c r="Y98" s="5"/>
    </row>
    <row r="99" ht="14.25" customHeight="1">
      <c r="I99" s="5"/>
      <c r="J99" s="5"/>
      <c r="K99" s="5"/>
      <c r="L99" s="5"/>
      <c r="M99" s="5"/>
      <c r="N99" s="5"/>
      <c r="O99" s="5"/>
      <c r="P99" s="5"/>
      <c r="Q99" s="5"/>
      <c r="R99" s="5"/>
      <c r="S99" s="5"/>
      <c r="T99" s="5"/>
      <c r="U99" s="5"/>
      <c r="V99" s="5"/>
      <c r="W99" s="5"/>
      <c r="X99" s="5"/>
      <c r="Y99" s="5"/>
    </row>
    <row r="100" ht="14.25" customHeight="1">
      <c r="I100" s="5"/>
      <c r="J100" s="5"/>
      <c r="K100" s="5"/>
      <c r="L100" s="5"/>
      <c r="M100" s="5"/>
      <c r="N100" s="5"/>
      <c r="O100" s="5"/>
      <c r="P100" s="5"/>
      <c r="Q100" s="5"/>
      <c r="R100" s="5"/>
      <c r="S100" s="5"/>
      <c r="T100" s="5"/>
      <c r="U100" s="5"/>
      <c r="V100" s="5"/>
      <c r="W100" s="5"/>
      <c r="X100" s="5"/>
      <c r="Y100" s="5"/>
    </row>
    <row r="101" ht="14.25" customHeight="1">
      <c r="I101" s="5"/>
      <c r="J101" s="5"/>
      <c r="K101" s="5"/>
      <c r="L101" s="5"/>
      <c r="M101" s="5"/>
      <c r="N101" s="5"/>
      <c r="O101" s="5"/>
      <c r="P101" s="5"/>
      <c r="Q101" s="5"/>
      <c r="R101" s="5"/>
      <c r="S101" s="5"/>
      <c r="T101" s="5"/>
      <c r="U101" s="5"/>
      <c r="V101" s="5"/>
      <c r="W101" s="5"/>
      <c r="X101" s="5"/>
      <c r="Y101" s="5"/>
    </row>
    <row r="102" ht="14.25" customHeight="1">
      <c r="I102" s="5"/>
      <c r="J102" s="5"/>
      <c r="K102" s="5"/>
      <c r="L102" s="5"/>
      <c r="M102" s="5"/>
      <c r="N102" s="5"/>
      <c r="O102" s="5"/>
      <c r="P102" s="5"/>
      <c r="Q102" s="5"/>
      <c r="R102" s="5"/>
      <c r="S102" s="5"/>
      <c r="T102" s="5"/>
      <c r="U102" s="5"/>
      <c r="V102" s="5"/>
      <c r="W102" s="5"/>
      <c r="X102" s="5"/>
      <c r="Y102" s="5"/>
    </row>
    <row r="103" ht="14.25" customHeight="1">
      <c r="I103" s="5"/>
      <c r="J103" s="5"/>
      <c r="K103" s="5"/>
      <c r="L103" s="5"/>
      <c r="M103" s="5"/>
      <c r="N103" s="5"/>
      <c r="O103" s="5"/>
      <c r="P103" s="5"/>
      <c r="Q103" s="5"/>
      <c r="R103" s="5"/>
      <c r="S103" s="5"/>
      <c r="T103" s="5"/>
      <c r="U103" s="5"/>
      <c r="V103" s="5"/>
      <c r="W103" s="5"/>
      <c r="X103" s="5"/>
      <c r="Y103" s="5"/>
    </row>
    <row r="104" ht="14.25" customHeight="1">
      <c r="I104" s="5"/>
      <c r="J104" s="5"/>
      <c r="K104" s="5"/>
      <c r="L104" s="5"/>
      <c r="M104" s="5"/>
      <c r="N104" s="5"/>
      <c r="O104" s="5"/>
      <c r="P104" s="5"/>
      <c r="Q104" s="5"/>
      <c r="R104" s="5"/>
      <c r="S104" s="5"/>
      <c r="T104" s="5"/>
      <c r="U104" s="5"/>
      <c r="V104" s="5"/>
      <c r="W104" s="5"/>
      <c r="X104" s="5"/>
      <c r="Y104" s="5"/>
    </row>
    <row r="105" ht="14.25" customHeight="1">
      <c r="I105" s="5"/>
      <c r="J105" s="5"/>
      <c r="K105" s="5"/>
      <c r="L105" s="5"/>
      <c r="M105" s="5"/>
      <c r="N105" s="5"/>
      <c r="O105" s="5"/>
      <c r="P105" s="5"/>
      <c r="Q105" s="5"/>
      <c r="R105" s="5"/>
      <c r="S105" s="5"/>
      <c r="T105" s="5"/>
      <c r="U105" s="5"/>
      <c r="V105" s="5"/>
      <c r="W105" s="5"/>
      <c r="X105" s="5"/>
      <c r="Y105" s="5"/>
    </row>
    <row r="106" ht="14.25" customHeight="1">
      <c r="I106" s="5"/>
      <c r="J106" s="5"/>
      <c r="K106" s="5"/>
      <c r="L106" s="5"/>
      <c r="M106" s="5"/>
      <c r="N106" s="5"/>
      <c r="O106" s="5"/>
      <c r="P106" s="5"/>
      <c r="Q106" s="5"/>
      <c r="R106" s="5"/>
      <c r="S106" s="5"/>
      <c r="T106" s="5"/>
      <c r="U106" s="5"/>
      <c r="V106" s="5"/>
      <c r="W106" s="5"/>
      <c r="X106" s="5"/>
      <c r="Y106" s="5"/>
    </row>
    <row r="107" ht="14.25" customHeight="1">
      <c r="I107" s="5"/>
      <c r="J107" s="5"/>
      <c r="K107" s="5"/>
      <c r="L107" s="5"/>
      <c r="M107" s="5"/>
      <c r="N107" s="5"/>
      <c r="O107" s="5"/>
      <c r="P107" s="5"/>
      <c r="Q107" s="5"/>
      <c r="R107" s="5"/>
      <c r="S107" s="5"/>
      <c r="T107" s="5"/>
      <c r="U107" s="5"/>
      <c r="V107" s="5"/>
      <c r="W107" s="5"/>
      <c r="X107" s="5"/>
      <c r="Y107" s="5"/>
    </row>
    <row r="108" ht="14.25" customHeight="1">
      <c r="I108" s="5"/>
      <c r="J108" s="5"/>
      <c r="K108" s="5"/>
      <c r="L108" s="5"/>
      <c r="M108" s="5"/>
      <c r="N108" s="5"/>
      <c r="O108" s="5"/>
      <c r="P108" s="5"/>
      <c r="Q108" s="5"/>
      <c r="R108" s="5"/>
      <c r="S108" s="5"/>
      <c r="T108" s="5"/>
      <c r="U108" s="5"/>
      <c r="V108" s="5"/>
      <c r="W108" s="5"/>
      <c r="X108" s="5"/>
      <c r="Y108" s="5"/>
    </row>
    <row r="109" ht="14.25" customHeight="1">
      <c r="I109" s="5"/>
      <c r="J109" s="5"/>
      <c r="K109" s="5"/>
      <c r="L109" s="5"/>
      <c r="M109" s="5"/>
      <c r="N109" s="5"/>
      <c r="O109" s="5"/>
      <c r="P109" s="5"/>
      <c r="Q109" s="5"/>
      <c r="R109" s="5"/>
      <c r="S109" s="5"/>
      <c r="T109" s="5"/>
      <c r="U109" s="5"/>
      <c r="V109" s="5"/>
      <c r="W109" s="5"/>
      <c r="X109" s="5"/>
      <c r="Y109" s="5"/>
    </row>
    <row r="110" ht="14.25" customHeight="1">
      <c r="I110" s="5"/>
      <c r="J110" s="5"/>
      <c r="K110" s="5"/>
      <c r="L110" s="5"/>
      <c r="M110" s="5"/>
      <c r="N110" s="5"/>
      <c r="O110" s="5"/>
      <c r="P110" s="5"/>
      <c r="Q110" s="5"/>
      <c r="R110" s="5"/>
      <c r="S110" s="5"/>
      <c r="T110" s="5"/>
      <c r="U110" s="5"/>
      <c r="V110" s="5"/>
      <c r="W110" s="5"/>
      <c r="X110" s="5"/>
      <c r="Y110" s="5"/>
    </row>
    <row r="111" ht="14.25" customHeight="1">
      <c r="I111" s="5"/>
      <c r="J111" s="5"/>
      <c r="K111" s="5"/>
      <c r="L111" s="5"/>
      <c r="M111" s="5"/>
      <c r="N111" s="5"/>
      <c r="O111" s="5"/>
      <c r="P111" s="5"/>
      <c r="Q111" s="5"/>
      <c r="R111" s="5"/>
      <c r="S111" s="5"/>
      <c r="T111" s="5"/>
      <c r="U111" s="5"/>
      <c r="V111" s="5"/>
      <c r="W111" s="5"/>
      <c r="X111" s="5"/>
      <c r="Y111" s="5"/>
    </row>
    <row r="112" ht="14.25" customHeight="1">
      <c r="I112" s="5"/>
      <c r="J112" s="5"/>
      <c r="K112" s="5"/>
      <c r="L112" s="5"/>
      <c r="M112" s="5"/>
      <c r="N112" s="5"/>
      <c r="O112" s="5"/>
      <c r="P112" s="5"/>
      <c r="Q112" s="5"/>
      <c r="R112" s="5"/>
      <c r="S112" s="5"/>
      <c r="T112" s="5"/>
      <c r="U112" s="5"/>
      <c r="V112" s="5"/>
      <c r="W112" s="5"/>
      <c r="X112" s="5"/>
      <c r="Y112" s="5"/>
    </row>
    <row r="113" ht="14.25" customHeight="1">
      <c r="I113" s="5"/>
      <c r="J113" s="5"/>
      <c r="K113" s="5"/>
      <c r="L113" s="5"/>
      <c r="M113" s="5"/>
      <c r="N113" s="5"/>
      <c r="O113" s="5"/>
      <c r="P113" s="5"/>
      <c r="Q113" s="5"/>
      <c r="R113" s="5"/>
      <c r="S113" s="5"/>
      <c r="T113" s="5"/>
      <c r="U113" s="5"/>
      <c r="V113" s="5"/>
      <c r="W113" s="5"/>
      <c r="X113" s="5"/>
      <c r="Y113" s="5"/>
    </row>
    <row r="114" ht="14.25" customHeight="1">
      <c r="I114" s="5"/>
      <c r="J114" s="5"/>
      <c r="K114" s="5"/>
      <c r="L114" s="5"/>
      <c r="M114" s="5"/>
      <c r="N114" s="5"/>
      <c r="O114" s="5"/>
      <c r="P114" s="5"/>
      <c r="Q114" s="5"/>
      <c r="R114" s="5"/>
      <c r="S114" s="5"/>
      <c r="T114" s="5"/>
      <c r="U114" s="5"/>
      <c r="V114" s="5"/>
      <c r="W114" s="5"/>
      <c r="X114" s="5"/>
      <c r="Y114" s="5"/>
    </row>
    <row r="115" ht="14.25" customHeight="1">
      <c r="I115" s="5"/>
      <c r="J115" s="5"/>
      <c r="K115" s="5"/>
      <c r="L115" s="5"/>
      <c r="M115" s="5"/>
      <c r="N115" s="5"/>
      <c r="O115" s="5"/>
      <c r="P115" s="5"/>
      <c r="Q115" s="5"/>
      <c r="R115" s="5"/>
      <c r="S115" s="5"/>
      <c r="T115" s="5"/>
      <c r="U115" s="5"/>
      <c r="V115" s="5"/>
      <c r="W115" s="5"/>
      <c r="X115" s="5"/>
      <c r="Y115" s="5"/>
    </row>
    <row r="116" ht="14.25" customHeight="1">
      <c r="I116" s="5"/>
      <c r="J116" s="5"/>
      <c r="K116" s="5"/>
      <c r="L116" s="5"/>
      <c r="M116" s="5"/>
      <c r="N116" s="5"/>
      <c r="O116" s="5"/>
      <c r="P116" s="5"/>
      <c r="Q116" s="5"/>
      <c r="R116" s="5"/>
      <c r="S116" s="5"/>
      <c r="T116" s="5"/>
      <c r="U116" s="5"/>
      <c r="V116" s="5"/>
      <c r="W116" s="5"/>
      <c r="X116" s="5"/>
      <c r="Y116" s="5"/>
    </row>
    <row r="117" ht="14.25" customHeight="1">
      <c r="I117" s="5"/>
      <c r="J117" s="5"/>
      <c r="K117" s="5"/>
      <c r="L117" s="5"/>
      <c r="M117" s="5"/>
      <c r="N117" s="5"/>
      <c r="O117" s="5"/>
      <c r="P117" s="5"/>
      <c r="Q117" s="5"/>
      <c r="R117" s="5"/>
      <c r="S117" s="5"/>
      <c r="T117" s="5"/>
      <c r="U117" s="5"/>
      <c r="V117" s="5"/>
      <c r="W117" s="5"/>
      <c r="X117" s="5"/>
      <c r="Y117" s="5"/>
    </row>
    <row r="118" ht="14.25" customHeight="1">
      <c r="I118" s="5"/>
      <c r="J118" s="5"/>
      <c r="K118" s="5"/>
      <c r="L118" s="5"/>
      <c r="M118" s="5"/>
      <c r="N118" s="5"/>
      <c r="O118" s="5"/>
      <c r="P118" s="5"/>
      <c r="Q118" s="5"/>
      <c r="R118" s="5"/>
      <c r="S118" s="5"/>
      <c r="T118" s="5"/>
      <c r="U118" s="5"/>
      <c r="V118" s="5"/>
      <c r="W118" s="5"/>
      <c r="X118" s="5"/>
      <c r="Y118" s="5"/>
    </row>
    <row r="119" ht="14.25" customHeight="1">
      <c r="I119" s="5"/>
      <c r="J119" s="5"/>
      <c r="K119" s="5"/>
      <c r="L119" s="5"/>
      <c r="M119" s="5"/>
      <c r="N119" s="5"/>
      <c r="O119" s="5"/>
      <c r="P119" s="5"/>
      <c r="Q119" s="5"/>
      <c r="R119" s="5"/>
      <c r="S119" s="5"/>
      <c r="T119" s="5"/>
      <c r="U119" s="5"/>
      <c r="V119" s="5"/>
      <c r="W119" s="5"/>
      <c r="X119" s="5"/>
      <c r="Y119" s="5"/>
    </row>
    <row r="120" ht="14.25" customHeight="1">
      <c r="I120" s="5"/>
      <c r="J120" s="5"/>
      <c r="K120" s="5"/>
      <c r="L120" s="5"/>
      <c r="M120" s="5"/>
      <c r="N120" s="5"/>
      <c r="O120" s="5"/>
      <c r="P120" s="5"/>
      <c r="Q120" s="5"/>
      <c r="R120" s="5"/>
      <c r="S120" s="5"/>
      <c r="T120" s="5"/>
      <c r="U120" s="5"/>
      <c r="V120" s="5"/>
      <c r="W120" s="5"/>
      <c r="X120" s="5"/>
      <c r="Y120" s="5"/>
    </row>
    <row r="121" ht="14.25" customHeight="1">
      <c r="I121" s="5"/>
      <c r="J121" s="5"/>
      <c r="K121" s="5"/>
      <c r="L121" s="5"/>
      <c r="M121" s="5"/>
      <c r="N121" s="5"/>
      <c r="O121" s="5"/>
      <c r="P121" s="5"/>
      <c r="Q121" s="5"/>
      <c r="R121" s="5"/>
      <c r="S121" s="5"/>
      <c r="T121" s="5"/>
      <c r="U121" s="5"/>
      <c r="V121" s="5"/>
      <c r="W121" s="5"/>
      <c r="X121" s="5"/>
      <c r="Y121" s="5"/>
    </row>
    <row r="122" ht="14.25" customHeight="1">
      <c r="I122" s="5"/>
      <c r="J122" s="5"/>
      <c r="K122" s="5"/>
      <c r="L122" s="5"/>
      <c r="M122" s="5"/>
      <c r="N122" s="5"/>
      <c r="O122" s="5"/>
      <c r="P122" s="5"/>
      <c r="Q122" s="5"/>
      <c r="R122" s="5"/>
      <c r="S122" s="5"/>
      <c r="T122" s="5"/>
      <c r="U122" s="5"/>
      <c r="V122" s="5"/>
      <c r="W122" s="5"/>
      <c r="X122" s="5"/>
      <c r="Y122" s="5"/>
    </row>
    <row r="123" ht="14.25" customHeight="1">
      <c r="I123" s="5"/>
      <c r="J123" s="5"/>
      <c r="K123" s="5"/>
      <c r="L123" s="5"/>
      <c r="M123" s="5"/>
      <c r="N123" s="5"/>
      <c r="O123" s="5"/>
      <c r="P123" s="5"/>
      <c r="Q123" s="5"/>
      <c r="R123" s="5"/>
      <c r="S123" s="5"/>
      <c r="T123" s="5"/>
      <c r="U123" s="5"/>
      <c r="V123" s="5"/>
      <c r="W123" s="5"/>
      <c r="X123" s="5"/>
      <c r="Y123" s="5"/>
    </row>
    <row r="124" ht="14.25" customHeight="1">
      <c r="I124" s="5"/>
      <c r="J124" s="5"/>
      <c r="K124" s="5"/>
      <c r="L124" s="5"/>
      <c r="M124" s="5"/>
      <c r="N124" s="5"/>
      <c r="O124" s="5"/>
      <c r="P124" s="5"/>
      <c r="Q124" s="5"/>
      <c r="R124" s="5"/>
      <c r="S124" s="5"/>
      <c r="T124" s="5"/>
      <c r="U124" s="5"/>
      <c r="V124" s="5"/>
      <c r="W124" s="5"/>
      <c r="X124" s="5"/>
      <c r="Y124" s="5"/>
    </row>
    <row r="125" ht="14.25" customHeight="1">
      <c r="I125" s="5"/>
      <c r="J125" s="5"/>
      <c r="K125" s="5"/>
      <c r="L125" s="5"/>
      <c r="M125" s="5"/>
      <c r="N125" s="5"/>
      <c r="O125" s="5"/>
      <c r="P125" s="5"/>
      <c r="Q125" s="5"/>
      <c r="R125" s="5"/>
      <c r="S125" s="5"/>
      <c r="T125" s="5"/>
      <c r="U125" s="5"/>
      <c r="V125" s="5"/>
      <c r="W125" s="5"/>
      <c r="X125" s="5"/>
      <c r="Y125" s="5"/>
    </row>
    <row r="126" ht="14.25" customHeight="1">
      <c r="I126" s="5"/>
      <c r="J126" s="5"/>
      <c r="K126" s="5"/>
      <c r="L126" s="5"/>
      <c r="M126" s="5"/>
      <c r="N126" s="5"/>
      <c r="O126" s="5"/>
      <c r="P126" s="5"/>
      <c r="Q126" s="5"/>
      <c r="R126" s="5"/>
      <c r="S126" s="5"/>
      <c r="T126" s="5"/>
      <c r="U126" s="5"/>
      <c r="V126" s="5"/>
      <c r="W126" s="5"/>
      <c r="X126" s="5"/>
      <c r="Y126" s="5"/>
    </row>
    <row r="127" ht="14.25" customHeight="1">
      <c r="I127" s="5"/>
      <c r="J127" s="5"/>
      <c r="K127" s="5"/>
      <c r="L127" s="5"/>
      <c r="M127" s="5"/>
      <c r="N127" s="5"/>
      <c r="O127" s="5"/>
      <c r="P127" s="5"/>
      <c r="Q127" s="5"/>
      <c r="R127" s="5"/>
      <c r="S127" s="5"/>
      <c r="T127" s="5"/>
      <c r="U127" s="5"/>
      <c r="V127" s="5"/>
      <c r="W127" s="5"/>
      <c r="X127" s="5"/>
      <c r="Y127" s="5"/>
    </row>
    <row r="128" ht="14.25" customHeight="1">
      <c r="I128" s="5"/>
      <c r="J128" s="5"/>
      <c r="K128" s="5"/>
      <c r="L128" s="5"/>
      <c r="M128" s="5"/>
      <c r="N128" s="5"/>
      <c r="O128" s="5"/>
      <c r="P128" s="5"/>
      <c r="Q128" s="5"/>
      <c r="R128" s="5"/>
      <c r="S128" s="5"/>
      <c r="T128" s="5"/>
      <c r="U128" s="5"/>
      <c r="V128" s="5"/>
      <c r="W128" s="5"/>
      <c r="X128" s="5"/>
      <c r="Y128" s="5"/>
    </row>
    <row r="129" ht="14.25" customHeight="1">
      <c r="I129" s="5"/>
      <c r="J129" s="5"/>
      <c r="K129" s="5"/>
      <c r="L129" s="5"/>
      <c r="M129" s="5"/>
      <c r="N129" s="5"/>
      <c r="O129" s="5"/>
      <c r="P129" s="5"/>
      <c r="Q129" s="5"/>
      <c r="R129" s="5"/>
      <c r="S129" s="5"/>
      <c r="T129" s="5"/>
      <c r="U129" s="5"/>
      <c r="V129" s="5"/>
      <c r="W129" s="5"/>
      <c r="X129" s="5"/>
      <c r="Y129" s="5"/>
    </row>
    <row r="130" ht="14.25" customHeight="1">
      <c r="I130" s="5"/>
      <c r="J130" s="5"/>
      <c r="K130" s="5"/>
      <c r="L130" s="5"/>
      <c r="M130" s="5"/>
      <c r="N130" s="5"/>
      <c r="O130" s="5"/>
      <c r="P130" s="5"/>
      <c r="Q130" s="5"/>
      <c r="R130" s="5"/>
      <c r="S130" s="5"/>
      <c r="T130" s="5"/>
      <c r="U130" s="5"/>
      <c r="V130" s="5"/>
      <c r="W130" s="5"/>
      <c r="X130" s="5"/>
      <c r="Y130" s="5"/>
    </row>
    <row r="131" ht="14.25" customHeight="1">
      <c r="I131" s="5"/>
      <c r="J131" s="5"/>
      <c r="K131" s="5"/>
      <c r="L131" s="5"/>
      <c r="M131" s="5"/>
      <c r="N131" s="5"/>
      <c r="O131" s="5"/>
      <c r="P131" s="5"/>
      <c r="Q131" s="5"/>
      <c r="R131" s="5"/>
      <c r="S131" s="5"/>
      <c r="T131" s="5"/>
      <c r="U131" s="5"/>
      <c r="V131" s="5"/>
      <c r="W131" s="5"/>
      <c r="X131" s="5"/>
      <c r="Y131" s="5"/>
    </row>
    <row r="132" ht="14.25" customHeight="1">
      <c r="I132" s="5"/>
      <c r="J132" s="5"/>
      <c r="K132" s="5"/>
      <c r="L132" s="5"/>
      <c r="M132" s="5"/>
      <c r="N132" s="5"/>
      <c r="O132" s="5"/>
      <c r="P132" s="5"/>
      <c r="Q132" s="5"/>
      <c r="R132" s="5"/>
      <c r="S132" s="5"/>
      <c r="T132" s="5"/>
      <c r="U132" s="5"/>
      <c r="V132" s="5"/>
      <c r="W132" s="5"/>
      <c r="X132" s="5"/>
      <c r="Y132" s="5"/>
    </row>
    <row r="133" ht="14.25" customHeight="1">
      <c r="I133" s="5"/>
      <c r="J133" s="5"/>
      <c r="K133" s="5"/>
      <c r="L133" s="5"/>
      <c r="M133" s="5"/>
      <c r="N133" s="5"/>
      <c r="O133" s="5"/>
      <c r="P133" s="5"/>
      <c r="Q133" s="5"/>
      <c r="R133" s="5"/>
      <c r="S133" s="5"/>
      <c r="T133" s="5"/>
      <c r="U133" s="5"/>
      <c r="V133" s="5"/>
      <c r="W133" s="5"/>
      <c r="X133" s="5"/>
      <c r="Y133" s="5"/>
    </row>
    <row r="134" ht="14.25" customHeight="1">
      <c r="I134" s="5"/>
      <c r="J134" s="5"/>
      <c r="K134" s="5"/>
      <c r="L134" s="5"/>
      <c r="M134" s="5"/>
      <c r="N134" s="5"/>
      <c r="O134" s="5"/>
      <c r="P134" s="5"/>
      <c r="Q134" s="5"/>
      <c r="R134" s="5"/>
      <c r="S134" s="5"/>
      <c r="T134" s="5"/>
      <c r="U134" s="5"/>
      <c r="V134" s="5"/>
      <c r="W134" s="5"/>
      <c r="X134" s="5"/>
      <c r="Y134" s="5"/>
    </row>
    <row r="135" ht="14.25" customHeight="1">
      <c r="I135" s="5"/>
      <c r="J135" s="5"/>
      <c r="K135" s="5"/>
      <c r="L135" s="5"/>
      <c r="M135" s="5"/>
      <c r="N135" s="5"/>
      <c r="O135" s="5"/>
      <c r="P135" s="5"/>
      <c r="Q135" s="5"/>
      <c r="R135" s="5"/>
      <c r="S135" s="5"/>
      <c r="T135" s="5"/>
      <c r="U135" s="5"/>
      <c r="V135" s="5"/>
      <c r="W135" s="5"/>
      <c r="X135" s="5"/>
      <c r="Y135" s="5"/>
    </row>
    <row r="136" ht="14.25" customHeight="1">
      <c r="I136" s="5"/>
      <c r="J136" s="5"/>
      <c r="K136" s="5"/>
      <c r="L136" s="5"/>
      <c r="M136" s="5"/>
      <c r="N136" s="5"/>
      <c r="O136" s="5"/>
      <c r="P136" s="5"/>
      <c r="Q136" s="5"/>
      <c r="R136" s="5"/>
      <c r="S136" s="5"/>
      <c r="T136" s="5"/>
      <c r="U136" s="5"/>
      <c r="V136" s="5"/>
      <c r="W136" s="5"/>
      <c r="X136" s="5"/>
      <c r="Y136" s="5"/>
    </row>
    <row r="137" ht="14.25" customHeight="1">
      <c r="I137" s="5"/>
      <c r="J137" s="5"/>
      <c r="K137" s="5"/>
      <c r="L137" s="5"/>
      <c r="M137" s="5"/>
      <c r="N137" s="5"/>
      <c r="O137" s="5"/>
      <c r="P137" s="5"/>
      <c r="Q137" s="5"/>
      <c r="R137" s="5"/>
      <c r="S137" s="5"/>
      <c r="T137" s="5"/>
      <c r="U137" s="5"/>
      <c r="V137" s="5"/>
      <c r="W137" s="5"/>
      <c r="X137" s="5"/>
      <c r="Y137" s="5"/>
    </row>
    <row r="138" ht="14.25" customHeight="1">
      <c r="I138" s="5"/>
      <c r="J138" s="5"/>
      <c r="K138" s="5"/>
      <c r="L138" s="5"/>
      <c r="M138" s="5"/>
      <c r="N138" s="5"/>
      <c r="O138" s="5"/>
      <c r="P138" s="5"/>
      <c r="Q138" s="5"/>
      <c r="R138" s="5"/>
      <c r="S138" s="5"/>
      <c r="T138" s="5"/>
      <c r="U138" s="5"/>
      <c r="V138" s="5"/>
      <c r="W138" s="5"/>
      <c r="X138" s="5"/>
      <c r="Y138" s="5"/>
    </row>
    <row r="139" ht="14.25" customHeight="1">
      <c r="I139" s="5"/>
      <c r="J139" s="5"/>
      <c r="K139" s="5"/>
      <c r="L139" s="5"/>
      <c r="M139" s="5"/>
      <c r="N139" s="5"/>
      <c r="O139" s="5"/>
      <c r="P139" s="5"/>
      <c r="Q139" s="5"/>
      <c r="R139" s="5"/>
      <c r="S139" s="5"/>
      <c r="T139" s="5"/>
      <c r="U139" s="5"/>
      <c r="V139" s="5"/>
      <c r="W139" s="5"/>
      <c r="X139" s="5"/>
      <c r="Y139" s="5"/>
    </row>
    <row r="140" ht="14.25" customHeight="1">
      <c r="I140" s="5"/>
      <c r="J140" s="5"/>
      <c r="K140" s="5"/>
      <c r="L140" s="5"/>
      <c r="M140" s="5"/>
      <c r="N140" s="5"/>
      <c r="O140" s="5"/>
      <c r="P140" s="5"/>
      <c r="Q140" s="5"/>
      <c r="R140" s="5"/>
      <c r="S140" s="5"/>
      <c r="T140" s="5"/>
      <c r="U140" s="5"/>
      <c r="V140" s="5"/>
      <c r="W140" s="5"/>
      <c r="X140" s="5"/>
      <c r="Y140" s="5"/>
    </row>
    <row r="141" ht="14.25" customHeight="1">
      <c r="I141" s="5"/>
      <c r="J141" s="5"/>
      <c r="K141" s="5"/>
      <c r="L141" s="5"/>
      <c r="M141" s="5"/>
      <c r="N141" s="5"/>
      <c r="O141" s="5"/>
      <c r="P141" s="5"/>
      <c r="Q141" s="5"/>
      <c r="R141" s="5"/>
      <c r="S141" s="5"/>
      <c r="T141" s="5"/>
      <c r="U141" s="5"/>
      <c r="V141" s="5"/>
      <c r="W141" s="5"/>
      <c r="X141" s="5"/>
      <c r="Y141" s="5"/>
    </row>
    <row r="142" ht="14.25" customHeight="1">
      <c r="I142" s="5"/>
      <c r="J142" s="5"/>
      <c r="K142" s="5"/>
      <c r="L142" s="5"/>
      <c r="M142" s="5"/>
      <c r="N142" s="5"/>
      <c r="O142" s="5"/>
      <c r="P142" s="5"/>
      <c r="Q142" s="5"/>
      <c r="R142" s="5"/>
      <c r="S142" s="5"/>
      <c r="T142" s="5"/>
      <c r="U142" s="5"/>
      <c r="V142" s="5"/>
      <c r="W142" s="5"/>
      <c r="X142" s="5"/>
      <c r="Y142" s="5"/>
    </row>
    <row r="143" ht="14.25" customHeight="1">
      <c r="I143" s="5"/>
      <c r="J143" s="5"/>
      <c r="K143" s="5"/>
      <c r="L143" s="5"/>
      <c r="M143" s="5"/>
      <c r="N143" s="5"/>
      <c r="O143" s="5"/>
      <c r="P143" s="5"/>
      <c r="Q143" s="5"/>
      <c r="R143" s="5"/>
      <c r="S143" s="5"/>
      <c r="T143" s="5"/>
      <c r="U143" s="5"/>
      <c r="V143" s="5"/>
      <c r="W143" s="5"/>
      <c r="X143" s="5"/>
      <c r="Y143" s="5"/>
    </row>
    <row r="144" ht="14.25" customHeight="1">
      <c r="I144" s="5"/>
      <c r="J144" s="5"/>
      <c r="K144" s="5"/>
      <c r="L144" s="5"/>
      <c r="M144" s="5"/>
      <c r="N144" s="5"/>
      <c r="O144" s="5"/>
      <c r="P144" s="5"/>
      <c r="Q144" s="5"/>
      <c r="R144" s="5"/>
      <c r="S144" s="5"/>
      <c r="T144" s="5"/>
      <c r="U144" s="5"/>
      <c r="V144" s="5"/>
      <c r="W144" s="5"/>
      <c r="X144" s="5"/>
      <c r="Y144" s="5"/>
    </row>
    <row r="145" ht="14.25" customHeight="1">
      <c r="I145" s="5"/>
      <c r="J145" s="5"/>
      <c r="K145" s="5"/>
      <c r="L145" s="5"/>
      <c r="M145" s="5"/>
      <c r="N145" s="5"/>
      <c r="O145" s="5"/>
      <c r="P145" s="5"/>
      <c r="Q145" s="5"/>
      <c r="R145" s="5"/>
      <c r="S145" s="5"/>
      <c r="T145" s="5"/>
      <c r="U145" s="5"/>
      <c r="V145" s="5"/>
      <c r="W145" s="5"/>
      <c r="X145" s="5"/>
      <c r="Y145" s="5"/>
    </row>
    <row r="146" ht="14.25" customHeight="1">
      <c r="I146" s="5"/>
      <c r="J146" s="5"/>
      <c r="K146" s="5"/>
      <c r="L146" s="5"/>
      <c r="M146" s="5"/>
      <c r="N146" s="5"/>
      <c r="O146" s="5"/>
      <c r="P146" s="5"/>
      <c r="Q146" s="5"/>
      <c r="R146" s="5"/>
      <c r="S146" s="5"/>
      <c r="T146" s="5"/>
      <c r="U146" s="5"/>
      <c r="V146" s="5"/>
      <c r="W146" s="5"/>
      <c r="X146" s="5"/>
      <c r="Y146" s="5"/>
    </row>
    <row r="147" ht="14.25" customHeight="1">
      <c r="I147" s="5"/>
      <c r="J147" s="5"/>
      <c r="K147" s="5"/>
      <c r="L147" s="5"/>
      <c r="M147" s="5"/>
      <c r="N147" s="5"/>
      <c r="O147" s="5"/>
      <c r="P147" s="5"/>
      <c r="Q147" s="5"/>
      <c r="R147" s="5"/>
      <c r="S147" s="5"/>
      <c r="T147" s="5"/>
      <c r="U147" s="5"/>
      <c r="V147" s="5"/>
      <c r="W147" s="5"/>
      <c r="X147" s="5"/>
      <c r="Y147" s="5"/>
    </row>
    <row r="148" ht="14.25" customHeight="1">
      <c r="I148" s="5"/>
      <c r="J148" s="5"/>
      <c r="K148" s="5"/>
      <c r="L148" s="5"/>
      <c r="M148" s="5"/>
      <c r="N148" s="5"/>
      <c r="O148" s="5"/>
      <c r="P148" s="5"/>
      <c r="Q148" s="5"/>
      <c r="R148" s="5"/>
      <c r="S148" s="5"/>
      <c r="T148" s="5"/>
      <c r="U148" s="5"/>
      <c r="V148" s="5"/>
      <c r="W148" s="5"/>
      <c r="X148" s="5"/>
      <c r="Y148" s="5"/>
    </row>
    <row r="149" ht="14.25" customHeight="1">
      <c r="I149" s="5"/>
      <c r="J149" s="5"/>
      <c r="K149" s="5"/>
      <c r="L149" s="5"/>
      <c r="M149" s="5"/>
      <c r="N149" s="5"/>
      <c r="O149" s="5"/>
      <c r="P149" s="5"/>
      <c r="Q149" s="5"/>
      <c r="R149" s="5"/>
      <c r="S149" s="5"/>
      <c r="T149" s="5"/>
      <c r="U149" s="5"/>
      <c r="V149" s="5"/>
      <c r="W149" s="5"/>
      <c r="X149" s="5"/>
      <c r="Y149" s="5"/>
    </row>
    <row r="150" ht="14.25" customHeight="1">
      <c r="I150" s="5"/>
      <c r="J150" s="5"/>
      <c r="K150" s="5"/>
      <c r="L150" s="5"/>
      <c r="M150" s="5"/>
      <c r="N150" s="5"/>
      <c r="O150" s="5"/>
      <c r="P150" s="5"/>
      <c r="Q150" s="5"/>
      <c r="R150" s="5"/>
      <c r="S150" s="5"/>
      <c r="T150" s="5"/>
      <c r="U150" s="5"/>
      <c r="V150" s="5"/>
      <c r="W150" s="5"/>
      <c r="X150" s="5"/>
      <c r="Y150" s="5"/>
    </row>
    <row r="151" ht="14.25" customHeight="1">
      <c r="I151" s="5"/>
      <c r="J151" s="5"/>
      <c r="K151" s="5"/>
      <c r="L151" s="5"/>
      <c r="M151" s="5"/>
      <c r="N151" s="5"/>
      <c r="O151" s="5"/>
      <c r="P151" s="5"/>
      <c r="Q151" s="5"/>
      <c r="R151" s="5"/>
      <c r="S151" s="5"/>
      <c r="T151" s="5"/>
      <c r="U151" s="5"/>
      <c r="V151" s="5"/>
      <c r="W151" s="5"/>
      <c r="X151" s="5"/>
      <c r="Y151" s="5"/>
    </row>
    <row r="152" ht="14.25" customHeight="1">
      <c r="I152" s="5"/>
      <c r="J152" s="5"/>
      <c r="K152" s="5"/>
      <c r="L152" s="5"/>
      <c r="M152" s="5"/>
      <c r="N152" s="5"/>
      <c r="O152" s="5"/>
      <c r="P152" s="5"/>
      <c r="Q152" s="5"/>
      <c r="R152" s="5"/>
      <c r="S152" s="5"/>
      <c r="T152" s="5"/>
      <c r="U152" s="5"/>
      <c r="V152" s="5"/>
      <c r="W152" s="5"/>
      <c r="X152" s="5"/>
      <c r="Y152" s="5"/>
    </row>
    <row r="153" ht="14.25" customHeight="1">
      <c r="I153" s="5"/>
      <c r="J153" s="5"/>
      <c r="K153" s="5"/>
      <c r="L153" s="5"/>
      <c r="M153" s="5"/>
      <c r="N153" s="5"/>
      <c r="O153" s="5"/>
      <c r="P153" s="5"/>
      <c r="Q153" s="5"/>
      <c r="R153" s="5"/>
      <c r="S153" s="5"/>
      <c r="T153" s="5"/>
      <c r="U153" s="5"/>
      <c r="V153" s="5"/>
      <c r="W153" s="5"/>
      <c r="X153" s="5"/>
      <c r="Y153" s="5"/>
    </row>
    <row r="154" ht="14.25" customHeight="1">
      <c r="I154" s="5"/>
      <c r="J154" s="5"/>
      <c r="K154" s="5"/>
      <c r="L154" s="5"/>
      <c r="M154" s="5"/>
      <c r="N154" s="5"/>
      <c r="O154" s="5"/>
      <c r="P154" s="5"/>
      <c r="Q154" s="5"/>
      <c r="R154" s="5"/>
      <c r="S154" s="5"/>
      <c r="T154" s="5"/>
      <c r="U154" s="5"/>
      <c r="V154" s="5"/>
      <c r="W154" s="5"/>
      <c r="X154" s="5"/>
      <c r="Y154" s="5"/>
    </row>
    <row r="155" ht="14.25" customHeight="1">
      <c r="I155" s="5"/>
      <c r="J155" s="5"/>
      <c r="K155" s="5"/>
      <c r="L155" s="5"/>
      <c r="M155" s="5"/>
      <c r="N155" s="5"/>
      <c r="O155" s="5"/>
      <c r="P155" s="5"/>
      <c r="Q155" s="5"/>
      <c r="R155" s="5"/>
      <c r="S155" s="5"/>
      <c r="T155" s="5"/>
      <c r="U155" s="5"/>
      <c r="V155" s="5"/>
      <c r="W155" s="5"/>
      <c r="X155" s="5"/>
      <c r="Y155" s="5"/>
    </row>
    <row r="156" ht="14.25" customHeight="1">
      <c r="I156" s="5"/>
      <c r="J156" s="5"/>
      <c r="K156" s="5"/>
      <c r="L156" s="5"/>
      <c r="M156" s="5"/>
      <c r="N156" s="5"/>
      <c r="O156" s="5"/>
      <c r="P156" s="5"/>
      <c r="Q156" s="5"/>
      <c r="R156" s="5"/>
      <c r="S156" s="5"/>
      <c r="T156" s="5"/>
      <c r="U156" s="5"/>
      <c r="V156" s="5"/>
      <c r="W156" s="5"/>
      <c r="X156" s="5"/>
      <c r="Y156" s="5"/>
    </row>
    <row r="157" ht="14.25" customHeight="1">
      <c r="I157" s="5"/>
      <c r="J157" s="5"/>
      <c r="K157" s="5"/>
      <c r="L157" s="5"/>
      <c r="M157" s="5"/>
      <c r="N157" s="5"/>
      <c r="O157" s="5"/>
      <c r="P157" s="5"/>
      <c r="Q157" s="5"/>
      <c r="R157" s="5"/>
      <c r="S157" s="5"/>
      <c r="T157" s="5"/>
      <c r="U157" s="5"/>
      <c r="V157" s="5"/>
      <c r="W157" s="5"/>
      <c r="X157" s="5"/>
      <c r="Y157" s="5"/>
    </row>
    <row r="158" ht="14.25" customHeight="1">
      <c r="I158" s="5"/>
      <c r="J158" s="5"/>
      <c r="K158" s="5"/>
      <c r="L158" s="5"/>
      <c r="M158" s="5"/>
      <c r="N158" s="5"/>
      <c r="O158" s="5"/>
      <c r="P158" s="5"/>
      <c r="Q158" s="5"/>
      <c r="R158" s="5"/>
      <c r="S158" s="5"/>
      <c r="T158" s="5"/>
      <c r="U158" s="5"/>
      <c r="V158" s="5"/>
      <c r="W158" s="5"/>
      <c r="X158" s="5"/>
      <c r="Y158" s="5"/>
    </row>
    <row r="159" ht="14.25" customHeight="1">
      <c r="I159" s="5"/>
      <c r="J159" s="5"/>
      <c r="K159" s="5"/>
      <c r="L159" s="5"/>
      <c r="M159" s="5"/>
      <c r="N159" s="5"/>
      <c r="O159" s="5"/>
      <c r="P159" s="5"/>
      <c r="Q159" s="5"/>
      <c r="R159" s="5"/>
      <c r="S159" s="5"/>
      <c r="T159" s="5"/>
      <c r="U159" s="5"/>
      <c r="V159" s="5"/>
      <c r="W159" s="5"/>
      <c r="X159" s="5"/>
      <c r="Y159" s="5"/>
    </row>
    <row r="160" ht="14.25" customHeight="1">
      <c r="I160" s="5"/>
      <c r="J160" s="5"/>
      <c r="K160" s="5"/>
      <c r="L160" s="5"/>
      <c r="M160" s="5"/>
      <c r="N160" s="5"/>
      <c r="O160" s="5"/>
      <c r="P160" s="5"/>
      <c r="Q160" s="5"/>
      <c r="R160" s="5"/>
      <c r="S160" s="5"/>
      <c r="T160" s="5"/>
      <c r="U160" s="5"/>
      <c r="V160" s="5"/>
      <c r="W160" s="5"/>
      <c r="X160" s="5"/>
      <c r="Y160" s="5"/>
    </row>
    <row r="161" ht="14.25" customHeight="1">
      <c r="I161" s="5"/>
      <c r="J161" s="5"/>
      <c r="K161" s="5"/>
      <c r="L161" s="5"/>
      <c r="M161" s="5"/>
      <c r="N161" s="5"/>
      <c r="O161" s="5"/>
      <c r="P161" s="5"/>
      <c r="Q161" s="5"/>
      <c r="R161" s="5"/>
      <c r="S161" s="5"/>
      <c r="T161" s="5"/>
      <c r="U161" s="5"/>
      <c r="V161" s="5"/>
      <c r="W161" s="5"/>
      <c r="X161" s="5"/>
      <c r="Y161" s="5"/>
    </row>
    <row r="162" ht="14.25" customHeight="1">
      <c r="I162" s="5"/>
      <c r="J162" s="5"/>
      <c r="K162" s="5"/>
      <c r="L162" s="5"/>
      <c r="M162" s="5"/>
      <c r="N162" s="5"/>
      <c r="O162" s="5"/>
      <c r="P162" s="5"/>
      <c r="Q162" s="5"/>
      <c r="R162" s="5"/>
      <c r="S162" s="5"/>
      <c r="T162" s="5"/>
      <c r="U162" s="5"/>
      <c r="V162" s="5"/>
      <c r="W162" s="5"/>
      <c r="X162" s="5"/>
      <c r="Y162" s="5"/>
    </row>
    <row r="163" ht="14.25" customHeight="1">
      <c r="I163" s="5"/>
      <c r="J163" s="5"/>
      <c r="K163" s="5"/>
      <c r="L163" s="5"/>
      <c r="M163" s="5"/>
      <c r="N163" s="5"/>
      <c r="O163" s="5"/>
      <c r="P163" s="5"/>
      <c r="Q163" s="5"/>
      <c r="R163" s="5"/>
      <c r="S163" s="5"/>
      <c r="T163" s="5"/>
      <c r="U163" s="5"/>
      <c r="V163" s="5"/>
      <c r="W163" s="5"/>
      <c r="X163" s="5"/>
      <c r="Y163" s="5"/>
    </row>
    <row r="164" ht="14.25" customHeight="1">
      <c r="I164" s="5"/>
      <c r="J164" s="5"/>
      <c r="K164" s="5"/>
      <c r="L164" s="5"/>
      <c r="M164" s="5"/>
      <c r="N164" s="5"/>
      <c r="O164" s="5"/>
      <c r="P164" s="5"/>
      <c r="Q164" s="5"/>
      <c r="R164" s="5"/>
      <c r="S164" s="5"/>
      <c r="T164" s="5"/>
      <c r="U164" s="5"/>
      <c r="V164" s="5"/>
      <c r="W164" s="5"/>
      <c r="X164" s="5"/>
      <c r="Y164" s="5"/>
    </row>
    <row r="165" ht="14.25" customHeight="1">
      <c r="I165" s="5"/>
      <c r="J165" s="5"/>
      <c r="K165" s="5"/>
      <c r="L165" s="5"/>
      <c r="M165" s="5"/>
      <c r="N165" s="5"/>
      <c r="O165" s="5"/>
      <c r="P165" s="5"/>
      <c r="Q165" s="5"/>
      <c r="R165" s="5"/>
      <c r="S165" s="5"/>
      <c r="T165" s="5"/>
      <c r="U165" s="5"/>
      <c r="V165" s="5"/>
      <c r="W165" s="5"/>
      <c r="X165" s="5"/>
      <c r="Y165" s="5"/>
    </row>
    <row r="166" ht="14.25" customHeight="1">
      <c r="I166" s="5"/>
      <c r="J166" s="5"/>
      <c r="K166" s="5"/>
      <c r="L166" s="5"/>
      <c r="M166" s="5"/>
      <c r="N166" s="5"/>
      <c r="O166" s="5"/>
      <c r="P166" s="5"/>
      <c r="Q166" s="5"/>
      <c r="R166" s="5"/>
      <c r="S166" s="5"/>
      <c r="T166" s="5"/>
      <c r="U166" s="5"/>
      <c r="V166" s="5"/>
      <c r="W166" s="5"/>
      <c r="X166" s="5"/>
      <c r="Y166" s="5"/>
    </row>
    <row r="167" ht="14.25" customHeight="1">
      <c r="I167" s="5"/>
      <c r="J167" s="5"/>
      <c r="K167" s="5"/>
      <c r="L167" s="5"/>
      <c r="M167" s="5"/>
      <c r="N167" s="5"/>
      <c r="O167" s="5"/>
      <c r="P167" s="5"/>
      <c r="Q167" s="5"/>
      <c r="R167" s="5"/>
      <c r="S167" s="5"/>
      <c r="T167" s="5"/>
      <c r="U167" s="5"/>
      <c r="V167" s="5"/>
      <c r="W167" s="5"/>
      <c r="X167" s="5"/>
      <c r="Y167" s="5"/>
    </row>
    <row r="168" ht="14.25" customHeight="1">
      <c r="I168" s="5"/>
      <c r="J168" s="5"/>
      <c r="K168" s="5"/>
      <c r="L168" s="5"/>
      <c r="M168" s="5"/>
      <c r="N168" s="5"/>
      <c r="O168" s="5"/>
      <c r="P168" s="5"/>
      <c r="Q168" s="5"/>
      <c r="R168" s="5"/>
      <c r="S168" s="5"/>
      <c r="T168" s="5"/>
      <c r="U168" s="5"/>
      <c r="V168" s="5"/>
      <c r="W168" s="5"/>
      <c r="X168" s="5"/>
      <c r="Y168" s="5"/>
    </row>
    <row r="169" ht="14.25" customHeight="1">
      <c r="I169" s="5"/>
      <c r="J169" s="5"/>
      <c r="K169" s="5"/>
      <c r="L169" s="5"/>
      <c r="M169" s="5"/>
      <c r="N169" s="5"/>
      <c r="O169" s="5"/>
      <c r="P169" s="5"/>
      <c r="Q169" s="5"/>
      <c r="R169" s="5"/>
      <c r="S169" s="5"/>
      <c r="T169" s="5"/>
      <c r="U169" s="5"/>
      <c r="V169" s="5"/>
      <c r="W169" s="5"/>
      <c r="X169" s="5"/>
      <c r="Y169" s="5"/>
    </row>
    <row r="170" ht="14.25" customHeight="1">
      <c r="I170" s="5"/>
      <c r="J170" s="5"/>
      <c r="K170" s="5"/>
      <c r="L170" s="5"/>
      <c r="M170" s="5"/>
      <c r="N170" s="5"/>
      <c r="O170" s="5"/>
      <c r="P170" s="5"/>
      <c r="Q170" s="5"/>
      <c r="R170" s="5"/>
      <c r="S170" s="5"/>
      <c r="T170" s="5"/>
      <c r="U170" s="5"/>
      <c r="V170" s="5"/>
      <c r="W170" s="5"/>
      <c r="X170" s="5"/>
      <c r="Y170" s="5"/>
    </row>
    <row r="171" ht="14.25" customHeight="1">
      <c r="I171" s="5"/>
      <c r="J171" s="5"/>
      <c r="K171" s="5"/>
      <c r="L171" s="5"/>
      <c r="M171" s="5"/>
      <c r="N171" s="5"/>
      <c r="O171" s="5"/>
      <c r="P171" s="5"/>
      <c r="Q171" s="5"/>
      <c r="R171" s="5"/>
      <c r="S171" s="5"/>
      <c r="T171" s="5"/>
      <c r="U171" s="5"/>
      <c r="V171" s="5"/>
      <c r="W171" s="5"/>
      <c r="X171" s="5"/>
      <c r="Y171" s="5"/>
    </row>
    <row r="172" ht="14.25" customHeight="1">
      <c r="I172" s="5"/>
      <c r="J172" s="5"/>
      <c r="K172" s="5"/>
      <c r="L172" s="5"/>
      <c r="M172" s="5"/>
      <c r="N172" s="5"/>
      <c r="O172" s="5"/>
      <c r="P172" s="5"/>
      <c r="Q172" s="5"/>
      <c r="R172" s="5"/>
      <c r="S172" s="5"/>
      <c r="T172" s="5"/>
      <c r="U172" s="5"/>
      <c r="V172" s="5"/>
      <c r="W172" s="5"/>
      <c r="X172" s="5"/>
      <c r="Y172" s="5"/>
    </row>
    <row r="173" ht="14.25" customHeight="1">
      <c r="I173" s="5"/>
      <c r="J173" s="5"/>
      <c r="K173" s="5"/>
      <c r="L173" s="5"/>
      <c r="M173" s="5"/>
      <c r="N173" s="5"/>
      <c r="O173" s="5"/>
      <c r="P173" s="5"/>
      <c r="Q173" s="5"/>
      <c r="R173" s="5"/>
      <c r="S173" s="5"/>
      <c r="T173" s="5"/>
      <c r="U173" s="5"/>
      <c r="V173" s="5"/>
      <c r="W173" s="5"/>
      <c r="X173" s="5"/>
      <c r="Y173" s="5"/>
    </row>
    <row r="174" ht="14.25" customHeight="1">
      <c r="I174" s="5"/>
      <c r="J174" s="5"/>
      <c r="K174" s="5"/>
      <c r="L174" s="5"/>
      <c r="M174" s="5"/>
      <c r="N174" s="5"/>
      <c r="O174" s="5"/>
      <c r="P174" s="5"/>
      <c r="Q174" s="5"/>
      <c r="R174" s="5"/>
      <c r="S174" s="5"/>
      <c r="T174" s="5"/>
      <c r="U174" s="5"/>
      <c r="V174" s="5"/>
      <c r="W174" s="5"/>
      <c r="X174" s="5"/>
      <c r="Y174" s="5"/>
    </row>
    <row r="175" ht="14.25" customHeight="1">
      <c r="I175" s="5"/>
      <c r="J175" s="5"/>
      <c r="K175" s="5"/>
      <c r="L175" s="5"/>
      <c r="M175" s="5"/>
      <c r="N175" s="5"/>
      <c r="O175" s="5"/>
      <c r="P175" s="5"/>
      <c r="Q175" s="5"/>
      <c r="R175" s="5"/>
      <c r="S175" s="5"/>
      <c r="T175" s="5"/>
      <c r="U175" s="5"/>
      <c r="V175" s="5"/>
      <c r="W175" s="5"/>
      <c r="X175" s="5"/>
      <c r="Y175" s="5"/>
    </row>
    <row r="176" ht="14.25" customHeight="1">
      <c r="I176" s="5"/>
      <c r="J176" s="5"/>
      <c r="K176" s="5"/>
      <c r="L176" s="5"/>
      <c r="M176" s="5"/>
      <c r="N176" s="5"/>
      <c r="O176" s="5"/>
      <c r="P176" s="5"/>
      <c r="Q176" s="5"/>
      <c r="R176" s="5"/>
      <c r="S176" s="5"/>
      <c r="T176" s="5"/>
      <c r="U176" s="5"/>
      <c r="V176" s="5"/>
      <c r="W176" s="5"/>
      <c r="X176" s="5"/>
      <c r="Y176" s="5"/>
    </row>
    <row r="177" ht="14.25" customHeight="1">
      <c r="I177" s="5"/>
      <c r="J177" s="5"/>
      <c r="K177" s="5"/>
      <c r="L177" s="5"/>
      <c r="M177" s="5"/>
      <c r="N177" s="5"/>
      <c r="O177" s="5"/>
      <c r="P177" s="5"/>
      <c r="Q177" s="5"/>
      <c r="R177" s="5"/>
      <c r="S177" s="5"/>
      <c r="T177" s="5"/>
      <c r="U177" s="5"/>
      <c r="V177" s="5"/>
      <c r="W177" s="5"/>
      <c r="X177" s="5"/>
      <c r="Y177" s="5"/>
    </row>
    <row r="178" ht="14.25" customHeight="1">
      <c r="I178" s="5"/>
      <c r="J178" s="5"/>
      <c r="K178" s="5"/>
      <c r="L178" s="5"/>
      <c r="M178" s="5"/>
      <c r="N178" s="5"/>
      <c r="O178" s="5"/>
      <c r="P178" s="5"/>
      <c r="Q178" s="5"/>
      <c r="R178" s="5"/>
      <c r="S178" s="5"/>
      <c r="T178" s="5"/>
      <c r="U178" s="5"/>
      <c r="V178" s="5"/>
      <c r="W178" s="5"/>
      <c r="X178" s="5"/>
      <c r="Y178" s="5"/>
    </row>
    <row r="179" ht="14.25" customHeight="1">
      <c r="I179" s="5"/>
      <c r="J179" s="5"/>
      <c r="K179" s="5"/>
      <c r="L179" s="5"/>
      <c r="M179" s="5"/>
      <c r="N179" s="5"/>
      <c r="O179" s="5"/>
      <c r="P179" s="5"/>
      <c r="Q179" s="5"/>
      <c r="R179" s="5"/>
      <c r="S179" s="5"/>
      <c r="T179" s="5"/>
      <c r="U179" s="5"/>
      <c r="V179" s="5"/>
      <c r="W179" s="5"/>
      <c r="X179" s="5"/>
      <c r="Y179" s="5"/>
    </row>
    <row r="180" ht="14.25" customHeight="1">
      <c r="I180" s="5"/>
      <c r="J180" s="5"/>
      <c r="K180" s="5"/>
      <c r="L180" s="5"/>
      <c r="M180" s="5"/>
      <c r="N180" s="5"/>
      <c r="O180" s="5"/>
      <c r="P180" s="5"/>
      <c r="Q180" s="5"/>
      <c r="R180" s="5"/>
      <c r="S180" s="5"/>
      <c r="T180" s="5"/>
      <c r="U180" s="5"/>
      <c r="V180" s="5"/>
      <c r="W180" s="5"/>
      <c r="X180" s="5"/>
      <c r="Y180" s="5"/>
    </row>
    <row r="181" ht="14.25" customHeight="1">
      <c r="I181" s="5"/>
      <c r="J181" s="5"/>
      <c r="K181" s="5"/>
      <c r="L181" s="5"/>
      <c r="M181" s="5"/>
      <c r="N181" s="5"/>
      <c r="O181" s="5"/>
      <c r="P181" s="5"/>
      <c r="Q181" s="5"/>
      <c r="R181" s="5"/>
      <c r="S181" s="5"/>
      <c r="T181" s="5"/>
      <c r="U181" s="5"/>
      <c r="V181" s="5"/>
      <c r="W181" s="5"/>
      <c r="X181" s="5"/>
      <c r="Y181" s="5"/>
    </row>
    <row r="182" ht="14.25" customHeight="1">
      <c r="I182" s="5"/>
      <c r="J182" s="5"/>
      <c r="K182" s="5"/>
      <c r="L182" s="5"/>
      <c r="M182" s="5"/>
      <c r="N182" s="5"/>
      <c r="O182" s="5"/>
      <c r="P182" s="5"/>
      <c r="Q182" s="5"/>
      <c r="R182" s="5"/>
      <c r="S182" s="5"/>
      <c r="T182" s="5"/>
      <c r="U182" s="5"/>
      <c r="V182" s="5"/>
      <c r="W182" s="5"/>
      <c r="X182" s="5"/>
      <c r="Y182" s="5"/>
    </row>
    <row r="183" ht="14.25" customHeight="1">
      <c r="I183" s="5"/>
      <c r="J183" s="5"/>
      <c r="K183" s="5"/>
      <c r="L183" s="5"/>
      <c r="M183" s="5"/>
      <c r="N183" s="5"/>
      <c r="O183" s="5"/>
      <c r="P183" s="5"/>
      <c r="Q183" s="5"/>
      <c r="R183" s="5"/>
      <c r="S183" s="5"/>
      <c r="T183" s="5"/>
      <c r="U183" s="5"/>
      <c r="V183" s="5"/>
      <c r="W183" s="5"/>
      <c r="X183" s="5"/>
      <c r="Y183" s="5"/>
    </row>
    <row r="184" ht="14.25" customHeight="1">
      <c r="I184" s="5"/>
      <c r="J184" s="5"/>
      <c r="K184" s="5"/>
      <c r="L184" s="5"/>
      <c r="M184" s="5"/>
      <c r="N184" s="5"/>
      <c r="O184" s="5"/>
      <c r="P184" s="5"/>
      <c r="Q184" s="5"/>
      <c r="R184" s="5"/>
      <c r="S184" s="5"/>
      <c r="T184" s="5"/>
      <c r="U184" s="5"/>
      <c r="V184" s="5"/>
      <c r="W184" s="5"/>
      <c r="X184" s="5"/>
      <c r="Y184" s="5"/>
    </row>
    <row r="185" ht="14.25" customHeight="1">
      <c r="I185" s="5"/>
      <c r="J185" s="5"/>
      <c r="K185" s="5"/>
      <c r="L185" s="5"/>
      <c r="M185" s="5"/>
      <c r="N185" s="5"/>
      <c r="O185" s="5"/>
      <c r="P185" s="5"/>
      <c r="Q185" s="5"/>
      <c r="R185" s="5"/>
      <c r="S185" s="5"/>
      <c r="T185" s="5"/>
      <c r="U185" s="5"/>
      <c r="V185" s="5"/>
      <c r="W185" s="5"/>
      <c r="X185" s="5"/>
      <c r="Y185" s="5"/>
    </row>
    <row r="186" ht="14.25" customHeight="1">
      <c r="I186" s="5"/>
      <c r="J186" s="5"/>
      <c r="K186" s="5"/>
      <c r="L186" s="5"/>
      <c r="M186" s="5"/>
      <c r="N186" s="5"/>
      <c r="O186" s="5"/>
      <c r="P186" s="5"/>
      <c r="Q186" s="5"/>
      <c r="R186" s="5"/>
      <c r="S186" s="5"/>
      <c r="T186" s="5"/>
      <c r="U186" s="5"/>
      <c r="V186" s="5"/>
      <c r="W186" s="5"/>
      <c r="X186" s="5"/>
      <c r="Y186" s="5"/>
    </row>
    <row r="187" ht="14.25" customHeight="1">
      <c r="I187" s="5"/>
      <c r="J187" s="5"/>
      <c r="K187" s="5"/>
      <c r="L187" s="5"/>
      <c r="M187" s="5"/>
      <c r="N187" s="5"/>
      <c r="O187" s="5"/>
      <c r="P187" s="5"/>
      <c r="Q187" s="5"/>
      <c r="R187" s="5"/>
      <c r="S187" s="5"/>
      <c r="T187" s="5"/>
      <c r="U187" s="5"/>
      <c r="V187" s="5"/>
      <c r="W187" s="5"/>
      <c r="X187" s="5"/>
      <c r="Y187" s="5"/>
    </row>
    <row r="188" ht="14.25" customHeight="1">
      <c r="I188" s="5"/>
      <c r="J188" s="5"/>
      <c r="K188" s="5"/>
      <c r="L188" s="5"/>
      <c r="M188" s="5"/>
      <c r="N188" s="5"/>
      <c r="O188" s="5"/>
      <c r="P188" s="5"/>
      <c r="Q188" s="5"/>
      <c r="R188" s="5"/>
      <c r="S188" s="5"/>
      <c r="T188" s="5"/>
      <c r="U188" s="5"/>
      <c r="V188" s="5"/>
      <c r="W188" s="5"/>
      <c r="X188" s="5"/>
      <c r="Y188" s="5"/>
    </row>
    <row r="189" ht="14.25" customHeight="1">
      <c r="I189" s="5"/>
      <c r="J189" s="5"/>
      <c r="K189" s="5"/>
      <c r="L189" s="5"/>
      <c r="M189" s="5"/>
      <c r="N189" s="5"/>
      <c r="O189" s="5"/>
      <c r="P189" s="5"/>
      <c r="Q189" s="5"/>
      <c r="R189" s="5"/>
      <c r="S189" s="5"/>
      <c r="T189" s="5"/>
      <c r="U189" s="5"/>
      <c r="V189" s="5"/>
      <c r="W189" s="5"/>
      <c r="X189" s="5"/>
      <c r="Y189" s="5"/>
    </row>
    <row r="190" ht="14.25" customHeight="1">
      <c r="I190" s="5"/>
      <c r="J190" s="5"/>
      <c r="K190" s="5"/>
      <c r="L190" s="5"/>
      <c r="M190" s="5"/>
      <c r="N190" s="5"/>
      <c r="O190" s="5"/>
      <c r="P190" s="5"/>
      <c r="Q190" s="5"/>
      <c r="R190" s="5"/>
      <c r="S190" s="5"/>
      <c r="T190" s="5"/>
      <c r="U190" s="5"/>
      <c r="V190" s="5"/>
      <c r="W190" s="5"/>
      <c r="X190" s="5"/>
      <c r="Y190" s="5"/>
    </row>
    <row r="191" ht="14.25" customHeight="1">
      <c r="I191" s="5"/>
      <c r="J191" s="5"/>
      <c r="K191" s="5"/>
      <c r="L191" s="5"/>
      <c r="M191" s="5"/>
      <c r="N191" s="5"/>
      <c r="O191" s="5"/>
      <c r="P191" s="5"/>
      <c r="Q191" s="5"/>
      <c r="R191" s="5"/>
      <c r="S191" s="5"/>
      <c r="T191" s="5"/>
      <c r="U191" s="5"/>
      <c r="V191" s="5"/>
      <c r="W191" s="5"/>
      <c r="X191" s="5"/>
      <c r="Y191" s="5"/>
    </row>
    <row r="192" ht="14.25" customHeight="1">
      <c r="I192" s="5"/>
      <c r="J192" s="5"/>
      <c r="K192" s="5"/>
      <c r="L192" s="5"/>
      <c r="M192" s="5"/>
      <c r="N192" s="5"/>
      <c r="O192" s="5"/>
      <c r="P192" s="5"/>
      <c r="Q192" s="5"/>
      <c r="R192" s="5"/>
      <c r="S192" s="5"/>
      <c r="T192" s="5"/>
      <c r="U192" s="5"/>
      <c r="V192" s="5"/>
      <c r="W192" s="5"/>
      <c r="X192" s="5"/>
      <c r="Y192" s="5"/>
    </row>
    <row r="193" ht="14.25" customHeight="1">
      <c r="I193" s="5"/>
      <c r="J193" s="5"/>
      <c r="K193" s="5"/>
      <c r="L193" s="5"/>
      <c r="M193" s="5"/>
      <c r="N193" s="5"/>
      <c r="O193" s="5"/>
      <c r="P193" s="5"/>
      <c r="Q193" s="5"/>
      <c r="R193" s="5"/>
      <c r="S193" s="5"/>
      <c r="T193" s="5"/>
      <c r="U193" s="5"/>
      <c r="V193" s="5"/>
      <c r="W193" s="5"/>
      <c r="X193" s="5"/>
      <c r="Y193" s="5"/>
    </row>
    <row r="194" ht="14.25" customHeight="1">
      <c r="I194" s="5"/>
      <c r="J194" s="5"/>
      <c r="K194" s="5"/>
      <c r="L194" s="5"/>
      <c r="M194" s="5"/>
      <c r="N194" s="5"/>
      <c r="O194" s="5"/>
      <c r="P194" s="5"/>
      <c r="Q194" s="5"/>
      <c r="R194" s="5"/>
      <c r="S194" s="5"/>
      <c r="T194" s="5"/>
      <c r="U194" s="5"/>
      <c r="V194" s="5"/>
      <c r="W194" s="5"/>
      <c r="X194" s="5"/>
      <c r="Y194" s="5"/>
    </row>
    <row r="195" ht="14.25" customHeight="1">
      <c r="I195" s="5"/>
      <c r="J195" s="5"/>
      <c r="K195" s="5"/>
      <c r="L195" s="5"/>
      <c r="M195" s="5"/>
      <c r="N195" s="5"/>
      <c r="O195" s="5"/>
      <c r="P195" s="5"/>
      <c r="Q195" s="5"/>
      <c r="R195" s="5"/>
      <c r="S195" s="5"/>
      <c r="T195" s="5"/>
      <c r="U195" s="5"/>
      <c r="V195" s="5"/>
      <c r="W195" s="5"/>
      <c r="X195" s="5"/>
      <c r="Y195" s="5"/>
    </row>
    <row r="196" ht="14.25" customHeight="1">
      <c r="I196" s="5"/>
      <c r="J196" s="5"/>
      <c r="K196" s="5"/>
      <c r="L196" s="5"/>
      <c r="M196" s="5"/>
      <c r="N196" s="5"/>
      <c r="O196" s="5"/>
      <c r="P196" s="5"/>
      <c r="Q196" s="5"/>
      <c r="R196" s="5"/>
      <c r="S196" s="5"/>
      <c r="T196" s="5"/>
      <c r="U196" s="5"/>
      <c r="V196" s="5"/>
      <c r="W196" s="5"/>
      <c r="X196" s="5"/>
      <c r="Y196" s="5"/>
    </row>
    <row r="197" ht="14.25" customHeight="1">
      <c r="I197" s="5"/>
      <c r="J197" s="5"/>
      <c r="K197" s="5"/>
      <c r="L197" s="5"/>
      <c r="M197" s="5"/>
      <c r="N197" s="5"/>
      <c r="O197" s="5"/>
      <c r="P197" s="5"/>
      <c r="Q197" s="5"/>
      <c r="R197" s="5"/>
      <c r="S197" s="5"/>
      <c r="T197" s="5"/>
      <c r="U197" s="5"/>
      <c r="V197" s="5"/>
      <c r="W197" s="5"/>
      <c r="X197" s="5"/>
      <c r="Y197" s="5"/>
    </row>
    <row r="198" ht="14.25" customHeight="1">
      <c r="I198" s="5"/>
      <c r="J198" s="5"/>
      <c r="K198" s="5"/>
      <c r="L198" s="5"/>
      <c r="M198" s="5"/>
      <c r="N198" s="5"/>
      <c r="O198" s="5"/>
      <c r="P198" s="5"/>
      <c r="Q198" s="5"/>
      <c r="R198" s="5"/>
      <c r="S198" s="5"/>
      <c r="T198" s="5"/>
      <c r="U198" s="5"/>
      <c r="V198" s="5"/>
      <c r="W198" s="5"/>
      <c r="X198" s="5"/>
      <c r="Y198" s="5"/>
    </row>
    <row r="199" ht="14.25" customHeight="1">
      <c r="I199" s="5"/>
      <c r="J199" s="5"/>
      <c r="K199" s="5"/>
      <c r="L199" s="5"/>
      <c r="M199" s="5"/>
      <c r="N199" s="5"/>
      <c r="O199" s="5"/>
      <c r="P199" s="5"/>
      <c r="Q199" s="5"/>
      <c r="R199" s="5"/>
      <c r="S199" s="5"/>
      <c r="T199" s="5"/>
      <c r="U199" s="5"/>
      <c r="V199" s="5"/>
      <c r="W199" s="5"/>
      <c r="X199" s="5"/>
      <c r="Y199" s="5"/>
    </row>
    <row r="200" ht="14.25" customHeight="1">
      <c r="I200" s="5"/>
      <c r="J200" s="5"/>
      <c r="K200" s="5"/>
      <c r="L200" s="5"/>
      <c r="M200" s="5"/>
      <c r="N200" s="5"/>
      <c r="O200" s="5"/>
      <c r="P200" s="5"/>
      <c r="Q200" s="5"/>
      <c r="R200" s="5"/>
      <c r="S200" s="5"/>
      <c r="T200" s="5"/>
      <c r="U200" s="5"/>
      <c r="V200" s="5"/>
      <c r="W200" s="5"/>
      <c r="X200" s="5"/>
      <c r="Y200" s="5"/>
    </row>
    <row r="201" ht="14.25" customHeight="1">
      <c r="I201" s="5"/>
      <c r="J201" s="5"/>
      <c r="K201" s="5"/>
      <c r="L201" s="5"/>
      <c r="M201" s="5"/>
      <c r="N201" s="5"/>
      <c r="O201" s="5"/>
      <c r="P201" s="5"/>
      <c r="Q201" s="5"/>
      <c r="R201" s="5"/>
      <c r="S201" s="5"/>
      <c r="T201" s="5"/>
      <c r="U201" s="5"/>
      <c r="V201" s="5"/>
      <c r="W201" s="5"/>
      <c r="X201" s="5"/>
      <c r="Y201" s="5"/>
    </row>
    <row r="202" ht="14.25" customHeight="1">
      <c r="I202" s="5"/>
      <c r="J202" s="5"/>
      <c r="K202" s="5"/>
      <c r="L202" s="5"/>
      <c r="M202" s="5"/>
      <c r="N202" s="5"/>
      <c r="O202" s="5"/>
      <c r="P202" s="5"/>
      <c r="Q202" s="5"/>
      <c r="R202" s="5"/>
      <c r="S202" s="5"/>
      <c r="T202" s="5"/>
      <c r="U202" s="5"/>
      <c r="V202" s="5"/>
      <c r="W202" s="5"/>
      <c r="X202" s="5"/>
      <c r="Y202" s="5"/>
    </row>
    <row r="203" ht="14.25" customHeight="1">
      <c r="I203" s="5"/>
      <c r="J203" s="5"/>
      <c r="K203" s="5"/>
      <c r="L203" s="5"/>
      <c r="M203" s="5"/>
      <c r="N203" s="5"/>
      <c r="O203" s="5"/>
      <c r="P203" s="5"/>
      <c r="Q203" s="5"/>
      <c r="R203" s="5"/>
      <c r="S203" s="5"/>
      <c r="T203" s="5"/>
      <c r="U203" s="5"/>
      <c r="V203" s="5"/>
      <c r="W203" s="5"/>
      <c r="X203" s="5"/>
      <c r="Y203" s="5"/>
    </row>
    <row r="204" ht="14.25" customHeight="1">
      <c r="I204" s="5"/>
      <c r="J204" s="5"/>
      <c r="K204" s="5"/>
      <c r="L204" s="5"/>
      <c r="M204" s="5"/>
      <c r="N204" s="5"/>
      <c r="O204" s="5"/>
      <c r="P204" s="5"/>
      <c r="Q204" s="5"/>
      <c r="R204" s="5"/>
      <c r="S204" s="5"/>
      <c r="T204" s="5"/>
      <c r="U204" s="5"/>
      <c r="V204" s="5"/>
      <c r="W204" s="5"/>
      <c r="X204" s="5"/>
      <c r="Y204" s="5"/>
    </row>
    <row r="205" ht="14.25" customHeight="1">
      <c r="I205" s="5"/>
      <c r="J205" s="5"/>
      <c r="K205" s="5"/>
      <c r="L205" s="5"/>
      <c r="M205" s="5"/>
      <c r="N205" s="5"/>
      <c r="O205" s="5"/>
      <c r="P205" s="5"/>
      <c r="Q205" s="5"/>
      <c r="R205" s="5"/>
      <c r="S205" s="5"/>
      <c r="T205" s="5"/>
      <c r="U205" s="5"/>
      <c r="V205" s="5"/>
      <c r="W205" s="5"/>
      <c r="X205" s="5"/>
      <c r="Y205" s="5"/>
    </row>
    <row r="206" ht="14.25" customHeight="1">
      <c r="I206" s="5"/>
      <c r="J206" s="5"/>
      <c r="K206" s="5"/>
      <c r="L206" s="5"/>
      <c r="M206" s="5"/>
      <c r="N206" s="5"/>
      <c r="O206" s="5"/>
      <c r="P206" s="5"/>
      <c r="Q206" s="5"/>
      <c r="R206" s="5"/>
      <c r="S206" s="5"/>
      <c r="T206" s="5"/>
      <c r="U206" s="5"/>
      <c r="V206" s="5"/>
      <c r="W206" s="5"/>
      <c r="X206" s="5"/>
      <c r="Y206" s="5"/>
    </row>
    <row r="207" ht="14.25" customHeight="1">
      <c r="I207" s="5"/>
      <c r="J207" s="5"/>
      <c r="K207" s="5"/>
      <c r="L207" s="5"/>
      <c r="M207" s="5"/>
      <c r="N207" s="5"/>
      <c r="O207" s="5"/>
      <c r="P207" s="5"/>
      <c r="Q207" s="5"/>
      <c r="R207" s="5"/>
      <c r="S207" s="5"/>
      <c r="T207" s="5"/>
      <c r="U207" s="5"/>
      <c r="V207" s="5"/>
      <c r="W207" s="5"/>
      <c r="X207" s="5"/>
      <c r="Y207" s="5"/>
    </row>
    <row r="208" ht="14.25" customHeight="1">
      <c r="I208" s="5"/>
      <c r="J208" s="5"/>
      <c r="K208" s="5"/>
      <c r="L208" s="5"/>
      <c r="M208" s="5"/>
      <c r="N208" s="5"/>
      <c r="O208" s="5"/>
      <c r="P208" s="5"/>
      <c r="Q208" s="5"/>
      <c r="R208" s="5"/>
      <c r="S208" s="5"/>
      <c r="T208" s="5"/>
      <c r="U208" s="5"/>
      <c r="V208" s="5"/>
      <c r="W208" s="5"/>
      <c r="X208" s="5"/>
      <c r="Y208" s="5"/>
    </row>
    <row r="209" ht="14.25" customHeight="1">
      <c r="I209" s="5"/>
      <c r="J209" s="5"/>
      <c r="K209" s="5"/>
      <c r="L209" s="5"/>
      <c r="M209" s="5"/>
      <c r="N209" s="5"/>
      <c r="O209" s="5"/>
      <c r="P209" s="5"/>
      <c r="Q209" s="5"/>
      <c r="R209" s="5"/>
      <c r="S209" s="5"/>
      <c r="T209" s="5"/>
      <c r="U209" s="5"/>
      <c r="V209" s="5"/>
      <c r="W209" s="5"/>
      <c r="X209" s="5"/>
      <c r="Y209" s="5"/>
    </row>
    <row r="210" ht="14.25" customHeight="1">
      <c r="I210" s="5"/>
      <c r="J210" s="5"/>
      <c r="K210" s="5"/>
      <c r="L210" s="5"/>
      <c r="M210" s="5"/>
      <c r="N210" s="5"/>
      <c r="O210" s="5"/>
      <c r="P210" s="5"/>
      <c r="Q210" s="5"/>
      <c r="R210" s="5"/>
      <c r="S210" s="5"/>
      <c r="T210" s="5"/>
      <c r="U210" s="5"/>
      <c r="V210" s="5"/>
      <c r="W210" s="5"/>
      <c r="X210" s="5"/>
      <c r="Y210" s="5"/>
    </row>
    <row r="211" ht="14.25" customHeight="1">
      <c r="I211" s="5"/>
      <c r="J211" s="5"/>
      <c r="K211" s="5"/>
      <c r="L211" s="5"/>
      <c r="M211" s="5"/>
      <c r="N211" s="5"/>
      <c r="O211" s="5"/>
      <c r="P211" s="5"/>
      <c r="Q211" s="5"/>
      <c r="R211" s="5"/>
      <c r="S211" s="5"/>
      <c r="T211" s="5"/>
      <c r="U211" s="5"/>
      <c r="V211" s="5"/>
      <c r="W211" s="5"/>
      <c r="X211" s="5"/>
      <c r="Y211" s="5"/>
    </row>
    <row r="212" ht="14.25" customHeight="1">
      <c r="I212" s="5"/>
      <c r="J212" s="5"/>
      <c r="K212" s="5"/>
      <c r="L212" s="5"/>
      <c r="M212" s="5"/>
      <c r="N212" s="5"/>
      <c r="O212" s="5"/>
      <c r="P212" s="5"/>
      <c r="Q212" s="5"/>
      <c r="R212" s="5"/>
      <c r="S212" s="5"/>
      <c r="T212" s="5"/>
      <c r="U212" s="5"/>
      <c r="V212" s="5"/>
      <c r="W212" s="5"/>
      <c r="X212" s="5"/>
      <c r="Y212" s="5"/>
    </row>
    <row r="213" ht="14.25" customHeight="1">
      <c r="I213" s="5"/>
      <c r="J213" s="5"/>
      <c r="K213" s="5"/>
      <c r="L213" s="5"/>
      <c r="M213" s="5"/>
      <c r="N213" s="5"/>
      <c r="O213" s="5"/>
      <c r="P213" s="5"/>
      <c r="Q213" s="5"/>
      <c r="R213" s="5"/>
      <c r="S213" s="5"/>
      <c r="T213" s="5"/>
      <c r="U213" s="5"/>
      <c r="V213" s="5"/>
      <c r="W213" s="5"/>
      <c r="X213" s="5"/>
      <c r="Y213" s="5"/>
    </row>
    <row r="214" ht="14.25" customHeight="1">
      <c r="I214" s="5"/>
      <c r="J214" s="5"/>
      <c r="K214" s="5"/>
      <c r="L214" s="5"/>
      <c r="M214" s="5"/>
      <c r="N214" s="5"/>
      <c r="O214" s="5"/>
      <c r="P214" s="5"/>
      <c r="Q214" s="5"/>
      <c r="R214" s="5"/>
      <c r="S214" s="5"/>
      <c r="T214" s="5"/>
      <c r="U214" s="5"/>
      <c r="V214" s="5"/>
      <c r="W214" s="5"/>
      <c r="X214" s="5"/>
      <c r="Y214" s="5"/>
    </row>
    <row r="215" ht="14.25" customHeight="1">
      <c r="I215" s="5"/>
      <c r="J215" s="5"/>
      <c r="K215" s="5"/>
      <c r="L215" s="5"/>
      <c r="M215" s="5"/>
      <c r="N215" s="5"/>
      <c r="O215" s="5"/>
      <c r="P215" s="5"/>
      <c r="Q215" s="5"/>
      <c r="R215" s="5"/>
      <c r="S215" s="5"/>
      <c r="T215" s="5"/>
      <c r="U215" s="5"/>
      <c r="V215" s="5"/>
      <c r="W215" s="5"/>
      <c r="X215" s="5"/>
      <c r="Y215" s="5"/>
    </row>
    <row r="216" ht="14.25" customHeight="1">
      <c r="I216" s="5"/>
      <c r="J216" s="5"/>
      <c r="K216" s="5"/>
      <c r="L216" s="5"/>
      <c r="M216" s="5"/>
      <c r="N216" s="5"/>
      <c r="O216" s="5"/>
      <c r="P216" s="5"/>
      <c r="Q216" s="5"/>
      <c r="R216" s="5"/>
      <c r="S216" s="5"/>
      <c r="T216" s="5"/>
      <c r="U216" s="5"/>
      <c r="V216" s="5"/>
      <c r="W216" s="5"/>
      <c r="X216" s="5"/>
      <c r="Y216" s="5"/>
    </row>
    <row r="217" ht="14.25" customHeight="1">
      <c r="I217" s="5"/>
      <c r="J217" s="5"/>
      <c r="K217" s="5"/>
      <c r="L217" s="5"/>
      <c r="M217" s="5"/>
      <c r="N217" s="5"/>
      <c r="O217" s="5"/>
      <c r="P217" s="5"/>
      <c r="Q217" s="5"/>
      <c r="R217" s="5"/>
      <c r="S217" s="5"/>
      <c r="T217" s="5"/>
      <c r="U217" s="5"/>
      <c r="V217" s="5"/>
      <c r="W217" s="5"/>
      <c r="X217" s="5"/>
      <c r="Y217" s="5"/>
    </row>
    <row r="218" ht="14.25" customHeight="1">
      <c r="I218" s="5"/>
      <c r="J218" s="5"/>
      <c r="K218" s="5"/>
      <c r="L218" s="5"/>
      <c r="M218" s="5"/>
      <c r="N218" s="5"/>
      <c r="O218" s="5"/>
      <c r="P218" s="5"/>
      <c r="Q218" s="5"/>
      <c r="R218" s="5"/>
      <c r="S218" s="5"/>
      <c r="T218" s="5"/>
      <c r="U218" s="5"/>
      <c r="V218" s="5"/>
      <c r="W218" s="5"/>
      <c r="X218" s="5"/>
      <c r="Y218" s="5"/>
    </row>
    <row r="219" ht="14.25" customHeight="1">
      <c r="I219" s="5"/>
      <c r="J219" s="5"/>
      <c r="K219" s="5"/>
      <c r="L219" s="5"/>
      <c r="M219" s="5"/>
      <c r="N219" s="5"/>
      <c r="O219" s="5"/>
      <c r="P219" s="5"/>
      <c r="Q219" s="5"/>
      <c r="R219" s="5"/>
      <c r="S219" s="5"/>
      <c r="T219" s="5"/>
      <c r="U219" s="5"/>
      <c r="V219" s="5"/>
      <c r="W219" s="5"/>
      <c r="X219" s="5"/>
      <c r="Y219" s="5"/>
    </row>
    <row r="220" ht="14.25" customHeight="1">
      <c r="I220" s="5"/>
      <c r="J220" s="5"/>
      <c r="K220" s="5"/>
      <c r="L220" s="5"/>
      <c r="M220" s="5"/>
      <c r="N220" s="5"/>
      <c r="O220" s="5"/>
      <c r="P220" s="5"/>
      <c r="Q220" s="5"/>
      <c r="R220" s="5"/>
      <c r="S220" s="5"/>
      <c r="T220" s="5"/>
      <c r="U220" s="5"/>
      <c r="V220" s="5"/>
      <c r="W220" s="5"/>
      <c r="X220" s="5"/>
      <c r="Y220" s="5"/>
    </row>
    <row r="221" ht="14.25" customHeight="1">
      <c r="I221" s="5"/>
      <c r="J221" s="5"/>
      <c r="K221" s="5"/>
      <c r="L221" s="5"/>
      <c r="M221" s="5"/>
      <c r="N221" s="5"/>
      <c r="O221" s="5"/>
      <c r="P221" s="5"/>
      <c r="Q221" s="5"/>
      <c r="R221" s="5"/>
      <c r="S221" s="5"/>
      <c r="T221" s="5"/>
      <c r="U221" s="5"/>
      <c r="V221" s="5"/>
      <c r="W221" s="5"/>
      <c r="X221" s="5"/>
      <c r="Y221" s="5"/>
    </row>
    <row r="222" ht="14.25" customHeight="1">
      <c r="I222" s="5"/>
      <c r="J222" s="5"/>
      <c r="K222" s="5"/>
      <c r="L222" s="5"/>
      <c r="M222" s="5"/>
      <c r="N222" s="5"/>
      <c r="O222" s="5"/>
      <c r="P222" s="5"/>
      <c r="Q222" s="5"/>
      <c r="R222" s="5"/>
      <c r="S222" s="5"/>
      <c r="T222" s="5"/>
      <c r="U222" s="5"/>
      <c r="V222" s="5"/>
      <c r="W222" s="5"/>
      <c r="X222" s="5"/>
      <c r="Y222" s="5"/>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A2"/>
    <mergeCell ref="B1:C1"/>
    <mergeCell ref="A13:A14"/>
    <mergeCell ref="B13:E1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71"/>
    <col customWidth="1" min="2" max="2" width="11.29"/>
    <col customWidth="1" min="3" max="13" width="10.71"/>
    <col customWidth="1" min="14" max="28" width="11.43"/>
  </cols>
  <sheetData>
    <row r="1" ht="14.25" customHeight="1">
      <c r="A1" s="140" t="s">
        <v>80</v>
      </c>
      <c r="B1" s="141" t="s">
        <v>81</v>
      </c>
      <c r="C1" s="50"/>
      <c r="D1" s="50"/>
      <c r="E1" s="50"/>
      <c r="F1" s="50"/>
      <c r="G1" s="50"/>
      <c r="H1" s="50"/>
      <c r="I1" s="50"/>
      <c r="J1" s="50"/>
      <c r="K1" s="50"/>
      <c r="L1" s="50"/>
      <c r="M1" s="51"/>
      <c r="N1" s="5"/>
      <c r="O1" s="5"/>
    </row>
    <row r="2" ht="14.25" customHeight="1">
      <c r="A2" s="142"/>
      <c r="B2" s="141" t="s">
        <v>82</v>
      </c>
      <c r="C2" s="50"/>
      <c r="D2" s="50"/>
      <c r="E2" s="50"/>
      <c r="F2" s="50"/>
      <c r="G2" s="50"/>
      <c r="H2" s="50"/>
      <c r="I2" s="50"/>
      <c r="J2" s="50"/>
      <c r="K2" s="50"/>
      <c r="L2" s="50"/>
      <c r="M2" s="51"/>
      <c r="N2" s="5"/>
      <c r="O2" s="5"/>
    </row>
    <row r="3" ht="14.25" customHeight="1">
      <c r="A3" s="143"/>
      <c r="B3" s="144" t="s">
        <v>83</v>
      </c>
      <c r="C3" s="144" t="s">
        <v>84</v>
      </c>
      <c r="D3" s="144" t="s">
        <v>85</v>
      </c>
      <c r="E3" s="144" t="s">
        <v>86</v>
      </c>
      <c r="F3" s="144" t="s">
        <v>87</v>
      </c>
      <c r="G3" s="144" t="s">
        <v>88</v>
      </c>
      <c r="H3" s="144" t="s">
        <v>89</v>
      </c>
      <c r="I3" s="144" t="s">
        <v>90</v>
      </c>
      <c r="J3" s="144" t="s">
        <v>91</v>
      </c>
      <c r="K3" s="144" t="s">
        <v>92</v>
      </c>
      <c r="L3" s="144" t="s">
        <v>93</v>
      </c>
      <c r="M3" s="144" t="s">
        <v>94</v>
      </c>
      <c r="N3" s="5"/>
      <c r="O3" s="5"/>
    </row>
    <row r="4" ht="14.25" customHeight="1">
      <c r="A4" s="29" t="s">
        <v>21</v>
      </c>
      <c r="B4" s="144" t="s">
        <v>95</v>
      </c>
      <c r="C4" s="144" t="s">
        <v>95</v>
      </c>
      <c r="D4" s="145"/>
      <c r="E4" s="145"/>
      <c r="F4" s="144" t="s">
        <v>96</v>
      </c>
      <c r="G4" s="144" t="s">
        <v>97</v>
      </c>
      <c r="H4" s="144" t="s">
        <v>97</v>
      </c>
      <c r="I4" s="144" t="s">
        <v>97</v>
      </c>
      <c r="J4" s="144" t="s">
        <v>97</v>
      </c>
      <c r="K4" s="144" t="s">
        <v>97</v>
      </c>
      <c r="L4" s="144" t="s">
        <v>97</v>
      </c>
      <c r="M4" s="144" t="s">
        <v>97</v>
      </c>
      <c r="N4" s="5"/>
      <c r="O4" s="5"/>
    </row>
    <row r="5" ht="14.25" customHeight="1">
      <c r="A5" s="36" t="s">
        <v>23</v>
      </c>
      <c r="B5" s="144" t="s">
        <v>98</v>
      </c>
      <c r="C5" s="144" t="s">
        <v>99</v>
      </c>
      <c r="D5" s="144" t="s">
        <v>100</v>
      </c>
      <c r="E5" s="144" t="s">
        <v>98</v>
      </c>
      <c r="F5" s="144" t="s">
        <v>98</v>
      </c>
      <c r="G5" s="144" t="s">
        <v>98</v>
      </c>
      <c r="H5" s="144" t="s">
        <v>100</v>
      </c>
      <c r="I5" s="144" t="s">
        <v>98</v>
      </c>
      <c r="J5" s="144" t="s">
        <v>100</v>
      </c>
      <c r="K5" s="144" t="s">
        <v>101</v>
      </c>
      <c r="L5" s="144" t="s">
        <v>102</v>
      </c>
      <c r="M5" s="144" t="s">
        <v>102</v>
      </c>
      <c r="N5" s="5"/>
      <c r="O5" s="5"/>
    </row>
    <row r="6" ht="14.25" customHeight="1">
      <c r="A6" s="36" t="s">
        <v>25</v>
      </c>
      <c r="B6" s="144" t="s">
        <v>103</v>
      </c>
      <c r="C6" s="144" t="s">
        <v>103</v>
      </c>
      <c r="D6" s="144" t="s">
        <v>95</v>
      </c>
      <c r="E6" s="144" t="s">
        <v>103</v>
      </c>
      <c r="F6" s="144" t="s">
        <v>95</v>
      </c>
      <c r="G6" s="144" t="s">
        <v>103</v>
      </c>
      <c r="H6" s="144" t="s">
        <v>103</v>
      </c>
      <c r="I6" s="144" t="s">
        <v>95</v>
      </c>
      <c r="J6" s="144" t="s">
        <v>103</v>
      </c>
      <c r="K6" s="144" t="s">
        <v>103</v>
      </c>
      <c r="L6" s="144" t="s">
        <v>95</v>
      </c>
      <c r="M6" s="144" t="s">
        <v>103</v>
      </c>
      <c r="N6" s="5"/>
      <c r="O6" s="5"/>
    </row>
    <row r="7" ht="14.25" customHeight="1">
      <c r="A7" s="36" t="s">
        <v>27</v>
      </c>
      <c r="B7" s="144" t="s">
        <v>104</v>
      </c>
      <c r="C7" s="144" t="s">
        <v>104</v>
      </c>
      <c r="D7" s="144" t="s">
        <v>104</v>
      </c>
      <c r="E7" s="144" t="s">
        <v>105</v>
      </c>
      <c r="F7" s="144" t="s">
        <v>104</v>
      </c>
      <c r="G7" s="144" t="s">
        <v>104</v>
      </c>
      <c r="H7" s="144" t="s">
        <v>106</v>
      </c>
      <c r="I7" s="144" t="s">
        <v>107</v>
      </c>
      <c r="J7" s="144" t="s">
        <v>104</v>
      </c>
      <c r="K7" s="144" t="s">
        <v>104</v>
      </c>
      <c r="L7" s="144" t="s">
        <v>104</v>
      </c>
      <c r="M7" s="144" t="s">
        <v>104</v>
      </c>
      <c r="N7" s="5"/>
      <c r="O7" s="5"/>
    </row>
    <row r="8" ht="14.25" customHeight="1">
      <c r="A8" s="36" t="s">
        <v>29</v>
      </c>
      <c r="B8" s="144" t="s">
        <v>108</v>
      </c>
      <c r="C8" s="144" t="s">
        <v>108</v>
      </c>
      <c r="D8" s="144" t="s">
        <v>99</v>
      </c>
      <c r="E8" s="144" t="s">
        <v>99</v>
      </c>
      <c r="F8" s="144" t="s">
        <v>99</v>
      </c>
      <c r="G8" s="144" t="s">
        <v>99</v>
      </c>
      <c r="H8" s="144" t="s">
        <v>99</v>
      </c>
      <c r="I8" s="144" t="s">
        <v>109</v>
      </c>
      <c r="J8" s="144" t="s">
        <v>110</v>
      </c>
      <c r="K8" s="144" t="s">
        <v>99</v>
      </c>
      <c r="L8" s="144" t="s">
        <v>109</v>
      </c>
      <c r="M8" s="144" t="s">
        <v>109</v>
      </c>
      <c r="N8" s="5"/>
      <c r="O8" s="5"/>
    </row>
    <row r="9" ht="14.25" customHeight="1">
      <c r="A9" s="36" t="s">
        <v>31</v>
      </c>
      <c r="B9" s="144" t="s">
        <v>103</v>
      </c>
      <c r="C9" s="144" t="s">
        <v>95</v>
      </c>
      <c r="D9" s="144" t="s">
        <v>103</v>
      </c>
      <c r="E9" s="144" t="s">
        <v>111</v>
      </c>
      <c r="F9" s="144" t="s">
        <v>112</v>
      </c>
      <c r="G9" s="144" t="s">
        <v>103</v>
      </c>
      <c r="H9" s="144" t="s">
        <v>103</v>
      </c>
      <c r="I9" s="144" t="s">
        <v>103</v>
      </c>
      <c r="J9" s="144" t="s">
        <v>103</v>
      </c>
      <c r="K9" s="144" t="s">
        <v>103</v>
      </c>
      <c r="L9" s="144" t="s">
        <v>103</v>
      </c>
      <c r="M9" s="144" t="s">
        <v>103</v>
      </c>
      <c r="N9" s="5"/>
      <c r="O9" s="5"/>
    </row>
    <row r="10">
      <c r="A10" s="57" t="s">
        <v>33</v>
      </c>
      <c r="B10" s="144" t="s">
        <v>97</v>
      </c>
      <c r="C10" s="144" t="s">
        <v>97</v>
      </c>
      <c r="D10" s="144" t="s">
        <v>97</v>
      </c>
      <c r="E10" s="144" t="s">
        <v>97</v>
      </c>
      <c r="F10" s="144" t="s">
        <v>113</v>
      </c>
      <c r="G10" s="144" t="s">
        <v>97</v>
      </c>
      <c r="H10" s="144" t="s">
        <v>113</v>
      </c>
      <c r="I10" s="144" t="s">
        <v>97</v>
      </c>
      <c r="J10" s="144" t="s">
        <v>104</v>
      </c>
      <c r="K10" s="144" t="s">
        <v>114</v>
      </c>
      <c r="L10" s="144" t="s">
        <v>104</v>
      </c>
      <c r="M10" s="144" t="s">
        <v>104</v>
      </c>
      <c r="N10" s="5"/>
      <c r="O10" s="5"/>
    </row>
    <row r="11">
      <c r="A11" s="39" t="s">
        <v>35</v>
      </c>
      <c r="B11" s="144" t="s">
        <v>115</v>
      </c>
      <c r="C11" s="144" t="s">
        <v>95</v>
      </c>
      <c r="D11" s="144" t="s">
        <v>95</v>
      </c>
      <c r="E11" s="144" t="s">
        <v>95</v>
      </c>
      <c r="F11" s="144" t="s">
        <v>95</v>
      </c>
      <c r="G11" s="144" t="s">
        <v>95</v>
      </c>
      <c r="H11" s="144" t="s">
        <v>95</v>
      </c>
      <c r="I11" s="144" t="s">
        <v>95</v>
      </c>
      <c r="J11" s="144" t="s">
        <v>95</v>
      </c>
      <c r="K11" s="145"/>
      <c r="L11" s="144" t="s">
        <v>116</v>
      </c>
      <c r="M11" s="145"/>
      <c r="N11" s="5"/>
      <c r="O11" s="5"/>
    </row>
    <row r="12" ht="14.25" customHeight="1">
      <c r="A12" s="5"/>
      <c r="B12" s="5"/>
      <c r="C12" s="5"/>
      <c r="D12" s="5"/>
      <c r="E12" s="5"/>
      <c r="F12" s="5"/>
      <c r="G12" s="5"/>
      <c r="H12" s="5"/>
      <c r="I12" s="5"/>
      <c r="J12" s="5"/>
      <c r="K12" s="5"/>
      <c r="L12" s="5"/>
      <c r="M12" s="5"/>
      <c r="N12" s="5"/>
      <c r="O12" s="5"/>
    </row>
    <row r="13" ht="14.25" customHeight="1">
      <c r="A13" s="5"/>
      <c r="B13" s="5"/>
      <c r="C13" s="5"/>
      <c r="D13" s="5"/>
      <c r="E13" s="5"/>
      <c r="F13" s="5"/>
      <c r="G13" s="5"/>
      <c r="H13" s="5"/>
      <c r="I13" s="5"/>
      <c r="J13" s="5"/>
      <c r="K13" s="5"/>
      <c r="L13" s="5"/>
      <c r="M13" s="5"/>
      <c r="N13" s="5"/>
      <c r="O13" s="5"/>
    </row>
    <row r="14" ht="14.25" customHeight="1">
      <c r="A14" s="5"/>
      <c r="B14" s="5"/>
      <c r="C14" s="5"/>
      <c r="D14" s="5"/>
      <c r="E14" s="5"/>
      <c r="F14" s="5"/>
      <c r="G14" s="5"/>
      <c r="H14" s="5"/>
      <c r="I14" s="5"/>
      <c r="J14" s="5"/>
      <c r="K14" s="5"/>
      <c r="L14" s="5"/>
      <c r="M14" s="5"/>
      <c r="N14" s="5"/>
      <c r="O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4.25" customHeight="1">
      <c r="N171" s="5"/>
      <c r="O171" s="5"/>
      <c r="P171" s="5"/>
      <c r="Q171" s="5"/>
      <c r="R171" s="5"/>
      <c r="S171" s="5"/>
      <c r="T171" s="5"/>
      <c r="U171" s="5"/>
      <c r="V171" s="5"/>
      <c r="W171" s="5"/>
      <c r="X171" s="5"/>
      <c r="Y171" s="5"/>
      <c r="Z171" s="5"/>
      <c r="AA171" s="5"/>
      <c r="AB171" s="5"/>
    </row>
    <row r="172" ht="14.25" customHeight="1">
      <c r="N172" s="5"/>
      <c r="O172" s="5"/>
      <c r="P172" s="5"/>
      <c r="Q172" s="5"/>
      <c r="R172" s="5"/>
      <c r="S172" s="5"/>
      <c r="T172" s="5"/>
      <c r="U172" s="5"/>
      <c r="V172" s="5"/>
      <c r="W172" s="5"/>
      <c r="X172" s="5"/>
      <c r="Y172" s="5"/>
      <c r="Z172" s="5"/>
      <c r="AA172" s="5"/>
      <c r="AB172" s="5"/>
    </row>
    <row r="173" ht="14.25" customHeight="1">
      <c r="N173" s="5"/>
      <c r="O173" s="5"/>
      <c r="P173" s="5"/>
      <c r="Q173" s="5"/>
      <c r="R173" s="5"/>
      <c r="S173" s="5"/>
      <c r="T173" s="5"/>
      <c r="U173" s="5"/>
      <c r="V173" s="5"/>
      <c r="W173" s="5"/>
      <c r="X173" s="5"/>
      <c r="Y173" s="5"/>
      <c r="Z173" s="5"/>
      <c r="AA173" s="5"/>
      <c r="AB173" s="5"/>
    </row>
    <row r="174" ht="14.25" customHeight="1">
      <c r="N174" s="5"/>
      <c r="O174" s="5"/>
      <c r="P174" s="5"/>
      <c r="Q174" s="5"/>
      <c r="R174" s="5"/>
      <c r="S174" s="5"/>
      <c r="T174" s="5"/>
      <c r="U174" s="5"/>
      <c r="V174" s="5"/>
      <c r="W174" s="5"/>
      <c r="X174" s="5"/>
      <c r="Y174" s="5"/>
      <c r="Z174" s="5"/>
      <c r="AA174" s="5"/>
      <c r="AB174" s="5"/>
    </row>
    <row r="175" ht="14.25" customHeight="1">
      <c r="N175" s="5"/>
      <c r="O175" s="5"/>
      <c r="P175" s="5"/>
      <c r="Q175" s="5"/>
      <c r="R175" s="5"/>
      <c r="S175" s="5"/>
      <c r="T175" s="5"/>
      <c r="U175" s="5"/>
      <c r="V175" s="5"/>
      <c r="W175" s="5"/>
      <c r="X175" s="5"/>
      <c r="Y175" s="5"/>
      <c r="Z175" s="5"/>
      <c r="AA175" s="5"/>
      <c r="AB175" s="5"/>
    </row>
    <row r="176" ht="14.25" customHeight="1">
      <c r="N176" s="5"/>
      <c r="O176" s="5"/>
      <c r="P176" s="5"/>
      <c r="Q176" s="5"/>
      <c r="R176" s="5"/>
      <c r="S176" s="5"/>
      <c r="T176" s="5"/>
      <c r="U176" s="5"/>
      <c r="V176" s="5"/>
      <c r="W176" s="5"/>
      <c r="X176" s="5"/>
      <c r="Y176" s="5"/>
      <c r="Z176" s="5"/>
      <c r="AA176" s="5"/>
      <c r="AB176" s="5"/>
    </row>
    <row r="177" ht="14.25" customHeight="1">
      <c r="N177" s="5"/>
      <c r="O177" s="5"/>
      <c r="P177" s="5"/>
      <c r="Q177" s="5"/>
      <c r="R177" s="5"/>
      <c r="S177" s="5"/>
      <c r="T177" s="5"/>
      <c r="U177" s="5"/>
      <c r="V177" s="5"/>
      <c r="W177" s="5"/>
      <c r="X177" s="5"/>
      <c r="Y177" s="5"/>
      <c r="Z177" s="5"/>
      <c r="AA177" s="5"/>
      <c r="AB177" s="5"/>
    </row>
    <row r="178" ht="14.25" customHeight="1">
      <c r="N178" s="5"/>
      <c r="O178" s="5"/>
      <c r="P178" s="5"/>
      <c r="Q178" s="5"/>
      <c r="R178" s="5"/>
      <c r="S178" s="5"/>
      <c r="T178" s="5"/>
      <c r="U178" s="5"/>
      <c r="V178" s="5"/>
      <c r="W178" s="5"/>
      <c r="X178" s="5"/>
      <c r="Y178" s="5"/>
      <c r="Z178" s="5"/>
      <c r="AA178" s="5"/>
      <c r="AB178" s="5"/>
    </row>
    <row r="179" ht="14.25" customHeight="1">
      <c r="N179" s="5"/>
      <c r="O179" s="5"/>
      <c r="P179" s="5"/>
      <c r="Q179" s="5"/>
      <c r="R179" s="5"/>
      <c r="S179" s="5"/>
      <c r="T179" s="5"/>
      <c r="U179" s="5"/>
      <c r="V179" s="5"/>
      <c r="W179" s="5"/>
      <c r="X179" s="5"/>
      <c r="Y179" s="5"/>
      <c r="Z179" s="5"/>
      <c r="AA179" s="5"/>
      <c r="AB179" s="5"/>
    </row>
    <row r="180" ht="14.25" customHeight="1">
      <c r="N180" s="5"/>
      <c r="O180" s="5"/>
      <c r="P180" s="5"/>
      <c r="Q180" s="5"/>
      <c r="R180" s="5"/>
      <c r="S180" s="5"/>
      <c r="T180" s="5"/>
      <c r="U180" s="5"/>
      <c r="V180" s="5"/>
      <c r="W180" s="5"/>
      <c r="X180" s="5"/>
      <c r="Y180" s="5"/>
      <c r="Z180" s="5"/>
      <c r="AA180" s="5"/>
      <c r="AB180" s="5"/>
    </row>
    <row r="181" ht="14.25" customHeight="1">
      <c r="N181" s="5"/>
      <c r="O181" s="5"/>
      <c r="P181" s="5"/>
      <c r="Q181" s="5"/>
      <c r="R181" s="5"/>
      <c r="S181" s="5"/>
      <c r="T181" s="5"/>
      <c r="U181" s="5"/>
      <c r="V181" s="5"/>
      <c r="W181" s="5"/>
      <c r="X181" s="5"/>
      <c r="Y181" s="5"/>
      <c r="Z181" s="5"/>
      <c r="AA181" s="5"/>
      <c r="AB181" s="5"/>
    </row>
    <row r="182" ht="14.25" customHeight="1">
      <c r="N182" s="5"/>
      <c r="O182" s="5"/>
      <c r="P182" s="5"/>
      <c r="Q182" s="5"/>
      <c r="R182" s="5"/>
      <c r="S182" s="5"/>
      <c r="T182" s="5"/>
      <c r="U182" s="5"/>
      <c r="V182" s="5"/>
      <c r="W182" s="5"/>
      <c r="X182" s="5"/>
      <c r="Y182" s="5"/>
      <c r="Z182" s="5"/>
      <c r="AA182" s="5"/>
      <c r="AB182" s="5"/>
    </row>
    <row r="183" ht="14.25" customHeight="1">
      <c r="N183" s="5"/>
      <c r="O183" s="5"/>
      <c r="P183" s="5"/>
      <c r="Q183" s="5"/>
      <c r="R183" s="5"/>
      <c r="S183" s="5"/>
      <c r="T183" s="5"/>
      <c r="U183" s="5"/>
      <c r="V183" s="5"/>
      <c r="W183" s="5"/>
      <c r="X183" s="5"/>
      <c r="Y183" s="5"/>
      <c r="Z183" s="5"/>
      <c r="AA183" s="5"/>
      <c r="AB183" s="5"/>
    </row>
    <row r="184" ht="14.25" customHeight="1">
      <c r="N184" s="5"/>
      <c r="O184" s="5"/>
      <c r="P184" s="5"/>
      <c r="Q184" s="5"/>
      <c r="R184" s="5"/>
      <c r="S184" s="5"/>
      <c r="T184" s="5"/>
      <c r="U184" s="5"/>
      <c r="V184" s="5"/>
      <c r="W184" s="5"/>
      <c r="X184" s="5"/>
      <c r="Y184" s="5"/>
      <c r="Z184" s="5"/>
      <c r="AA184" s="5"/>
      <c r="AB184" s="5"/>
    </row>
    <row r="185" ht="14.25" customHeight="1">
      <c r="N185" s="5"/>
      <c r="O185" s="5"/>
      <c r="P185" s="5"/>
      <c r="Q185" s="5"/>
      <c r="R185" s="5"/>
      <c r="S185" s="5"/>
      <c r="T185" s="5"/>
      <c r="U185" s="5"/>
      <c r="V185" s="5"/>
      <c r="W185" s="5"/>
      <c r="X185" s="5"/>
      <c r="Y185" s="5"/>
      <c r="Z185" s="5"/>
      <c r="AA185" s="5"/>
      <c r="AB185" s="5"/>
    </row>
    <row r="186" ht="14.25" customHeight="1">
      <c r="N186" s="5"/>
      <c r="O186" s="5"/>
      <c r="P186" s="5"/>
      <c r="Q186" s="5"/>
      <c r="R186" s="5"/>
      <c r="S186" s="5"/>
      <c r="T186" s="5"/>
      <c r="U186" s="5"/>
      <c r="V186" s="5"/>
      <c r="W186" s="5"/>
      <c r="X186" s="5"/>
      <c r="Y186" s="5"/>
      <c r="Z186" s="5"/>
      <c r="AA186" s="5"/>
      <c r="AB186" s="5"/>
    </row>
    <row r="187" ht="14.25" customHeight="1">
      <c r="N187" s="5"/>
      <c r="O187" s="5"/>
      <c r="P187" s="5"/>
      <c r="Q187" s="5"/>
      <c r="R187" s="5"/>
      <c r="S187" s="5"/>
      <c r="T187" s="5"/>
      <c r="U187" s="5"/>
      <c r="V187" s="5"/>
      <c r="W187" s="5"/>
      <c r="X187" s="5"/>
      <c r="Y187" s="5"/>
      <c r="Z187" s="5"/>
      <c r="AA187" s="5"/>
      <c r="AB187" s="5"/>
    </row>
    <row r="188" ht="14.25" customHeight="1">
      <c r="N188" s="5"/>
      <c r="O188" s="5"/>
      <c r="P188" s="5"/>
      <c r="Q188" s="5"/>
      <c r="R188" s="5"/>
      <c r="S188" s="5"/>
      <c r="T188" s="5"/>
      <c r="U188" s="5"/>
      <c r="V188" s="5"/>
      <c r="W188" s="5"/>
      <c r="X188" s="5"/>
      <c r="Y188" s="5"/>
      <c r="Z188" s="5"/>
      <c r="AA188" s="5"/>
      <c r="AB188" s="5"/>
    </row>
    <row r="189" ht="14.25" customHeight="1">
      <c r="N189" s="5"/>
      <c r="O189" s="5"/>
      <c r="P189" s="5"/>
      <c r="Q189" s="5"/>
      <c r="R189" s="5"/>
      <c r="S189" s="5"/>
      <c r="T189" s="5"/>
      <c r="U189" s="5"/>
      <c r="V189" s="5"/>
      <c r="W189" s="5"/>
      <c r="X189" s="5"/>
      <c r="Y189" s="5"/>
      <c r="Z189" s="5"/>
      <c r="AA189" s="5"/>
      <c r="AB189" s="5"/>
    </row>
    <row r="190" ht="14.25" customHeight="1">
      <c r="N190" s="5"/>
      <c r="O190" s="5"/>
      <c r="P190" s="5"/>
      <c r="Q190" s="5"/>
      <c r="R190" s="5"/>
      <c r="S190" s="5"/>
      <c r="T190" s="5"/>
      <c r="U190" s="5"/>
      <c r="V190" s="5"/>
      <c r="W190" s="5"/>
      <c r="X190" s="5"/>
      <c r="Y190" s="5"/>
      <c r="Z190" s="5"/>
      <c r="AA190" s="5"/>
      <c r="AB190" s="5"/>
    </row>
    <row r="191" ht="14.25" customHeight="1">
      <c r="N191" s="5"/>
      <c r="O191" s="5"/>
      <c r="P191" s="5"/>
      <c r="Q191" s="5"/>
      <c r="R191" s="5"/>
      <c r="S191" s="5"/>
      <c r="T191" s="5"/>
      <c r="U191" s="5"/>
      <c r="V191" s="5"/>
      <c r="W191" s="5"/>
      <c r="X191" s="5"/>
      <c r="Y191" s="5"/>
      <c r="Z191" s="5"/>
      <c r="AA191" s="5"/>
      <c r="AB191" s="5"/>
    </row>
    <row r="192" ht="14.25" customHeight="1">
      <c r="N192" s="5"/>
      <c r="O192" s="5"/>
      <c r="P192" s="5"/>
      <c r="Q192" s="5"/>
      <c r="R192" s="5"/>
      <c r="S192" s="5"/>
      <c r="T192" s="5"/>
      <c r="U192" s="5"/>
      <c r="V192" s="5"/>
      <c r="W192" s="5"/>
      <c r="X192" s="5"/>
      <c r="Y192" s="5"/>
      <c r="Z192" s="5"/>
      <c r="AA192" s="5"/>
      <c r="AB192" s="5"/>
    </row>
    <row r="193" ht="14.25" customHeight="1">
      <c r="N193" s="5"/>
      <c r="O193" s="5"/>
      <c r="P193" s="5"/>
      <c r="Q193" s="5"/>
      <c r="R193" s="5"/>
      <c r="S193" s="5"/>
      <c r="T193" s="5"/>
      <c r="U193" s="5"/>
      <c r="V193" s="5"/>
      <c r="W193" s="5"/>
      <c r="X193" s="5"/>
      <c r="Y193" s="5"/>
      <c r="Z193" s="5"/>
      <c r="AA193" s="5"/>
      <c r="AB193" s="5"/>
    </row>
    <row r="194" ht="14.25" customHeight="1">
      <c r="N194" s="5"/>
      <c r="O194" s="5"/>
      <c r="P194" s="5"/>
      <c r="Q194" s="5"/>
      <c r="R194" s="5"/>
      <c r="S194" s="5"/>
      <c r="T194" s="5"/>
      <c r="U194" s="5"/>
      <c r="V194" s="5"/>
      <c r="W194" s="5"/>
      <c r="X194" s="5"/>
      <c r="Y194" s="5"/>
      <c r="Z194" s="5"/>
      <c r="AA194" s="5"/>
      <c r="AB194" s="5"/>
    </row>
    <row r="195" ht="14.25" customHeight="1">
      <c r="N195" s="5"/>
      <c r="O195" s="5"/>
      <c r="P195" s="5"/>
      <c r="Q195" s="5"/>
      <c r="R195" s="5"/>
      <c r="S195" s="5"/>
      <c r="T195" s="5"/>
      <c r="U195" s="5"/>
      <c r="V195" s="5"/>
      <c r="W195" s="5"/>
      <c r="X195" s="5"/>
      <c r="Y195" s="5"/>
      <c r="Z195" s="5"/>
      <c r="AA195" s="5"/>
      <c r="AB195" s="5"/>
    </row>
    <row r="196" ht="14.25" customHeight="1">
      <c r="N196" s="5"/>
      <c r="O196" s="5"/>
      <c r="P196" s="5"/>
      <c r="Q196" s="5"/>
      <c r="R196" s="5"/>
      <c r="S196" s="5"/>
      <c r="T196" s="5"/>
      <c r="U196" s="5"/>
      <c r="V196" s="5"/>
      <c r="W196" s="5"/>
      <c r="X196" s="5"/>
      <c r="Y196" s="5"/>
      <c r="Z196" s="5"/>
      <c r="AA196" s="5"/>
      <c r="AB196" s="5"/>
    </row>
    <row r="197" ht="14.25" customHeight="1">
      <c r="N197" s="5"/>
      <c r="O197" s="5"/>
      <c r="P197" s="5"/>
      <c r="Q197" s="5"/>
      <c r="R197" s="5"/>
      <c r="S197" s="5"/>
      <c r="T197" s="5"/>
      <c r="U197" s="5"/>
      <c r="V197" s="5"/>
      <c r="W197" s="5"/>
      <c r="X197" s="5"/>
      <c r="Y197" s="5"/>
      <c r="Z197" s="5"/>
      <c r="AA197" s="5"/>
      <c r="AB197" s="5"/>
    </row>
    <row r="198" ht="14.25" customHeight="1">
      <c r="N198" s="5"/>
      <c r="O198" s="5"/>
      <c r="P198" s="5"/>
      <c r="Q198" s="5"/>
      <c r="R198" s="5"/>
      <c r="S198" s="5"/>
      <c r="T198" s="5"/>
      <c r="U198" s="5"/>
      <c r="V198" s="5"/>
      <c r="W198" s="5"/>
      <c r="X198" s="5"/>
      <c r="Y198" s="5"/>
      <c r="Z198" s="5"/>
      <c r="AA198" s="5"/>
      <c r="AB198" s="5"/>
    </row>
    <row r="199" ht="14.25" customHeight="1">
      <c r="N199" s="5"/>
      <c r="O199" s="5"/>
      <c r="P199" s="5"/>
      <c r="Q199" s="5"/>
      <c r="R199" s="5"/>
      <c r="S199" s="5"/>
      <c r="T199" s="5"/>
      <c r="U199" s="5"/>
      <c r="V199" s="5"/>
      <c r="W199" s="5"/>
      <c r="X199" s="5"/>
      <c r="Y199" s="5"/>
      <c r="Z199" s="5"/>
      <c r="AA199" s="5"/>
      <c r="AB199" s="5"/>
    </row>
    <row r="200" ht="14.25" customHeight="1">
      <c r="N200" s="5"/>
      <c r="O200" s="5"/>
      <c r="P200" s="5"/>
      <c r="Q200" s="5"/>
      <c r="R200" s="5"/>
      <c r="S200" s="5"/>
      <c r="T200" s="5"/>
      <c r="U200" s="5"/>
      <c r="V200" s="5"/>
      <c r="W200" s="5"/>
      <c r="X200" s="5"/>
      <c r="Y200" s="5"/>
      <c r="Z200" s="5"/>
      <c r="AA200" s="5"/>
      <c r="AB200" s="5"/>
    </row>
    <row r="201" ht="14.25" customHeight="1">
      <c r="N201" s="5"/>
      <c r="O201" s="5"/>
      <c r="P201" s="5"/>
      <c r="Q201" s="5"/>
      <c r="R201" s="5"/>
      <c r="S201" s="5"/>
      <c r="T201" s="5"/>
      <c r="U201" s="5"/>
      <c r="V201" s="5"/>
      <c r="W201" s="5"/>
      <c r="X201" s="5"/>
      <c r="Y201" s="5"/>
      <c r="Z201" s="5"/>
      <c r="AA201" s="5"/>
      <c r="AB201" s="5"/>
    </row>
    <row r="202" ht="14.25" customHeight="1">
      <c r="N202" s="5"/>
      <c r="O202" s="5"/>
      <c r="P202" s="5"/>
      <c r="Q202" s="5"/>
      <c r="R202" s="5"/>
      <c r="S202" s="5"/>
      <c r="T202" s="5"/>
      <c r="U202" s="5"/>
      <c r="V202" s="5"/>
      <c r="W202" s="5"/>
      <c r="X202" s="5"/>
      <c r="Y202" s="5"/>
      <c r="Z202" s="5"/>
      <c r="AA202" s="5"/>
      <c r="AB202" s="5"/>
    </row>
    <row r="203" ht="14.25" customHeight="1">
      <c r="N203" s="5"/>
      <c r="O203" s="5"/>
      <c r="P203" s="5"/>
      <c r="Q203" s="5"/>
      <c r="R203" s="5"/>
      <c r="S203" s="5"/>
      <c r="T203" s="5"/>
      <c r="U203" s="5"/>
      <c r="V203" s="5"/>
      <c r="W203" s="5"/>
      <c r="X203" s="5"/>
      <c r="Y203" s="5"/>
      <c r="Z203" s="5"/>
      <c r="AA203" s="5"/>
      <c r="AB203" s="5"/>
    </row>
    <row r="204" ht="14.25" customHeight="1">
      <c r="N204" s="5"/>
      <c r="O204" s="5"/>
      <c r="P204" s="5"/>
      <c r="Q204" s="5"/>
      <c r="R204" s="5"/>
      <c r="S204" s="5"/>
      <c r="T204" s="5"/>
      <c r="U204" s="5"/>
      <c r="V204" s="5"/>
      <c r="W204" s="5"/>
      <c r="X204" s="5"/>
      <c r="Y204" s="5"/>
      <c r="Z204" s="5"/>
      <c r="AA204" s="5"/>
      <c r="AB204" s="5"/>
    </row>
    <row r="205" ht="14.25" customHeight="1">
      <c r="N205" s="5"/>
      <c r="O205" s="5"/>
      <c r="P205" s="5"/>
      <c r="Q205" s="5"/>
      <c r="R205" s="5"/>
      <c r="S205" s="5"/>
      <c r="T205" s="5"/>
      <c r="U205" s="5"/>
      <c r="V205" s="5"/>
      <c r="W205" s="5"/>
      <c r="X205" s="5"/>
      <c r="Y205" s="5"/>
      <c r="Z205" s="5"/>
      <c r="AA205" s="5"/>
      <c r="AB205" s="5"/>
    </row>
    <row r="206" ht="14.25" customHeight="1">
      <c r="N206" s="5"/>
      <c r="O206" s="5"/>
      <c r="P206" s="5"/>
      <c r="Q206" s="5"/>
      <c r="R206" s="5"/>
      <c r="S206" s="5"/>
      <c r="T206" s="5"/>
      <c r="U206" s="5"/>
      <c r="V206" s="5"/>
      <c r="W206" s="5"/>
      <c r="X206" s="5"/>
      <c r="Y206" s="5"/>
      <c r="Z206" s="5"/>
      <c r="AA206" s="5"/>
      <c r="AB206" s="5"/>
    </row>
    <row r="207" ht="14.25" customHeight="1">
      <c r="N207" s="5"/>
      <c r="O207" s="5"/>
      <c r="P207" s="5"/>
      <c r="Q207" s="5"/>
      <c r="R207" s="5"/>
      <c r="S207" s="5"/>
      <c r="T207" s="5"/>
      <c r="U207" s="5"/>
      <c r="V207" s="5"/>
      <c r="W207" s="5"/>
      <c r="X207" s="5"/>
      <c r="Y207" s="5"/>
      <c r="Z207" s="5"/>
      <c r="AA207" s="5"/>
      <c r="AB207" s="5"/>
    </row>
    <row r="208" ht="14.25" customHeight="1">
      <c r="N208" s="5"/>
      <c r="O208" s="5"/>
      <c r="P208" s="5"/>
      <c r="Q208" s="5"/>
      <c r="R208" s="5"/>
      <c r="S208" s="5"/>
      <c r="T208" s="5"/>
      <c r="U208" s="5"/>
      <c r="V208" s="5"/>
      <c r="W208" s="5"/>
      <c r="X208" s="5"/>
      <c r="Y208" s="5"/>
      <c r="Z208" s="5"/>
      <c r="AA208" s="5"/>
      <c r="AB208" s="5"/>
    </row>
    <row r="209" ht="14.25" customHeight="1">
      <c r="N209" s="5"/>
      <c r="O209" s="5"/>
      <c r="P209" s="5"/>
      <c r="Q209" s="5"/>
      <c r="R209" s="5"/>
      <c r="S209" s="5"/>
      <c r="T209" s="5"/>
      <c r="U209" s="5"/>
      <c r="V209" s="5"/>
      <c r="W209" s="5"/>
      <c r="X209" s="5"/>
      <c r="Y209" s="5"/>
      <c r="Z209" s="5"/>
      <c r="AA209" s="5"/>
      <c r="AB209" s="5"/>
    </row>
    <row r="210" ht="14.25" customHeight="1">
      <c r="N210" s="5"/>
      <c r="O210" s="5"/>
      <c r="P210" s="5"/>
      <c r="Q210" s="5"/>
      <c r="R210" s="5"/>
      <c r="S210" s="5"/>
      <c r="T210" s="5"/>
      <c r="U210" s="5"/>
      <c r="V210" s="5"/>
      <c r="W210" s="5"/>
      <c r="X210" s="5"/>
      <c r="Y210" s="5"/>
      <c r="Z210" s="5"/>
      <c r="AA210" s="5"/>
      <c r="AB210" s="5"/>
    </row>
    <row r="211" ht="14.25" customHeight="1">
      <c r="N211" s="5"/>
      <c r="O211" s="5"/>
      <c r="P211" s="5"/>
      <c r="Q211" s="5"/>
      <c r="R211" s="5"/>
      <c r="S211" s="5"/>
      <c r="T211" s="5"/>
      <c r="U211" s="5"/>
      <c r="V211" s="5"/>
      <c r="W211" s="5"/>
      <c r="X211" s="5"/>
      <c r="Y211" s="5"/>
      <c r="Z211" s="5"/>
      <c r="AA211" s="5"/>
      <c r="AB211" s="5"/>
    </row>
    <row r="212" ht="14.25" customHeight="1">
      <c r="N212" s="5"/>
      <c r="O212" s="5"/>
      <c r="P212" s="5"/>
      <c r="Q212" s="5"/>
      <c r="R212" s="5"/>
      <c r="S212" s="5"/>
      <c r="T212" s="5"/>
      <c r="U212" s="5"/>
      <c r="V212" s="5"/>
      <c r="W212" s="5"/>
      <c r="X212" s="5"/>
      <c r="Y212" s="5"/>
      <c r="Z212" s="5"/>
      <c r="AA212" s="5"/>
      <c r="AB212" s="5"/>
    </row>
    <row r="213" ht="14.25" customHeight="1">
      <c r="N213" s="5"/>
      <c r="O213" s="5"/>
      <c r="P213" s="5"/>
      <c r="Q213" s="5"/>
      <c r="R213" s="5"/>
      <c r="S213" s="5"/>
      <c r="T213" s="5"/>
      <c r="U213" s="5"/>
      <c r="V213" s="5"/>
      <c r="W213" s="5"/>
      <c r="X213" s="5"/>
      <c r="Y213" s="5"/>
      <c r="Z213" s="5"/>
      <c r="AA213" s="5"/>
      <c r="AB213" s="5"/>
    </row>
    <row r="214" ht="14.25" customHeight="1">
      <c r="N214" s="5"/>
      <c r="O214" s="5"/>
      <c r="P214" s="5"/>
      <c r="Q214" s="5"/>
      <c r="R214" s="5"/>
      <c r="S214" s="5"/>
      <c r="T214" s="5"/>
      <c r="U214" s="5"/>
      <c r="V214" s="5"/>
      <c r="W214" s="5"/>
      <c r="X214" s="5"/>
      <c r="Y214" s="5"/>
      <c r="Z214" s="5"/>
      <c r="AA214" s="5"/>
      <c r="AB214" s="5"/>
    </row>
    <row r="215" ht="14.25" customHeight="1">
      <c r="N215" s="5"/>
      <c r="O215" s="5"/>
      <c r="P215" s="5"/>
      <c r="Q215" s="5"/>
      <c r="R215" s="5"/>
      <c r="S215" s="5"/>
      <c r="T215" s="5"/>
      <c r="U215" s="5"/>
      <c r="V215" s="5"/>
      <c r="W215" s="5"/>
      <c r="X215" s="5"/>
      <c r="Y215" s="5"/>
      <c r="Z215" s="5"/>
      <c r="AA215" s="5"/>
      <c r="AB215" s="5"/>
    </row>
    <row r="216" ht="14.25" customHeight="1">
      <c r="N216" s="5"/>
      <c r="O216" s="5"/>
      <c r="P216" s="5"/>
      <c r="Q216" s="5"/>
      <c r="R216" s="5"/>
      <c r="S216" s="5"/>
      <c r="T216" s="5"/>
      <c r="U216" s="5"/>
      <c r="V216" s="5"/>
      <c r="W216" s="5"/>
      <c r="X216" s="5"/>
      <c r="Y216" s="5"/>
      <c r="Z216" s="5"/>
      <c r="AA216" s="5"/>
      <c r="AB216" s="5"/>
    </row>
    <row r="217" ht="14.25" customHeight="1">
      <c r="N217" s="5"/>
      <c r="O217" s="5"/>
      <c r="P217" s="5"/>
      <c r="Q217" s="5"/>
      <c r="R217" s="5"/>
      <c r="S217" s="5"/>
      <c r="T217" s="5"/>
      <c r="U217" s="5"/>
      <c r="V217" s="5"/>
      <c r="W217" s="5"/>
      <c r="X217" s="5"/>
      <c r="Y217" s="5"/>
      <c r="Z217" s="5"/>
      <c r="AA217" s="5"/>
      <c r="AB217" s="5"/>
    </row>
    <row r="218" ht="14.25" customHeight="1">
      <c r="N218" s="5"/>
      <c r="O218" s="5"/>
      <c r="P218" s="5"/>
      <c r="Q218" s="5"/>
      <c r="R218" s="5"/>
      <c r="S218" s="5"/>
      <c r="T218" s="5"/>
      <c r="U218" s="5"/>
      <c r="V218" s="5"/>
      <c r="W218" s="5"/>
      <c r="X218" s="5"/>
      <c r="Y218" s="5"/>
      <c r="Z218" s="5"/>
      <c r="AA218" s="5"/>
      <c r="AB218" s="5"/>
    </row>
    <row r="219" ht="14.25" customHeight="1">
      <c r="N219" s="5"/>
      <c r="O219" s="5"/>
      <c r="P219" s="5"/>
      <c r="Q219" s="5"/>
      <c r="R219" s="5"/>
      <c r="S219" s="5"/>
      <c r="T219" s="5"/>
      <c r="U219" s="5"/>
      <c r="V219" s="5"/>
      <c r="W219" s="5"/>
      <c r="X219" s="5"/>
      <c r="Y219" s="5"/>
      <c r="Z219" s="5"/>
      <c r="AA219" s="5"/>
      <c r="AB219" s="5"/>
    </row>
    <row r="220" ht="14.25" customHeight="1">
      <c r="N220" s="5"/>
      <c r="O220" s="5"/>
      <c r="P220" s="5"/>
      <c r="Q220" s="5"/>
      <c r="R220" s="5"/>
      <c r="S220" s="5"/>
      <c r="T220" s="5"/>
      <c r="U220" s="5"/>
      <c r="V220" s="5"/>
      <c r="W220" s="5"/>
      <c r="X220" s="5"/>
      <c r="Y220" s="5"/>
      <c r="Z220" s="5"/>
      <c r="AA220" s="5"/>
      <c r="AB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A3"/>
    <mergeCell ref="B1:M1"/>
    <mergeCell ref="B2:M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29"/>
    <col customWidth="1" min="2" max="3" width="28.71"/>
    <col customWidth="1" min="4" max="4" width="24.0"/>
    <col customWidth="1" min="5" max="5" width="22.29"/>
    <col customWidth="1" min="6" max="6" width="16.14"/>
    <col customWidth="1" min="7" max="7" width="24.57"/>
    <col customWidth="1" min="8" max="8" width="27.14"/>
    <col customWidth="1" min="9" max="9" width="18.43"/>
  </cols>
  <sheetData>
    <row r="2">
      <c r="G2" s="146"/>
      <c r="H2" s="146"/>
    </row>
    <row r="3">
      <c r="A3" s="147"/>
      <c r="B3" s="147" t="s">
        <v>117</v>
      </c>
      <c r="C3" s="147" t="s">
        <v>118</v>
      </c>
      <c r="D3" s="147" t="s">
        <v>119</v>
      </c>
      <c r="E3" s="147" t="s">
        <v>120</v>
      </c>
      <c r="F3" s="147" t="s">
        <v>121</v>
      </c>
      <c r="G3" s="147"/>
      <c r="H3" s="147" t="s">
        <v>122</v>
      </c>
      <c r="I3" s="147" t="s">
        <v>123</v>
      </c>
    </row>
    <row r="4">
      <c r="A4" s="148" t="s">
        <v>124</v>
      </c>
      <c r="B4" s="147" t="s">
        <v>125</v>
      </c>
      <c r="C4" s="147" t="s">
        <v>126</v>
      </c>
      <c r="D4" s="147">
        <v>37.0</v>
      </c>
      <c r="E4" s="147">
        <v>888.0</v>
      </c>
      <c r="F4" s="147">
        <f t="shared" ref="F4:F11" si="1">D4*0.1</f>
        <v>3.7</v>
      </c>
      <c r="G4" s="147"/>
      <c r="H4" s="147">
        <f t="shared" ref="H4:H11" si="2">E4*0.1</f>
        <v>88.8</v>
      </c>
      <c r="I4" s="149"/>
    </row>
    <row r="5">
      <c r="A5" s="150"/>
      <c r="B5" s="147" t="s">
        <v>125</v>
      </c>
      <c r="C5" s="147" t="s">
        <v>127</v>
      </c>
      <c r="D5" s="147">
        <v>44.0</v>
      </c>
      <c r="E5" s="147">
        <v>1056.0</v>
      </c>
      <c r="F5" s="147">
        <f t="shared" si="1"/>
        <v>4.4</v>
      </c>
      <c r="G5" s="147"/>
      <c r="H5" s="147">
        <f t="shared" si="2"/>
        <v>105.6</v>
      </c>
      <c r="I5" s="149"/>
    </row>
    <row r="6">
      <c r="A6" s="150"/>
      <c r="B6" s="147" t="s">
        <v>128</v>
      </c>
      <c r="C6" s="147" t="s">
        <v>126</v>
      </c>
      <c r="D6" s="147">
        <v>12.0</v>
      </c>
      <c r="E6" s="147">
        <v>288.0</v>
      </c>
      <c r="F6" s="147">
        <f t="shared" si="1"/>
        <v>1.2</v>
      </c>
      <c r="G6" s="147"/>
      <c r="H6" s="147">
        <f t="shared" si="2"/>
        <v>28.8</v>
      </c>
      <c r="I6" s="149"/>
    </row>
    <row r="7">
      <c r="A7" s="150"/>
      <c r="B7" s="147" t="s">
        <v>128</v>
      </c>
      <c r="C7" s="147" t="s">
        <v>129</v>
      </c>
      <c r="D7" s="147">
        <v>4.0</v>
      </c>
      <c r="E7" s="147">
        <v>96.0</v>
      </c>
      <c r="F7" s="147">
        <f t="shared" si="1"/>
        <v>0.4</v>
      </c>
      <c r="G7" s="147"/>
      <c r="H7" s="147">
        <f t="shared" si="2"/>
        <v>9.6</v>
      </c>
      <c r="I7" s="149"/>
    </row>
    <row r="8">
      <c r="A8" s="150"/>
      <c r="B8" s="147" t="s">
        <v>128</v>
      </c>
      <c r="C8" s="147" t="s">
        <v>127</v>
      </c>
      <c r="D8" s="147">
        <v>7.0</v>
      </c>
      <c r="E8" s="147">
        <v>168.0</v>
      </c>
      <c r="F8" s="147">
        <f t="shared" si="1"/>
        <v>0.7</v>
      </c>
      <c r="G8" s="147"/>
      <c r="H8" s="147">
        <f t="shared" si="2"/>
        <v>16.8</v>
      </c>
      <c r="I8" s="149"/>
    </row>
    <row r="9">
      <c r="A9" s="150"/>
      <c r="B9" s="147" t="s">
        <v>128</v>
      </c>
      <c r="C9" s="147" t="s">
        <v>130</v>
      </c>
      <c r="D9" s="147">
        <v>5.0</v>
      </c>
      <c r="E9" s="147">
        <v>120.0</v>
      </c>
      <c r="F9" s="147">
        <f t="shared" si="1"/>
        <v>0.5</v>
      </c>
      <c r="G9" s="147"/>
      <c r="H9" s="147">
        <f t="shared" si="2"/>
        <v>12</v>
      </c>
      <c r="I9" s="149"/>
    </row>
    <row r="10">
      <c r="A10" s="150"/>
      <c r="B10" s="147" t="s">
        <v>131</v>
      </c>
      <c r="C10" s="147" t="s">
        <v>126</v>
      </c>
      <c r="D10" s="147">
        <v>6.0</v>
      </c>
      <c r="E10" s="147">
        <v>144.0</v>
      </c>
      <c r="F10" s="147">
        <f t="shared" si="1"/>
        <v>0.6</v>
      </c>
      <c r="G10" s="147"/>
      <c r="H10" s="147">
        <f t="shared" si="2"/>
        <v>14.4</v>
      </c>
      <c r="I10" s="149"/>
    </row>
    <row r="11">
      <c r="A11" s="151"/>
      <c r="B11" s="147" t="s">
        <v>132</v>
      </c>
      <c r="C11" s="147" t="s">
        <v>127</v>
      </c>
      <c r="D11" s="147">
        <v>16.0</v>
      </c>
      <c r="E11" s="147">
        <v>384.0</v>
      </c>
      <c r="F11" s="147">
        <f t="shared" si="1"/>
        <v>1.6</v>
      </c>
      <c r="G11" s="147"/>
      <c r="H11" s="147">
        <f t="shared" si="2"/>
        <v>38.4</v>
      </c>
      <c r="I11" s="149"/>
    </row>
    <row r="12">
      <c r="A12" s="152" t="s">
        <v>133</v>
      </c>
      <c r="B12" s="147" t="s">
        <v>131</v>
      </c>
      <c r="C12" s="147" t="s">
        <v>134</v>
      </c>
      <c r="D12" s="147">
        <v>0.75</v>
      </c>
      <c r="E12" s="147">
        <v>18.0</v>
      </c>
      <c r="F12" s="147">
        <f t="shared" ref="F12:F21" si="3">D12*0.05</f>
        <v>0.0375</v>
      </c>
      <c r="G12" s="147"/>
      <c r="H12" s="147">
        <f t="shared" ref="H12:H21" si="4">E12*0.05</f>
        <v>0.9</v>
      </c>
      <c r="I12" s="153">
        <v>1491.0</v>
      </c>
    </row>
    <row r="13">
      <c r="A13" s="150"/>
      <c r="B13" s="147" t="s">
        <v>135</v>
      </c>
      <c r="C13" s="147" t="s">
        <v>136</v>
      </c>
      <c r="D13" s="147">
        <v>0.58</v>
      </c>
      <c r="E13" s="147">
        <v>14.0</v>
      </c>
      <c r="F13" s="147">
        <f t="shared" si="3"/>
        <v>0.029</v>
      </c>
      <c r="G13" s="147"/>
      <c r="H13" s="147">
        <f t="shared" si="4"/>
        <v>0.7</v>
      </c>
      <c r="I13" s="153">
        <v>1086.0</v>
      </c>
    </row>
    <row r="14">
      <c r="A14" s="150"/>
      <c r="B14" s="147" t="s">
        <v>137</v>
      </c>
      <c r="C14" s="147" t="s">
        <v>138</v>
      </c>
      <c r="D14" s="147">
        <v>0.46</v>
      </c>
      <c r="E14" s="147">
        <v>11.0</v>
      </c>
      <c r="F14" s="147">
        <f t="shared" si="3"/>
        <v>0.023</v>
      </c>
      <c r="G14" s="147"/>
      <c r="H14" s="147">
        <f t="shared" si="4"/>
        <v>0.55</v>
      </c>
      <c r="I14" s="153">
        <v>955.0</v>
      </c>
    </row>
    <row r="15">
      <c r="A15" s="150"/>
      <c r="B15" s="147" t="s">
        <v>126</v>
      </c>
      <c r="C15" s="147" t="s">
        <v>139</v>
      </c>
      <c r="D15" s="147">
        <v>0.08</v>
      </c>
      <c r="E15" s="147">
        <v>2.0</v>
      </c>
      <c r="F15" s="147">
        <f t="shared" si="3"/>
        <v>0.004</v>
      </c>
      <c r="G15" s="147"/>
      <c r="H15" s="147">
        <f t="shared" si="4"/>
        <v>0.1</v>
      </c>
      <c r="I15" s="153">
        <v>131.0</v>
      </c>
    </row>
    <row r="16">
      <c r="A16" s="150"/>
      <c r="B16" s="147" t="s">
        <v>129</v>
      </c>
      <c r="C16" s="147" t="s">
        <v>139</v>
      </c>
      <c r="D16" s="147">
        <v>0.92</v>
      </c>
      <c r="E16" s="147">
        <v>15.0</v>
      </c>
      <c r="F16" s="147">
        <f t="shared" si="3"/>
        <v>0.046</v>
      </c>
      <c r="G16" s="147"/>
      <c r="H16" s="147">
        <f t="shared" si="4"/>
        <v>0.75</v>
      </c>
      <c r="I16" s="153">
        <v>2035.0</v>
      </c>
    </row>
    <row r="17">
      <c r="A17" s="150"/>
      <c r="B17" s="147" t="s">
        <v>127</v>
      </c>
      <c r="C17" s="147" t="s">
        <v>139</v>
      </c>
      <c r="D17" s="147">
        <v>0.08</v>
      </c>
      <c r="E17" s="147">
        <v>2.0</v>
      </c>
      <c r="F17" s="147">
        <f t="shared" si="3"/>
        <v>0.004</v>
      </c>
      <c r="G17" s="147"/>
      <c r="H17" s="147">
        <f t="shared" si="4"/>
        <v>0.1</v>
      </c>
      <c r="I17" s="153">
        <v>130.0</v>
      </c>
    </row>
    <row r="18">
      <c r="A18" s="150"/>
      <c r="B18" s="147" t="s">
        <v>130</v>
      </c>
      <c r="C18" s="147" t="s">
        <v>139</v>
      </c>
      <c r="D18" s="154">
        <v>0.625</v>
      </c>
      <c r="E18" s="155">
        <v>15.0</v>
      </c>
      <c r="F18" s="147">
        <f t="shared" si="3"/>
        <v>0.03125</v>
      </c>
      <c r="G18" s="147"/>
      <c r="H18" s="147">
        <f t="shared" si="4"/>
        <v>0.75</v>
      </c>
      <c r="I18" s="153">
        <v>1332.0</v>
      </c>
    </row>
    <row r="19">
      <c r="A19" s="150"/>
      <c r="B19" s="147" t="s">
        <v>134</v>
      </c>
      <c r="C19" s="147" t="s">
        <v>139</v>
      </c>
      <c r="D19" s="155">
        <v>0.96</v>
      </c>
      <c r="E19" s="147">
        <v>23.0</v>
      </c>
      <c r="F19" s="147">
        <f t="shared" si="3"/>
        <v>0.048</v>
      </c>
      <c r="G19" s="147"/>
      <c r="H19" s="147">
        <f t="shared" si="4"/>
        <v>1.15</v>
      </c>
      <c r="I19" s="153">
        <v>2054.0</v>
      </c>
    </row>
    <row r="20">
      <c r="A20" s="150"/>
      <c r="B20" s="147" t="s">
        <v>136</v>
      </c>
      <c r="C20" s="147" t="s">
        <v>139</v>
      </c>
      <c r="D20" s="147">
        <v>0.1</v>
      </c>
      <c r="E20" s="147">
        <v>2.5</v>
      </c>
      <c r="F20" s="147">
        <f t="shared" si="3"/>
        <v>0.005</v>
      </c>
      <c r="G20" s="147"/>
      <c r="H20" s="147">
        <f t="shared" si="4"/>
        <v>0.125</v>
      </c>
      <c r="I20" s="153">
        <v>148.0</v>
      </c>
    </row>
    <row r="21">
      <c r="A21" s="151"/>
      <c r="B21" s="147" t="s">
        <v>138</v>
      </c>
      <c r="C21" s="147" t="s">
        <v>139</v>
      </c>
      <c r="D21" s="147">
        <v>1.08</v>
      </c>
      <c r="E21" s="147">
        <v>26.0</v>
      </c>
      <c r="F21" s="147">
        <f t="shared" si="3"/>
        <v>0.054</v>
      </c>
      <c r="G21" s="147"/>
      <c r="H21" s="147">
        <f t="shared" si="4"/>
        <v>1.3</v>
      </c>
      <c r="I21" s="153">
        <v>2226.0</v>
      </c>
    </row>
    <row r="24">
      <c r="A24" s="156" t="s">
        <v>140</v>
      </c>
      <c r="B24" s="157" t="s">
        <v>141</v>
      </c>
      <c r="C24" s="124"/>
      <c r="D24" s="156" t="s">
        <v>142</v>
      </c>
      <c r="E24" s="156" t="s">
        <v>143</v>
      </c>
      <c r="F24" s="156" t="s">
        <v>144</v>
      </c>
      <c r="G24" s="156" t="s">
        <v>145</v>
      </c>
      <c r="H24" s="156" t="s">
        <v>146</v>
      </c>
    </row>
    <row r="25">
      <c r="A25" s="147" t="s">
        <v>147</v>
      </c>
      <c r="B25" s="147" t="str">
        <f t="shared" ref="B25:B28" si="5">RIGHT(A25,LEN(A25) - (FIND(",",A25) + 1))</f>
        <v>RM</v>
      </c>
      <c r="C25" s="147" t="s">
        <v>148</v>
      </c>
      <c r="D25" s="158">
        <v>24.0</v>
      </c>
      <c r="E25" s="159">
        <f t="shared" ref="E25:E40" si="6">F25/24</f>
        <v>0.02083333333</v>
      </c>
      <c r="F25" s="159">
        <f>30/60</f>
        <v>0.5</v>
      </c>
      <c r="G25" s="159">
        <f t="shared" ref="G25:G29" si="7">F25*0.05</f>
        <v>0.025</v>
      </c>
      <c r="H25" s="160">
        <f t="shared" ref="H25:H28" si="8">D25*$B$42</f>
        <v>47856</v>
      </c>
      <c r="I25" s="148" t="s">
        <v>149</v>
      </c>
    </row>
    <row r="26">
      <c r="A26" s="147" t="s">
        <v>150</v>
      </c>
      <c r="B26" s="147" t="str">
        <f t="shared" si="5"/>
        <v>RMA</v>
      </c>
      <c r="C26" s="147" t="s">
        <v>151</v>
      </c>
      <c r="D26" s="158">
        <v>270.0</v>
      </c>
      <c r="E26" s="159">
        <f t="shared" si="6"/>
        <v>0.125</v>
      </c>
      <c r="F26" s="158">
        <f>3</f>
        <v>3</v>
      </c>
      <c r="G26" s="159">
        <f t="shared" si="7"/>
        <v>0.15</v>
      </c>
      <c r="H26" s="160">
        <f t="shared" si="8"/>
        <v>538380</v>
      </c>
      <c r="I26" s="150"/>
    </row>
    <row r="27">
      <c r="A27" s="147" t="s">
        <v>152</v>
      </c>
      <c r="B27" s="147" t="str">
        <f t="shared" si="5"/>
        <v>RV</v>
      </c>
      <c r="C27" s="147" t="s">
        <v>153</v>
      </c>
      <c r="D27" s="158">
        <v>110.0</v>
      </c>
      <c r="E27" s="159">
        <f t="shared" si="6"/>
        <v>0.05694444444</v>
      </c>
      <c r="F27" s="158">
        <f>(60 + 22)/60</f>
        <v>1.366666667</v>
      </c>
      <c r="G27" s="159">
        <f t="shared" si="7"/>
        <v>0.06833333333</v>
      </c>
      <c r="H27" s="160">
        <f t="shared" si="8"/>
        <v>219340</v>
      </c>
      <c r="I27" s="150"/>
    </row>
    <row r="28">
      <c r="A28" s="147" t="s">
        <v>154</v>
      </c>
      <c r="B28" s="147" t="str">
        <f t="shared" si="5"/>
        <v>RC</v>
      </c>
      <c r="C28" s="147" t="s">
        <v>155</v>
      </c>
      <c r="D28" s="158">
        <v>471.0</v>
      </c>
      <c r="E28" s="159">
        <f t="shared" si="6"/>
        <v>0.2138888889</v>
      </c>
      <c r="F28" s="158">
        <f>5+8/60</f>
        <v>5.133333333</v>
      </c>
      <c r="G28" s="159">
        <f t="shared" si="7"/>
        <v>0.2566666667</v>
      </c>
      <c r="H28" s="160">
        <f t="shared" si="8"/>
        <v>939174</v>
      </c>
      <c r="I28" s="151"/>
    </row>
    <row r="29">
      <c r="A29" s="147" t="s">
        <v>156</v>
      </c>
      <c r="B29" s="147" t="s">
        <v>157</v>
      </c>
      <c r="C29" s="147" t="s">
        <v>158</v>
      </c>
      <c r="D29" s="158">
        <v>2035.0</v>
      </c>
      <c r="E29" s="159">
        <f t="shared" si="6"/>
        <v>0.9340277778</v>
      </c>
      <c r="F29" s="159">
        <f>22 + 25/60</f>
        <v>22.41666667</v>
      </c>
      <c r="G29" s="159">
        <f t="shared" si="7"/>
        <v>1.120833333</v>
      </c>
      <c r="H29" s="160">
        <f t="shared" ref="H29:H40" si="9">D29*$B$43</f>
        <v>3909235</v>
      </c>
      <c r="I29" s="148" t="s">
        <v>159</v>
      </c>
    </row>
    <row r="30">
      <c r="A30" s="147" t="s">
        <v>160</v>
      </c>
      <c r="B30" s="147" t="str">
        <f t="shared" ref="B30:B40" si="10">RIGHT(A30,LEN(A30) - (FIND(",",A30) + 1))</f>
        <v>ATI</v>
      </c>
      <c r="C30" s="147" t="s">
        <v>161</v>
      </c>
      <c r="D30" s="158">
        <v>1332.0</v>
      </c>
      <c r="E30" s="159">
        <f t="shared" si="6"/>
        <v>5.625</v>
      </c>
      <c r="F30" s="158">
        <f>15+E9</f>
        <v>135</v>
      </c>
      <c r="G30" s="159">
        <f>H9+H18</f>
        <v>12.75</v>
      </c>
      <c r="H30" s="160">
        <f t="shared" si="9"/>
        <v>2558772</v>
      </c>
      <c r="I30" s="150"/>
    </row>
    <row r="31">
      <c r="A31" s="147" t="s">
        <v>162</v>
      </c>
      <c r="B31" s="147" t="str">
        <f t="shared" si="10"/>
        <v>TPA</v>
      </c>
      <c r="C31" s="147" t="s">
        <v>163</v>
      </c>
      <c r="D31" s="158">
        <v>2035.0</v>
      </c>
      <c r="E31" s="159">
        <f t="shared" si="6"/>
        <v>4.625</v>
      </c>
      <c r="F31" s="158">
        <f>15+E7</f>
        <v>111</v>
      </c>
      <c r="G31" s="159">
        <f>H7+H16</f>
        <v>10.35</v>
      </c>
      <c r="H31" s="160">
        <f t="shared" si="9"/>
        <v>3909235</v>
      </c>
      <c r="I31" s="150"/>
    </row>
    <row r="32">
      <c r="A32" s="147" t="s">
        <v>164</v>
      </c>
      <c r="B32" s="147" t="str">
        <f t="shared" si="10"/>
        <v>SAI</v>
      </c>
      <c r="C32" s="147" t="s">
        <v>165</v>
      </c>
      <c r="D32" s="158">
        <v>131.0</v>
      </c>
      <c r="E32" s="159">
        <f t="shared" si="6"/>
        <v>4.083333333</v>
      </c>
      <c r="F32" s="158">
        <f t="shared" ref="F32:F33" si="11">2+E7</f>
        <v>98</v>
      </c>
      <c r="G32" s="159">
        <f>H6+H15</f>
        <v>28.9</v>
      </c>
      <c r="H32" s="160">
        <f t="shared" si="9"/>
        <v>251651</v>
      </c>
      <c r="I32" s="150"/>
    </row>
    <row r="33">
      <c r="A33" s="147" t="s">
        <v>166</v>
      </c>
      <c r="B33" s="147" t="str">
        <f t="shared" si="10"/>
        <v>VAP</v>
      </c>
      <c r="C33" s="147" t="s">
        <v>167</v>
      </c>
      <c r="D33" s="158">
        <v>130.0</v>
      </c>
      <c r="E33" s="159">
        <f t="shared" si="6"/>
        <v>7.083333333</v>
      </c>
      <c r="F33" s="158">
        <f t="shared" si="11"/>
        <v>170</v>
      </c>
      <c r="G33" s="159">
        <f>H8+H17</f>
        <v>16.9</v>
      </c>
      <c r="H33" s="160">
        <f t="shared" si="9"/>
        <v>249730</v>
      </c>
      <c r="I33" s="150"/>
    </row>
    <row r="34">
      <c r="A34" s="147" t="s">
        <v>168</v>
      </c>
      <c r="B34" s="147" t="str">
        <f t="shared" si="10"/>
        <v>CHA</v>
      </c>
      <c r="C34" s="147" t="s">
        <v>169</v>
      </c>
      <c r="D34" s="158">
        <v>2054.0</v>
      </c>
      <c r="E34" s="159">
        <f t="shared" si="6"/>
        <v>1.708333333</v>
      </c>
      <c r="F34" s="158">
        <f>23+E12</f>
        <v>41</v>
      </c>
      <c r="G34" s="159">
        <f>H12+H19</f>
        <v>2.05</v>
      </c>
      <c r="H34" s="160">
        <f t="shared" si="9"/>
        <v>3945734</v>
      </c>
      <c r="I34" s="150"/>
    </row>
    <row r="35">
      <c r="A35" s="147" t="s">
        <v>170</v>
      </c>
      <c r="B35" s="147" t="str">
        <f t="shared" si="10"/>
        <v>SAI</v>
      </c>
      <c r="C35" s="147" t="s">
        <v>165</v>
      </c>
      <c r="D35" s="158">
        <v>131.0</v>
      </c>
      <c r="E35" s="159">
        <f t="shared" si="6"/>
        <v>6.083333333</v>
      </c>
      <c r="F35" s="158">
        <f t="shared" ref="F35:F36" si="12">2+E10</f>
        <v>146</v>
      </c>
      <c r="G35" s="159">
        <f>H10+H15</f>
        <v>14.5</v>
      </c>
      <c r="H35" s="160">
        <f t="shared" si="9"/>
        <v>251651</v>
      </c>
      <c r="I35" s="150"/>
    </row>
    <row r="36">
      <c r="A36" s="147" t="s">
        <v>171</v>
      </c>
      <c r="B36" s="147" t="str">
        <f t="shared" si="10"/>
        <v>VAP</v>
      </c>
      <c r="C36" s="147" t="s">
        <v>167</v>
      </c>
      <c r="D36" s="158">
        <v>130.0</v>
      </c>
      <c r="E36" s="159">
        <f t="shared" si="6"/>
        <v>16.08333333</v>
      </c>
      <c r="F36" s="158">
        <f t="shared" si="12"/>
        <v>386</v>
      </c>
      <c r="G36" s="159">
        <f>H11+H17</f>
        <v>38.5</v>
      </c>
      <c r="H36" s="160">
        <f t="shared" si="9"/>
        <v>249730</v>
      </c>
      <c r="I36" s="150"/>
    </row>
    <row r="37">
      <c r="A37" s="147" t="s">
        <v>172</v>
      </c>
      <c r="B37" s="147" t="str">
        <f t="shared" si="10"/>
        <v>LB</v>
      </c>
      <c r="C37" s="147" t="s">
        <v>173</v>
      </c>
      <c r="D37" s="158">
        <v>148.0</v>
      </c>
      <c r="E37" s="159">
        <f t="shared" si="6"/>
        <v>0.6875</v>
      </c>
      <c r="F37" s="158">
        <f>2.5+E13</f>
        <v>16.5</v>
      </c>
      <c r="G37" s="159">
        <f>H13</f>
        <v>0.7</v>
      </c>
      <c r="H37" s="160">
        <f t="shared" si="9"/>
        <v>284308</v>
      </c>
      <c r="I37" s="150"/>
    </row>
    <row r="38">
      <c r="A38" s="147" t="s">
        <v>174</v>
      </c>
      <c r="B38" s="147" t="str">
        <f t="shared" si="10"/>
        <v>VAP</v>
      </c>
      <c r="C38" s="147" t="s">
        <v>167</v>
      </c>
      <c r="D38" s="158">
        <v>130.0</v>
      </c>
      <c r="E38" s="159">
        <f t="shared" si="6"/>
        <v>44.08333333</v>
      </c>
      <c r="F38" s="158">
        <f>2+E5</f>
        <v>1058</v>
      </c>
      <c r="G38" s="159">
        <f>H5+H17</f>
        <v>105.7</v>
      </c>
      <c r="H38" s="160">
        <f t="shared" si="9"/>
        <v>249730</v>
      </c>
      <c r="I38" s="150"/>
    </row>
    <row r="39">
      <c r="A39" s="147" t="s">
        <v>175</v>
      </c>
      <c r="B39" s="147" t="str">
        <f t="shared" si="10"/>
        <v>SAI</v>
      </c>
      <c r="C39" s="147" t="s">
        <v>165</v>
      </c>
      <c r="D39" s="158">
        <v>131.0</v>
      </c>
      <c r="E39" s="159">
        <f t="shared" si="6"/>
        <v>37.08333333</v>
      </c>
      <c r="F39" s="158">
        <f>2+E4</f>
        <v>890</v>
      </c>
      <c r="G39" s="159">
        <f>H4+H15</f>
        <v>88.9</v>
      </c>
      <c r="H39" s="160">
        <f t="shared" si="9"/>
        <v>251651</v>
      </c>
      <c r="I39" s="150"/>
    </row>
    <row r="40">
      <c r="A40" s="147" t="s">
        <v>176</v>
      </c>
      <c r="B40" s="147" t="str">
        <f t="shared" si="10"/>
        <v>CHU</v>
      </c>
      <c r="C40" s="147" t="s">
        <v>177</v>
      </c>
      <c r="D40" s="158">
        <v>2226.0</v>
      </c>
      <c r="E40" s="159">
        <f t="shared" si="6"/>
        <v>1.541666667</v>
      </c>
      <c r="F40" s="158">
        <f>26+E14</f>
        <v>37</v>
      </c>
      <c r="G40" s="159">
        <f>H14+H21</f>
        <v>1.85</v>
      </c>
      <c r="H40" s="160">
        <f t="shared" si="9"/>
        <v>4276146</v>
      </c>
      <c r="I40" s="151"/>
    </row>
    <row r="42">
      <c r="A42" s="161" t="s">
        <v>178</v>
      </c>
      <c r="B42" s="162">
        <v>1994.0</v>
      </c>
    </row>
    <row r="43">
      <c r="A43" s="147" t="s">
        <v>179</v>
      </c>
      <c r="B43" s="162">
        <v>1921.0</v>
      </c>
    </row>
    <row r="46">
      <c r="A46" s="163" t="s">
        <v>141</v>
      </c>
      <c r="B46" s="122" t="s">
        <v>180</v>
      </c>
      <c r="C46" s="123"/>
      <c r="D46" s="124"/>
    </row>
    <row r="47">
      <c r="A47" s="164" t="s">
        <v>181</v>
      </c>
      <c r="B47" s="165" t="s">
        <v>148</v>
      </c>
      <c r="C47" s="123"/>
      <c r="D47" s="124"/>
    </row>
    <row r="48">
      <c r="A48" s="164" t="s">
        <v>182</v>
      </c>
      <c r="B48" s="166" t="s">
        <v>153</v>
      </c>
      <c r="C48" s="123"/>
      <c r="D48" s="124"/>
    </row>
    <row r="49">
      <c r="A49" s="164" t="s">
        <v>183</v>
      </c>
      <c r="B49" s="166" t="s">
        <v>151</v>
      </c>
      <c r="C49" s="123"/>
      <c r="D49" s="124"/>
    </row>
    <row r="50">
      <c r="A50" s="164" t="s">
        <v>184</v>
      </c>
      <c r="B50" s="166" t="s">
        <v>155</v>
      </c>
      <c r="C50" s="123"/>
      <c r="D50" s="124"/>
    </row>
    <row r="51">
      <c r="A51" s="149" t="s">
        <v>157</v>
      </c>
      <c r="B51" s="166" t="s">
        <v>185</v>
      </c>
      <c r="C51" s="123"/>
      <c r="D51" s="124"/>
    </row>
    <row r="52">
      <c r="A52" s="164" t="s">
        <v>186</v>
      </c>
      <c r="B52" s="166" t="s">
        <v>169</v>
      </c>
      <c r="C52" s="123"/>
      <c r="D52" s="124"/>
    </row>
    <row r="53">
      <c r="A53" s="164" t="s">
        <v>187</v>
      </c>
      <c r="B53" s="166" t="s">
        <v>165</v>
      </c>
      <c r="C53" s="123"/>
      <c r="D53" s="124"/>
    </row>
    <row r="54">
      <c r="A54" s="167" t="s">
        <v>188</v>
      </c>
      <c r="B54" s="166" t="s">
        <v>163</v>
      </c>
      <c r="C54" s="123"/>
      <c r="D54" s="124"/>
    </row>
    <row r="55">
      <c r="A55" s="167" t="s">
        <v>189</v>
      </c>
      <c r="B55" s="166" t="s">
        <v>167</v>
      </c>
      <c r="C55" s="123"/>
      <c r="D55" s="124"/>
    </row>
    <row r="56">
      <c r="A56" s="168" t="s">
        <v>190</v>
      </c>
      <c r="B56" s="169" t="s">
        <v>177</v>
      </c>
      <c r="C56" s="123"/>
      <c r="D56" s="124"/>
    </row>
    <row r="57">
      <c r="A57" s="168" t="s">
        <v>191</v>
      </c>
      <c r="B57" s="169" t="s">
        <v>173</v>
      </c>
      <c r="C57" s="123"/>
      <c r="D57" s="124"/>
    </row>
    <row r="58">
      <c r="A58" s="168" t="s">
        <v>192</v>
      </c>
      <c r="B58" s="170" t="s">
        <v>161</v>
      </c>
      <c r="C58" s="123"/>
      <c r="D58" s="124"/>
    </row>
  </sheetData>
  <mergeCells count="18">
    <mergeCell ref="A4:A11"/>
    <mergeCell ref="A12:A21"/>
    <mergeCell ref="B24:C24"/>
    <mergeCell ref="I25:I28"/>
    <mergeCell ref="I29:I40"/>
    <mergeCell ref="B46:D46"/>
    <mergeCell ref="B47:D47"/>
    <mergeCell ref="B55:D55"/>
    <mergeCell ref="B56:D56"/>
    <mergeCell ref="B57:D57"/>
    <mergeCell ref="B58:D58"/>
    <mergeCell ref="B48:D48"/>
    <mergeCell ref="B49:D49"/>
    <mergeCell ref="B50:D50"/>
    <mergeCell ref="B51:D51"/>
    <mergeCell ref="B52:D52"/>
    <mergeCell ref="B53:D53"/>
    <mergeCell ref="B54:D54"/>
  </mergeCells>
  <hyperlinks>
    <hyperlink r:id="rId2" ref="A42"/>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25.57"/>
    <col customWidth="1" min="2" max="26" width="11.43"/>
  </cols>
  <sheetData>
    <row r="1" ht="14.25" customHeight="1">
      <c r="A1" s="171" t="s">
        <v>193</v>
      </c>
      <c r="B1" s="172" t="s">
        <v>194</v>
      </c>
      <c r="C1" s="173"/>
      <c r="D1" s="173"/>
      <c r="E1" s="173"/>
      <c r="F1" s="173"/>
      <c r="G1" s="173"/>
      <c r="H1" s="173"/>
      <c r="I1" s="173"/>
      <c r="J1" s="173"/>
      <c r="K1" s="173"/>
      <c r="L1" s="173"/>
      <c r="M1" s="109"/>
      <c r="N1" s="5"/>
      <c r="O1" s="5"/>
      <c r="P1" s="5"/>
      <c r="Q1" s="5"/>
      <c r="R1" s="5"/>
      <c r="S1" s="5"/>
      <c r="T1" s="5"/>
      <c r="U1" s="5"/>
      <c r="V1" s="5"/>
      <c r="W1" s="5"/>
      <c r="X1" s="5"/>
      <c r="Y1" s="5"/>
      <c r="Z1" s="5"/>
    </row>
    <row r="2" ht="14.25" customHeight="1">
      <c r="A2" s="174"/>
      <c r="B2" s="175" t="s">
        <v>82</v>
      </c>
      <c r="C2" s="123"/>
      <c r="D2" s="123"/>
      <c r="E2" s="123"/>
      <c r="F2" s="123"/>
      <c r="G2" s="123"/>
      <c r="H2" s="123"/>
      <c r="I2" s="123"/>
      <c r="J2" s="123"/>
      <c r="K2" s="123"/>
      <c r="L2" s="123"/>
      <c r="M2" s="176"/>
      <c r="N2" s="5"/>
      <c r="O2" s="5"/>
      <c r="P2" s="5"/>
      <c r="Q2" s="5"/>
      <c r="R2" s="5"/>
      <c r="S2" s="5"/>
      <c r="T2" s="5"/>
      <c r="U2" s="5"/>
      <c r="V2" s="5"/>
      <c r="W2" s="5"/>
      <c r="X2" s="5"/>
      <c r="Y2" s="5"/>
      <c r="Z2" s="5"/>
    </row>
    <row r="3" ht="30.75" customHeight="1">
      <c r="A3" s="125"/>
      <c r="B3" s="177" t="s">
        <v>83</v>
      </c>
      <c r="C3" s="167" t="s">
        <v>84</v>
      </c>
      <c r="D3" s="167" t="s">
        <v>85</v>
      </c>
      <c r="E3" s="167" t="s">
        <v>86</v>
      </c>
      <c r="F3" s="167" t="s">
        <v>87</v>
      </c>
      <c r="G3" s="167" t="s">
        <v>88</v>
      </c>
      <c r="H3" s="167" t="s">
        <v>89</v>
      </c>
      <c r="I3" s="167" t="s">
        <v>90</v>
      </c>
      <c r="J3" s="167" t="s">
        <v>91</v>
      </c>
      <c r="K3" s="167" t="s">
        <v>92</v>
      </c>
      <c r="L3" s="167" t="s">
        <v>93</v>
      </c>
      <c r="M3" s="178" t="s">
        <v>94</v>
      </c>
      <c r="N3" s="5"/>
      <c r="O3" s="5"/>
      <c r="P3" s="5"/>
      <c r="Q3" s="5"/>
      <c r="R3" s="5"/>
      <c r="S3" s="5"/>
      <c r="T3" s="5"/>
      <c r="U3" s="5"/>
      <c r="V3" s="5"/>
      <c r="W3" s="5"/>
      <c r="X3" s="5"/>
      <c r="Y3" s="5"/>
      <c r="Z3" s="5"/>
    </row>
    <row r="4" ht="33.75" customHeight="1">
      <c r="A4" s="63" t="s">
        <v>195</v>
      </c>
      <c r="B4" s="179" t="s">
        <v>154</v>
      </c>
      <c r="C4" s="179" t="s">
        <v>147</v>
      </c>
      <c r="D4" s="179" t="s">
        <v>147</v>
      </c>
      <c r="E4" s="179" t="s">
        <v>147</v>
      </c>
      <c r="F4" s="179" t="s">
        <v>147</v>
      </c>
      <c r="G4" s="179" t="s">
        <v>147</v>
      </c>
      <c r="H4" s="179" t="s">
        <v>147</v>
      </c>
      <c r="I4" s="179" t="s">
        <v>147</v>
      </c>
      <c r="J4" s="179" t="s">
        <v>154</v>
      </c>
      <c r="K4" s="179" t="s">
        <v>147</v>
      </c>
      <c r="L4" s="179" t="s">
        <v>147</v>
      </c>
      <c r="M4" s="179" t="s">
        <v>154</v>
      </c>
      <c r="N4" s="5"/>
      <c r="O4" s="5"/>
      <c r="P4" s="5"/>
      <c r="Q4" s="5"/>
      <c r="R4" s="5"/>
      <c r="S4" s="5"/>
      <c r="T4" s="5"/>
      <c r="U4" s="5"/>
      <c r="V4" s="5"/>
      <c r="W4" s="5"/>
      <c r="X4" s="5"/>
      <c r="Y4" s="5"/>
      <c r="Z4" s="5"/>
    </row>
    <row r="5" ht="30.0" customHeight="1">
      <c r="A5" s="63" t="s">
        <v>196</v>
      </c>
      <c r="B5" s="180"/>
      <c r="C5" s="180"/>
      <c r="D5" s="180"/>
      <c r="E5" s="180"/>
      <c r="F5" s="180"/>
      <c r="G5" s="180"/>
      <c r="H5" s="180"/>
      <c r="I5" s="63"/>
      <c r="J5" s="63"/>
      <c r="K5" s="63"/>
      <c r="L5" s="180"/>
      <c r="M5" s="180"/>
      <c r="N5" s="5"/>
      <c r="O5" s="5"/>
      <c r="P5" s="5"/>
      <c r="Q5" s="5"/>
      <c r="R5" s="5"/>
      <c r="S5" s="5"/>
      <c r="T5" s="5"/>
      <c r="U5" s="5"/>
      <c r="V5" s="5"/>
      <c r="W5" s="5"/>
      <c r="X5" s="5"/>
      <c r="Y5" s="5"/>
      <c r="Z5" s="5"/>
    </row>
    <row r="6" ht="30.75" customHeight="1">
      <c r="A6" s="63" t="s">
        <v>197</v>
      </c>
      <c r="B6" s="179" t="s">
        <v>162</v>
      </c>
      <c r="C6" s="179" t="s">
        <v>160</v>
      </c>
      <c r="D6" s="179" t="s">
        <v>162</v>
      </c>
      <c r="E6" s="179" t="s">
        <v>162</v>
      </c>
      <c r="F6" s="179" t="s">
        <v>162</v>
      </c>
      <c r="G6" s="179" t="s">
        <v>164</v>
      </c>
      <c r="H6" s="179" t="s">
        <v>170</v>
      </c>
      <c r="I6" s="179" t="s">
        <v>162</v>
      </c>
      <c r="J6" s="179" t="s">
        <v>162</v>
      </c>
      <c r="K6" s="179" t="s">
        <v>166</v>
      </c>
      <c r="L6" s="179" t="s">
        <v>162</v>
      </c>
      <c r="M6" s="179" t="s">
        <v>162</v>
      </c>
      <c r="N6" s="5"/>
      <c r="O6" s="5"/>
      <c r="P6" s="5"/>
      <c r="Q6" s="5"/>
      <c r="R6" s="5"/>
      <c r="S6" s="5"/>
      <c r="T6" s="5"/>
      <c r="U6" s="5"/>
      <c r="V6" s="5"/>
      <c r="W6" s="5"/>
      <c r="X6" s="5"/>
      <c r="Y6" s="5"/>
      <c r="Z6" s="5"/>
    </row>
    <row r="7" ht="30.0" customHeight="1">
      <c r="A7" s="63" t="s">
        <v>198</v>
      </c>
      <c r="B7" s="180"/>
      <c r="C7" s="180"/>
      <c r="D7" s="180"/>
      <c r="E7" s="180"/>
      <c r="F7" s="180"/>
      <c r="G7" s="180"/>
      <c r="H7" s="180"/>
      <c r="I7" s="180"/>
      <c r="J7" s="180"/>
      <c r="K7" s="180"/>
      <c r="L7" s="180"/>
      <c r="M7" s="180"/>
      <c r="N7" s="5"/>
      <c r="O7" s="5"/>
      <c r="P7" s="5"/>
      <c r="Q7" s="5"/>
      <c r="R7" s="5"/>
      <c r="S7" s="5"/>
      <c r="T7" s="5"/>
      <c r="U7" s="5"/>
      <c r="V7" s="5"/>
      <c r="W7" s="5"/>
      <c r="X7" s="5"/>
      <c r="Y7" s="5"/>
      <c r="Z7" s="5"/>
    </row>
    <row r="8" ht="30.0" customHeight="1">
      <c r="A8" s="63" t="s">
        <v>199</v>
      </c>
      <c r="B8" s="179" t="s">
        <v>147</v>
      </c>
      <c r="C8" s="179" t="s">
        <v>147</v>
      </c>
      <c r="D8" s="179" t="s">
        <v>150</v>
      </c>
      <c r="E8" s="179" t="s">
        <v>150</v>
      </c>
      <c r="F8" s="179" t="s">
        <v>147</v>
      </c>
      <c r="G8" s="179" t="s">
        <v>147</v>
      </c>
      <c r="H8" s="181" t="s">
        <v>168</v>
      </c>
      <c r="I8" s="181" t="s">
        <v>150</v>
      </c>
      <c r="J8" s="179" t="s">
        <v>147</v>
      </c>
      <c r="K8" s="179" t="s">
        <v>147</v>
      </c>
      <c r="L8" s="179" t="s">
        <v>150</v>
      </c>
      <c r="M8" s="179" t="s">
        <v>147</v>
      </c>
      <c r="N8" s="5"/>
      <c r="O8" s="5"/>
      <c r="P8" s="5"/>
      <c r="Q8" s="5"/>
      <c r="R8" s="5"/>
      <c r="S8" s="5"/>
      <c r="T8" s="5"/>
      <c r="U8" s="5"/>
      <c r="V8" s="5"/>
      <c r="W8" s="5"/>
      <c r="X8" s="5"/>
      <c r="Y8" s="5"/>
      <c r="Z8" s="5"/>
    </row>
    <row r="9" ht="30.0" customHeight="1">
      <c r="A9" s="63" t="s">
        <v>200</v>
      </c>
      <c r="B9" s="180"/>
      <c r="C9" s="180"/>
      <c r="D9" s="180"/>
      <c r="E9" s="180"/>
      <c r="F9" s="180"/>
      <c r="G9" s="180"/>
      <c r="H9" s="63"/>
      <c r="I9" s="63"/>
      <c r="J9" s="63"/>
      <c r="K9" s="63"/>
      <c r="L9" s="63"/>
      <c r="M9" s="63"/>
      <c r="N9" s="5"/>
      <c r="O9" s="5"/>
      <c r="P9" s="5"/>
      <c r="Q9" s="5"/>
      <c r="R9" s="5"/>
      <c r="S9" s="5"/>
      <c r="T9" s="5"/>
      <c r="U9" s="5"/>
      <c r="V9" s="5"/>
      <c r="W9" s="5"/>
      <c r="X9" s="5"/>
      <c r="Y9" s="5"/>
      <c r="Z9" s="5"/>
    </row>
    <row r="10" ht="37.5" customHeight="1">
      <c r="A10" s="63" t="s">
        <v>201</v>
      </c>
      <c r="B10" s="179" t="s">
        <v>147</v>
      </c>
      <c r="C10" s="179" t="s">
        <v>147</v>
      </c>
      <c r="D10" s="179" t="s">
        <v>156</v>
      </c>
      <c r="E10" s="179" t="s">
        <v>156</v>
      </c>
      <c r="F10" s="179" t="s">
        <v>156</v>
      </c>
      <c r="G10" s="179" t="s">
        <v>156</v>
      </c>
      <c r="H10" s="179" t="s">
        <v>156</v>
      </c>
      <c r="I10" s="179" t="s">
        <v>156</v>
      </c>
      <c r="J10" s="179" t="s">
        <v>156</v>
      </c>
      <c r="K10" s="181" t="s">
        <v>202</v>
      </c>
      <c r="L10" s="181" t="s">
        <v>202</v>
      </c>
      <c r="M10" s="181" t="s">
        <v>202</v>
      </c>
      <c r="N10" s="5"/>
      <c r="O10" s="5"/>
      <c r="P10" s="5"/>
      <c r="Q10" s="5"/>
      <c r="R10" s="5"/>
      <c r="S10" s="5"/>
      <c r="T10" s="5"/>
      <c r="U10" s="5"/>
      <c r="V10" s="5"/>
      <c r="W10" s="5"/>
      <c r="X10" s="5"/>
      <c r="Y10" s="5"/>
      <c r="Z10" s="5"/>
    </row>
    <row r="11" ht="30.0" customHeight="1">
      <c r="A11" s="63" t="s">
        <v>203</v>
      </c>
      <c r="B11" s="180"/>
      <c r="C11" s="180"/>
      <c r="D11" s="180"/>
      <c r="E11" s="180"/>
      <c r="F11" s="180"/>
      <c r="G11" s="180"/>
      <c r="H11" s="63"/>
      <c r="I11" s="63"/>
      <c r="J11" s="63"/>
      <c r="K11" s="63"/>
      <c r="L11" s="63"/>
      <c r="M11" s="63"/>
      <c r="N11" s="5"/>
      <c r="O11" s="5"/>
      <c r="P11" s="5"/>
      <c r="Q11" s="5"/>
      <c r="R11" s="5"/>
      <c r="S11" s="5"/>
      <c r="T11" s="5"/>
      <c r="U11" s="5"/>
      <c r="V11" s="5"/>
      <c r="W11" s="5"/>
      <c r="X11" s="5"/>
      <c r="Y11" s="5"/>
      <c r="Z11" s="5"/>
    </row>
    <row r="12" ht="36.75" customHeight="1">
      <c r="A12" s="63" t="s">
        <v>204</v>
      </c>
      <c r="B12" s="179" t="s">
        <v>147</v>
      </c>
      <c r="C12" s="179" t="s">
        <v>152</v>
      </c>
      <c r="D12" s="179" t="s">
        <v>202</v>
      </c>
      <c r="E12" s="179" t="s">
        <v>202</v>
      </c>
      <c r="F12" s="179" t="s">
        <v>172</v>
      </c>
      <c r="G12" s="179" t="s">
        <v>168</v>
      </c>
      <c r="H12" s="179" t="s">
        <v>168</v>
      </c>
      <c r="I12" s="179" t="s">
        <v>168</v>
      </c>
      <c r="J12" s="179" t="s">
        <v>168</v>
      </c>
      <c r="K12" s="179" t="s">
        <v>168</v>
      </c>
      <c r="L12" s="179" t="s">
        <v>168</v>
      </c>
      <c r="M12" s="179" t="s">
        <v>168</v>
      </c>
      <c r="N12" s="5"/>
      <c r="O12" s="5"/>
      <c r="P12" s="5"/>
      <c r="Q12" s="5"/>
      <c r="R12" s="5"/>
      <c r="S12" s="5"/>
      <c r="T12" s="5"/>
      <c r="U12" s="5"/>
      <c r="V12" s="5"/>
      <c r="W12" s="5"/>
      <c r="X12" s="5"/>
      <c r="Y12" s="5"/>
      <c r="Z12" s="5"/>
    </row>
    <row r="13" ht="30.0" customHeight="1">
      <c r="A13" s="63" t="s">
        <v>205</v>
      </c>
      <c r="B13" s="180"/>
      <c r="C13" s="180"/>
      <c r="D13" s="180"/>
      <c r="E13" s="180"/>
      <c r="F13" s="180"/>
      <c r="G13" s="180"/>
      <c r="H13" s="63"/>
      <c r="I13" s="63"/>
      <c r="J13" s="63"/>
      <c r="K13" s="63"/>
      <c r="L13" s="63"/>
      <c r="M13" s="63"/>
      <c r="N13" s="5"/>
      <c r="O13" s="5"/>
      <c r="P13" s="5"/>
      <c r="Q13" s="5"/>
      <c r="R13" s="5"/>
      <c r="S13" s="5"/>
      <c r="T13" s="5"/>
      <c r="U13" s="5"/>
      <c r="V13" s="5"/>
      <c r="W13" s="5"/>
      <c r="X13" s="5"/>
      <c r="Y13" s="5"/>
      <c r="Z13" s="5"/>
    </row>
    <row r="14" ht="35.25" customHeight="1">
      <c r="A14" s="63" t="s">
        <v>206</v>
      </c>
      <c r="B14" s="179" t="s">
        <v>147</v>
      </c>
      <c r="C14" s="179" t="s">
        <v>147</v>
      </c>
      <c r="D14" s="179" t="s">
        <v>162</v>
      </c>
      <c r="E14" s="179" t="s">
        <v>162</v>
      </c>
      <c r="F14" s="179" t="s">
        <v>162</v>
      </c>
      <c r="G14" s="179" t="s">
        <v>162</v>
      </c>
      <c r="H14" s="179" t="s">
        <v>162</v>
      </c>
      <c r="I14" s="179" t="s">
        <v>162</v>
      </c>
      <c r="J14" s="181" t="s">
        <v>176</v>
      </c>
      <c r="K14" s="179" t="s">
        <v>162</v>
      </c>
      <c r="L14" s="181" t="s">
        <v>166</v>
      </c>
      <c r="M14" s="179" t="s">
        <v>162</v>
      </c>
      <c r="N14" s="5"/>
      <c r="O14" s="5"/>
      <c r="P14" s="5"/>
      <c r="Q14" s="5"/>
      <c r="R14" s="5"/>
      <c r="S14" s="5"/>
      <c r="T14" s="5"/>
      <c r="U14" s="5"/>
      <c r="V14" s="5"/>
      <c r="W14" s="5"/>
      <c r="X14" s="5"/>
      <c r="Y14" s="5"/>
      <c r="Z14" s="5"/>
    </row>
    <row r="15" ht="30.75" customHeight="1">
      <c r="A15" s="63" t="s">
        <v>207</v>
      </c>
      <c r="B15" s="180"/>
      <c r="C15" s="180"/>
      <c r="D15" s="180"/>
      <c r="E15" s="180"/>
      <c r="F15" s="180"/>
      <c r="G15" s="180"/>
      <c r="H15" s="63"/>
      <c r="I15" s="63"/>
      <c r="J15" s="63"/>
      <c r="K15" s="63"/>
      <c r="L15" s="63"/>
      <c r="M15" s="63"/>
      <c r="N15" s="5"/>
      <c r="O15" s="5"/>
      <c r="P15" s="5"/>
      <c r="Q15" s="5"/>
      <c r="R15" s="5"/>
      <c r="S15" s="5"/>
      <c r="T15" s="5"/>
      <c r="U15" s="5"/>
      <c r="V15" s="5"/>
      <c r="W15" s="5"/>
      <c r="X15" s="5"/>
      <c r="Y15" s="5"/>
      <c r="Z15" s="5"/>
    </row>
    <row r="16" ht="37.5" customHeight="1">
      <c r="A16" s="63" t="s">
        <v>208</v>
      </c>
      <c r="B16" s="179" t="s">
        <v>150</v>
      </c>
      <c r="C16" s="181" t="s">
        <v>147</v>
      </c>
      <c r="D16" s="179" t="s">
        <v>150</v>
      </c>
      <c r="E16" s="181" t="s">
        <v>147</v>
      </c>
      <c r="F16" s="181" t="s">
        <v>147</v>
      </c>
      <c r="G16" s="181" t="s">
        <v>147</v>
      </c>
      <c r="H16" s="181" t="s">
        <v>147</v>
      </c>
      <c r="I16" s="181" t="s">
        <v>147</v>
      </c>
      <c r="J16" s="181" t="s">
        <v>147</v>
      </c>
      <c r="K16" s="181" t="s">
        <v>147</v>
      </c>
      <c r="L16" s="181" t="s">
        <v>150</v>
      </c>
      <c r="M16" s="181" t="s">
        <v>147</v>
      </c>
      <c r="N16" s="5"/>
      <c r="O16" s="5"/>
      <c r="P16" s="5"/>
      <c r="Q16" s="5"/>
      <c r="R16" s="5"/>
      <c r="S16" s="5"/>
      <c r="T16" s="5"/>
      <c r="U16" s="5"/>
      <c r="V16" s="5"/>
      <c r="W16" s="5"/>
      <c r="X16" s="5"/>
      <c r="Y16" s="5"/>
      <c r="Z16" s="5"/>
    </row>
    <row r="17" ht="31.5" customHeight="1">
      <c r="A17" s="63" t="s">
        <v>209</v>
      </c>
      <c r="B17" s="180"/>
      <c r="C17" s="180"/>
      <c r="D17" s="180"/>
      <c r="E17" s="180"/>
      <c r="F17" s="180"/>
      <c r="G17" s="180"/>
      <c r="H17" s="63"/>
      <c r="I17" s="63"/>
      <c r="J17" s="63"/>
      <c r="K17" s="63"/>
      <c r="L17" s="63"/>
      <c r="M17" s="63"/>
      <c r="N17" s="5"/>
      <c r="O17" s="5"/>
      <c r="P17" s="5"/>
      <c r="Q17" s="5"/>
      <c r="R17" s="5"/>
      <c r="S17" s="5"/>
      <c r="T17" s="5"/>
      <c r="U17" s="5"/>
      <c r="V17" s="5"/>
      <c r="W17" s="5"/>
      <c r="X17" s="5"/>
      <c r="Y17" s="5"/>
      <c r="Z17" s="5"/>
    </row>
    <row r="18" ht="31.5" customHeight="1">
      <c r="A18" s="63" t="s">
        <v>210</v>
      </c>
      <c r="B18" s="179" t="s">
        <v>168</v>
      </c>
      <c r="C18" s="179" t="s">
        <v>168</v>
      </c>
      <c r="D18" s="179" t="s">
        <v>168</v>
      </c>
      <c r="E18" s="179" t="s">
        <v>170</v>
      </c>
      <c r="F18" s="179" t="s">
        <v>168</v>
      </c>
      <c r="G18" s="179" t="s">
        <v>168</v>
      </c>
      <c r="H18" s="181" t="s">
        <v>168</v>
      </c>
      <c r="I18" s="181" t="s">
        <v>168</v>
      </c>
      <c r="J18" s="181" t="s">
        <v>150</v>
      </c>
      <c r="K18" s="181" t="s">
        <v>150</v>
      </c>
      <c r="L18" s="181" t="s">
        <v>147</v>
      </c>
      <c r="M18" s="181" t="s">
        <v>150</v>
      </c>
      <c r="N18" s="5"/>
      <c r="O18" s="5"/>
      <c r="P18" s="5"/>
      <c r="Q18" s="5"/>
      <c r="R18" s="5"/>
      <c r="S18" s="5"/>
      <c r="T18" s="5"/>
      <c r="U18" s="5"/>
      <c r="V18" s="5"/>
      <c r="W18" s="5"/>
      <c r="X18" s="5"/>
      <c r="Y18" s="5"/>
      <c r="Z18" s="5"/>
    </row>
    <row r="19" ht="33.0" customHeight="1">
      <c r="A19" s="63" t="s">
        <v>211</v>
      </c>
      <c r="B19" s="180"/>
      <c r="C19" s="180"/>
      <c r="D19" s="180"/>
      <c r="E19" s="180"/>
      <c r="F19" s="180"/>
      <c r="G19" s="180"/>
      <c r="H19" s="63"/>
      <c r="I19" s="63"/>
      <c r="J19" s="63"/>
      <c r="K19" s="63"/>
      <c r="L19" s="63"/>
      <c r="M19" s="63"/>
      <c r="N19" s="5"/>
      <c r="O19" s="5"/>
      <c r="P19" s="5"/>
      <c r="Q19" s="5"/>
      <c r="R19" s="5"/>
      <c r="S19" s="5"/>
      <c r="T19" s="5"/>
      <c r="U19" s="5"/>
      <c r="V19" s="5"/>
      <c r="W19" s="5"/>
      <c r="X19" s="5"/>
      <c r="Y19" s="5"/>
      <c r="Z19" s="5"/>
    </row>
    <row r="20" ht="14.25" customHeight="1">
      <c r="A20" s="182"/>
      <c r="B20" s="5"/>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183" t="s">
        <v>212</v>
      </c>
      <c r="B21" s="184"/>
      <c r="C21" s="184"/>
      <c r="D21" s="184"/>
      <c r="E21" s="5"/>
      <c r="F21" s="5"/>
      <c r="G21" s="5"/>
      <c r="H21" s="5"/>
      <c r="I21" s="5"/>
      <c r="J21" s="5"/>
      <c r="K21" s="5"/>
      <c r="L21" s="5"/>
      <c r="M21" s="5"/>
      <c r="N21" s="5"/>
      <c r="O21" s="5"/>
      <c r="P21" s="5"/>
      <c r="Q21" s="5"/>
      <c r="R21" s="5"/>
      <c r="S21" s="5"/>
      <c r="T21" s="5"/>
      <c r="U21" s="5"/>
      <c r="V21" s="5"/>
      <c r="W21" s="5"/>
      <c r="X21" s="5"/>
      <c r="Y21" s="5"/>
      <c r="Z21" s="5"/>
    </row>
    <row r="22" ht="14.25" customHeight="1">
      <c r="A22" s="163" t="s">
        <v>141</v>
      </c>
      <c r="B22" s="122" t="s">
        <v>180</v>
      </c>
      <c r="C22" s="123"/>
      <c r="D22" s="124"/>
      <c r="E22" s="185"/>
      <c r="F22" s="185"/>
      <c r="G22" s="185"/>
      <c r="H22" s="185"/>
      <c r="I22" s="185"/>
      <c r="J22" s="185"/>
      <c r="K22" s="185"/>
      <c r="L22" s="185"/>
      <c r="M22" s="186"/>
      <c r="N22" s="5"/>
      <c r="O22" s="5"/>
      <c r="P22" s="5"/>
      <c r="Q22" s="5"/>
      <c r="R22" s="5"/>
      <c r="S22" s="5"/>
      <c r="T22" s="5"/>
      <c r="U22" s="5"/>
      <c r="V22" s="5"/>
      <c r="W22" s="5"/>
      <c r="X22" s="5"/>
      <c r="Y22" s="5"/>
      <c r="Z22" s="5"/>
    </row>
    <row r="23" ht="14.25" customHeight="1">
      <c r="A23" s="164" t="s">
        <v>181</v>
      </c>
      <c r="B23" s="165" t="s">
        <v>148</v>
      </c>
      <c r="C23" s="123"/>
      <c r="D23" s="124"/>
      <c r="E23" s="187"/>
      <c r="F23" s="187"/>
      <c r="G23" s="187"/>
      <c r="H23" s="187"/>
      <c r="I23" s="187"/>
      <c r="J23" s="187"/>
      <c r="K23" s="187"/>
      <c r="L23" s="187"/>
      <c r="M23" s="188"/>
      <c r="N23" s="5"/>
      <c r="O23" s="5"/>
      <c r="P23" s="5"/>
      <c r="Q23" s="5"/>
      <c r="R23" s="5"/>
      <c r="S23" s="5"/>
      <c r="T23" s="5"/>
      <c r="U23" s="5"/>
      <c r="V23" s="5"/>
      <c r="W23" s="5"/>
      <c r="X23" s="5"/>
      <c r="Y23" s="5"/>
      <c r="Z23" s="5"/>
    </row>
    <row r="24" ht="14.25" customHeight="1">
      <c r="A24" s="164" t="s">
        <v>182</v>
      </c>
      <c r="B24" s="166" t="s">
        <v>153</v>
      </c>
      <c r="C24" s="123"/>
      <c r="D24" s="124"/>
      <c r="E24" s="189"/>
      <c r="F24" s="190"/>
      <c r="G24" s="190"/>
      <c r="H24" s="190"/>
      <c r="I24" s="190"/>
      <c r="J24" s="190"/>
      <c r="K24" s="190"/>
      <c r="L24" s="190"/>
      <c r="M24" s="190"/>
      <c r="N24" s="5"/>
      <c r="O24" s="5"/>
      <c r="P24" s="5"/>
      <c r="Q24" s="5"/>
      <c r="R24" s="5"/>
      <c r="S24" s="5"/>
      <c r="T24" s="5"/>
      <c r="U24" s="5"/>
      <c r="V24" s="5"/>
      <c r="W24" s="5"/>
      <c r="X24" s="5"/>
      <c r="Y24" s="5"/>
      <c r="Z24" s="5"/>
    </row>
    <row r="25" ht="14.25" customHeight="1">
      <c r="A25" s="164" t="s">
        <v>183</v>
      </c>
      <c r="B25" s="166" t="s">
        <v>151</v>
      </c>
      <c r="C25" s="123"/>
      <c r="D25" s="124"/>
      <c r="E25" s="191"/>
      <c r="F25" s="191"/>
      <c r="G25" s="191"/>
      <c r="H25" s="191"/>
      <c r="I25" s="19"/>
      <c r="J25" s="19"/>
      <c r="K25" s="19"/>
      <c r="L25" s="191"/>
      <c r="M25" s="191"/>
      <c r="N25" s="5"/>
      <c r="O25" s="5"/>
      <c r="P25" s="5"/>
      <c r="Q25" s="5"/>
      <c r="R25" s="5"/>
      <c r="S25" s="5"/>
      <c r="T25" s="5"/>
      <c r="U25" s="5"/>
      <c r="V25" s="5"/>
      <c r="W25" s="5"/>
      <c r="X25" s="5"/>
      <c r="Y25" s="5"/>
      <c r="Z25" s="5"/>
    </row>
    <row r="26" ht="14.25" customHeight="1">
      <c r="A26" s="164" t="s">
        <v>184</v>
      </c>
      <c r="B26" s="166" t="s">
        <v>155</v>
      </c>
      <c r="C26" s="123"/>
      <c r="D26" s="124"/>
      <c r="E26" s="191"/>
      <c r="F26" s="191"/>
      <c r="G26" s="191"/>
      <c r="H26" s="191"/>
      <c r="I26" s="191"/>
      <c r="J26" s="191"/>
      <c r="K26" s="191"/>
      <c r="L26" s="191"/>
      <c r="M26" s="191"/>
      <c r="N26" s="5"/>
      <c r="O26" s="5"/>
      <c r="P26" s="5"/>
      <c r="Q26" s="5"/>
      <c r="R26" s="5"/>
      <c r="S26" s="5"/>
      <c r="T26" s="5"/>
      <c r="U26" s="5"/>
      <c r="V26" s="5"/>
      <c r="W26" s="5"/>
      <c r="X26" s="5"/>
      <c r="Y26" s="5"/>
      <c r="Z26" s="5"/>
    </row>
    <row r="27" ht="14.25" customHeight="1">
      <c r="A27" s="149" t="s">
        <v>157</v>
      </c>
      <c r="B27" s="166" t="s">
        <v>185</v>
      </c>
      <c r="C27" s="123"/>
      <c r="D27" s="124"/>
      <c r="E27" s="191"/>
      <c r="F27" s="191"/>
      <c r="G27" s="191"/>
      <c r="H27" s="191"/>
      <c r="I27" s="191"/>
      <c r="J27" s="191"/>
      <c r="K27" s="191"/>
      <c r="L27" s="191"/>
      <c r="M27" s="191"/>
      <c r="N27" s="5"/>
      <c r="O27" s="5"/>
      <c r="P27" s="5"/>
      <c r="Q27" s="5"/>
      <c r="R27" s="5"/>
      <c r="S27" s="5"/>
      <c r="T27" s="5"/>
      <c r="U27" s="5"/>
      <c r="V27" s="5"/>
      <c r="W27" s="5"/>
      <c r="X27" s="5"/>
      <c r="Y27" s="5"/>
      <c r="Z27" s="5"/>
    </row>
    <row r="28" ht="14.25" customHeight="1">
      <c r="A28" s="164" t="s">
        <v>186</v>
      </c>
      <c r="B28" s="166" t="s">
        <v>169</v>
      </c>
      <c r="C28" s="123"/>
      <c r="D28" s="124"/>
      <c r="E28" s="191"/>
      <c r="F28" s="191"/>
      <c r="G28" s="191"/>
      <c r="H28" s="191"/>
      <c r="I28" s="191"/>
      <c r="J28" s="191"/>
      <c r="K28" s="191"/>
      <c r="L28" s="191"/>
      <c r="M28" s="191"/>
      <c r="N28" s="5"/>
      <c r="O28" s="5"/>
      <c r="P28" s="5"/>
      <c r="Q28" s="5"/>
      <c r="R28" s="5"/>
      <c r="S28" s="5"/>
      <c r="T28" s="5"/>
      <c r="U28" s="5"/>
      <c r="V28" s="5"/>
      <c r="W28" s="5"/>
      <c r="X28" s="5"/>
      <c r="Y28" s="5"/>
      <c r="Z28" s="5"/>
    </row>
    <row r="29" ht="14.25" customHeight="1">
      <c r="A29" s="164" t="s">
        <v>187</v>
      </c>
      <c r="B29" s="166" t="s">
        <v>165</v>
      </c>
      <c r="C29" s="123"/>
      <c r="D29" s="124"/>
      <c r="E29" s="191"/>
      <c r="F29" s="191"/>
      <c r="G29" s="191"/>
      <c r="H29" s="191"/>
      <c r="I29" s="191"/>
      <c r="J29" s="191"/>
      <c r="K29" s="191"/>
      <c r="L29" s="191"/>
      <c r="M29" s="191"/>
      <c r="N29" s="5"/>
      <c r="O29" s="5"/>
      <c r="P29" s="5"/>
      <c r="Q29" s="5"/>
      <c r="R29" s="5"/>
      <c r="S29" s="5"/>
      <c r="T29" s="5"/>
      <c r="U29" s="5"/>
      <c r="V29" s="5"/>
      <c r="W29" s="5"/>
      <c r="X29" s="5"/>
      <c r="Y29" s="5"/>
      <c r="Z29" s="5"/>
    </row>
    <row r="30" ht="14.25" customHeight="1">
      <c r="A30" s="167" t="s">
        <v>188</v>
      </c>
      <c r="B30" s="166" t="s">
        <v>163</v>
      </c>
      <c r="C30" s="123"/>
      <c r="D30" s="124"/>
      <c r="E30" s="191"/>
      <c r="F30" s="191"/>
      <c r="G30" s="191"/>
      <c r="H30" s="191"/>
      <c r="I30" s="191"/>
      <c r="J30" s="191"/>
      <c r="K30" s="191"/>
      <c r="L30" s="191"/>
      <c r="M30" s="191"/>
      <c r="N30" s="5"/>
      <c r="O30" s="5"/>
      <c r="P30" s="5"/>
      <c r="Q30" s="5"/>
      <c r="R30" s="5"/>
      <c r="S30" s="5"/>
      <c r="T30" s="5"/>
      <c r="U30" s="5"/>
      <c r="V30" s="5"/>
      <c r="W30" s="5"/>
      <c r="X30" s="5"/>
      <c r="Y30" s="5"/>
      <c r="Z30" s="5"/>
    </row>
    <row r="31" ht="14.25" customHeight="1">
      <c r="A31" s="167" t="s">
        <v>189</v>
      </c>
      <c r="B31" s="166" t="s">
        <v>167</v>
      </c>
      <c r="C31" s="123"/>
      <c r="D31" s="124"/>
      <c r="E31" s="191"/>
      <c r="F31" s="191"/>
      <c r="G31" s="191"/>
      <c r="H31" s="191"/>
      <c r="I31" s="191"/>
      <c r="J31" s="191"/>
      <c r="K31" s="191"/>
      <c r="L31" s="191"/>
      <c r="M31" s="191"/>
      <c r="N31" s="5"/>
      <c r="O31" s="5"/>
      <c r="P31" s="5"/>
      <c r="Q31" s="5"/>
      <c r="R31" s="5"/>
      <c r="S31" s="5"/>
      <c r="T31" s="5"/>
      <c r="U31" s="5"/>
      <c r="V31" s="5"/>
      <c r="W31" s="5"/>
      <c r="X31" s="5"/>
      <c r="Y31" s="5"/>
      <c r="Z31" s="5"/>
    </row>
    <row r="32" ht="14.25" customHeight="1">
      <c r="A32" s="168" t="s">
        <v>190</v>
      </c>
      <c r="B32" s="169" t="s">
        <v>177</v>
      </c>
      <c r="C32" s="123"/>
      <c r="D32" s="124"/>
      <c r="E32" s="116"/>
      <c r="F32" s="5"/>
      <c r="G32" s="5"/>
      <c r="H32" s="5"/>
      <c r="I32" s="5"/>
      <c r="J32" s="5"/>
      <c r="K32" s="5"/>
      <c r="L32" s="5"/>
      <c r="M32" s="5"/>
      <c r="N32" s="5"/>
      <c r="O32" s="5"/>
      <c r="P32" s="5"/>
      <c r="Q32" s="5"/>
      <c r="R32" s="5"/>
      <c r="S32" s="5"/>
      <c r="T32" s="5"/>
      <c r="U32" s="5"/>
      <c r="V32" s="5"/>
      <c r="W32" s="5"/>
      <c r="X32" s="5"/>
      <c r="Y32" s="5"/>
      <c r="Z32" s="5"/>
    </row>
    <row r="33" ht="14.25" customHeight="1">
      <c r="A33" s="168" t="s">
        <v>191</v>
      </c>
      <c r="B33" s="169" t="s">
        <v>173</v>
      </c>
      <c r="C33" s="123"/>
      <c r="D33" s="124"/>
      <c r="E33" s="116"/>
      <c r="F33" s="5"/>
      <c r="G33" s="5"/>
      <c r="H33" s="5"/>
      <c r="I33" s="5"/>
      <c r="J33" s="5"/>
      <c r="K33" s="5"/>
      <c r="L33" s="5"/>
      <c r="M33" s="5"/>
      <c r="N33" s="5"/>
      <c r="O33" s="5"/>
      <c r="P33" s="5"/>
      <c r="Q33" s="5"/>
      <c r="R33" s="5"/>
      <c r="S33" s="5"/>
      <c r="T33" s="5"/>
      <c r="U33" s="5"/>
      <c r="V33" s="5"/>
      <c r="W33" s="5"/>
      <c r="X33" s="5"/>
      <c r="Y33" s="5"/>
      <c r="Z33" s="5"/>
    </row>
    <row r="34" ht="14.25" customHeight="1">
      <c r="A34" s="168" t="s">
        <v>192</v>
      </c>
      <c r="B34" s="170" t="s">
        <v>161</v>
      </c>
      <c r="C34" s="123"/>
      <c r="D34" s="124"/>
      <c r="E34" s="116"/>
      <c r="F34" s="5"/>
      <c r="G34" s="5"/>
      <c r="H34" s="5"/>
      <c r="I34" s="5"/>
      <c r="J34" s="5"/>
      <c r="K34" s="5"/>
      <c r="L34" s="5"/>
      <c r="M34" s="5"/>
      <c r="N34" s="5"/>
      <c r="O34" s="5"/>
      <c r="P34" s="5"/>
      <c r="Q34" s="5"/>
      <c r="R34" s="5"/>
      <c r="S34" s="5"/>
      <c r="T34" s="5"/>
      <c r="U34" s="5"/>
      <c r="V34" s="5"/>
      <c r="W34" s="5"/>
      <c r="X34" s="5"/>
      <c r="Y34" s="5"/>
      <c r="Z34" s="5"/>
    </row>
    <row r="35" ht="14.25" customHeight="1">
      <c r="A35" s="119" t="s">
        <v>202</v>
      </c>
      <c r="B35" s="119" t="s">
        <v>213</v>
      </c>
      <c r="C35" s="119"/>
      <c r="D35" s="119"/>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N176" s="5"/>
      <c r="O176" s="5"/>
      <c r="P176" s="5"/>
      <c r="Q176" s="5"/>
      <c r="R176" s="5"/>
      <c r="S176" s="5"/>
      <c r="T176" s="5"/>
      <c r="U176" s="5"/>
      <c r="V176" s="5"/>
      <c r="W176" s="5"/>
      <c r="X176" s="5"/>
      <c r="Y176" s="5"/>
      <c r="Z176" s="5"/>
    </row>
    <row r="177" ht="14.25" customHeight="1">
      <c r="N177" s="5"/>
      <c r="O177" s="5"/>
      <c r="P177" s="5"/>
      <c r="Q177" s="5"/>
      <c r="R177" s="5"/>
      <c r="S177" s="5"/>
      <c r="T177" s="5"/>
      <c r="U177" s="5"/>
      <c r="V177" s="5"/>
      <c r="W177" s="5"/>
      <c r="X177" s="5"/>
      <c r="Y177" s="5"/>
      <c r="Z177" s="5"/>
    </row>
    <row r="178" ht="14.25" customHeight="1">
      <c r="N178" s="5"/>
      <c r="O178" s="5"/>
      <c r="P178" s="5"/>
      <c r="Q178" s="5"/>
      <c r="R178" s="5"/>
      <c r="S178" s="5"/>
      <c r="T178" s="5"/>
      <c r="U178" s="5"/>
      <c r="V178" s="5"/>
      <c r="W178" s="5"/>
      <c r="X178" s="5"/>
      <c r="Y178" s="5"/>
      <c r="Z178" s="5"/>
    </row>
    <row r="179" ht="14.25" customHeight="1">
      <c r="N179" s="5"/>
      <c r="O179" s="5"/>
      <c r="P179" s="5"/>
      <c r="Q179" s="5"/>
      <c r="R179" s="5"/>
      <c r="S179" s="5"/>
      <c r="T179" s="5"/>
      <c r="U179" s="5"/>
      <c r="V179" s="5"/>
      <c r="W179" s="5"/>
      <c r="X179" s="5"/>
      <c r="Y179" s="5"/>
      <c r="Z179" s="5"/>
    </row>
    <row r="180" ht="14.25" customHeight="1">
      <c r="N180" s="5"/>
      <c r="O180" s="5"/>
      <c r="P180" s="5"/>
      <c r="Q180" s="5"/>
      <c r="R180" s="5"/>
      <c r="S180" s="5"/>
      <c r="T180" s="5"/>
      <c r="U180" s="5"/>
      <c r="V180" s="5"/>
      <c r="W180" s="5"/>
      <c r="X180" s="5"/>
      <c r="Y180" s="5"/>
      <c r="Z180" s="5"/>
    </row>
    <row r="181" ht="14.25" customHeight="1">
      <c r="N181" s="5"/>
      <c r="O181" s="5"/>
      <c r="P181" s="5"/>
      <c r="Q181" s="5"/>
      <c r="R181" s="5"/>
      <c r="S181" s="5"/>
      <c r="T181" s="5"/>
      <c r="U181" s="5"/>
      <c r="V181" s="5"/>
      <c r="W181" s="5"/>
      <c r="X181" s="5"/>
      <c r="Y181" s="5"/>
      <c r="Z181" s="5"/>
    </row>
    <row r="182" ht="14.25" customHeight="1">
      <c r="N182" s="5"/>
      <c r="O182" s="5"/>
      <c r="P182" s="5"/>
      <c r="Q182" s="5"/>
      <c r="R182" s="5"/>
      <c r="S182" s="5"/>
      <c r="T182" s="5"/>
      <c r="U182" s="5"/>
      <c r="V182" s="5"/>
      <c r="W182" s="5"/>
      <c r="X182" s="5"/>
      <c r="Y182" s="5"/>
      <c r="Z182" s="5"/>
    </row>
    <row r="183" ht="14.25" customHeight="1">
      <c r="N183" s="5"/>
      <c r="O183" s="5"/>
      <c r="P183" s="5"/>
      <c r="Q183" s="5"/>
      <c r="R183" s="5"/>
      <c r="S183" s="5"/>
      <c r="T183" s="5"/>
      <c r="U183" s="5"/>
      <c r="V183" s="5"/>
      <c r="W183" s="5"/>
      <c r="X183" s="5"/>
      <c r="Y183" s="5"/>
      <c r="Z183" s="5"/>
    </row>
    <row r="184" ht="14.25" customHeight="1">
      <c r="N184" s="5"/>
      <c r="O184" s="5"/>
      <c r="P184" s="5"/>
      <c r="Q184" s="5"/>
      <c r="R184" s="5"/>
      <c r="S184" s="5"/>
      <c r="T184" s="5"/>
      <c r="U184" s="5"/>
      <c r="V184" s="5"/>
      <c r="W184" s="5"/>
      <c r="X184" s="5"/>
      <c r="Y184" s="5"/>
      <c r="Z184" s="5"/>
    </row>
    <row r="185" ht="14.25" customHeight="1">
      <c r="N185" s="5"/>
      <c r="O185" s="5"/>
      <c r="P185" s="5"/>
      <c r="Q185" s="5"/>
      <c r="R185" s="5"/>
      <c r="S185" s="5"/>
      <c r="T185" s="5"/>
      <c r="U185" s="5"/>
      <c r="V185" s="5"/>
      <c r="W185" s="5"/>
      <c r="X185" s="5"/>
      <c r="Y185" s="5"/>
      <c r="Z185" s="5"/>
    </row>
    <row r="186" ht="14.25" customHeight="1">
      <c r="N186" s="5"/>
      <c r="O186" s="5"/>
      <c r="P186" s="5"/>
      <c r="Q186" s="5"/>
      <c r="R186" s="5"/>
      <c r="S186" s="5"/>
      <c r="T186" s="5"/>
      <c r="U186" s="5"/>
      <c r="V186" s="5"/>
      <c r="W186" s="5"/>
      <c r="X186" s="5"/>
      <c r="Y186" s="5"/>
      <c r="Z186" s="5"/>
    </row>
    <row r="187" ht="14.25" customHeight="1">
      <c r="N187" s="5"/>
      <c r="O187" s="5"/>
      <c r="P187" s="5"/>
      <c r="Q187" s="5"/>
      <c r="R187" s="5"/>
      <c r="S187" s="5"/>
      <c r="T187" s="5"/>
      <c r="U187" s="5"/>
      <c r="V187" s="5"/>
      <c r="W187" s="5"/>
      <c r="X187" s="5"/>
      <c r="Y187" s="5"/>
      <c r="Z187" s="5"/>
    </row>
    <row r="188" ht="14.25" customHeight="1">
      <c r="N188" s="5"/>
      <c r="O188" s="5"/>
      <c r="P188" s="5"/>
      <c r="Q188" s="5"/>
      <c r="R188" s="5"/>
      <c r="S188" s="5"/>
      <c r="T188" s="5"/>
      <c r="U188" s="5"/>
      <c r="V188" s="5"/>
      <c r="W188" s="5"/>
      <c r="X188" s="5"/>
      <c r="Y188" s="5"/>
      <c r="Z188" s="5"/>
    </row>
    <row r="189" ht="14.25" customHeight="1">
      <c r="N189" s="5"/>
      <c r="O189" s="5"/>
      <c r="P189" s="5"/>
      <c r="Q189" s="5"/>
      <c r="R189" s="5"/>
      <c r="S189" s="5"/>
      <c r="T189" s="5"/>
      <c r="U189" s="5"/>
      <c r="V189" s="5"/>
      <c r="W189" s="5"/>
      <c r="X189" s="5"/>
      <c r="Y189" s="5"/>
      <c r="Z189" s="5"/>
    </row>
    <row r="190" ht="14.25" customHeight="1">
      <c r="N190" s="5"/>
      <c r="O190" s="5"/>
      <c r="P190" s="5"/>
      <c r="Q190" s="5"/>
      <c r="R190" s="5"/>
      <c r="S190" s="5"/>
      <c r="T190" s="5"/>
      <c r="U190" s="5"/>
      <c r="V190" s="5"/>
      <c r="W190" s="5"/>
      <c r="X190" s="5"/>
      <c r="Y190" s="5"/>
      <c r="Z190" s="5"/>
    </row>
    <row r="191" ht="14.25" customHeight="1">
      <c r="N191" s="5"/>
      <c r="O191" s="5"/>
      <c r="P191" s="5"/>
      <c r="Q191" s="5"/>
      <c r="R191" s="5"/>
      <c r="S191" s="5"/>
      <c r="T191" s="5"/>
      <c r="U191" s="5"/>
      <c r="V191" s="5"/>
      <c r="W191" s="5"/>
      <c r="X191" s="5"/>
      <c r="Y191" s="5"/>
      <c r="Z191" s="5"/>
    </row>
    <row r="192" ht="14.25" customHeight="1">
      <c r="N192" s="5"/>
      <c r="O192" s="5"/>
      <c r="P192" s="5"/>
      <c r="Q192" s="5"/>
      <c r="R192" s="5"/>
      <c r="S192" s="5"/>
      <c r="T192" s="5"/>
      <c r="U192" s="5"/>
      <c r="V192" s="5"/>
      <c r="W192" s="5"/>
      <c r="X192" s="5"/>
      <c r="Y192" s="5"/>
      <c r="Z192" s="5"/>
    </row>
    <row r="193" ht="14.25" customHeight="1">
      <c r="N193" s="5"/>
      <c r="O193" s="5"/>
      <c r="P193" s="5"/>
      <c r="Q193" s="5"/>
      <c r="R193" s="5"/>
      <c r="S193" s="5"/>
      <c r="T193" s="5"/>
      <c r="U193" s="5"/>
      <c r="V193" s="5"/>
      <c r="W193" s="5"/>
      <c r="X193" s="5"/>
      <c r="Y193" s="5"/>
      <c r="Z193" s="5"/>
    </row>
    <row r="194" ht="14.25" customHeight="1">
      <c r="N194" s="5"/>
      <c r="O194" s="5"/>
      <c r="P194" s="5"/>
      <c r="Q194" s="5"/>
      <c r="R194" s="5"/>
      <c r="S194" s="5"/>
      <c r="T194" s="5"/>
      <c r="U194" s="5"/>
      <c r="V194" s="5"/>
      <c r="W194" s="5"/>
      <c r="X194" s="5"/>
      <c r="Y194" s="5"/>
      <c r="Z194" s="5"/>
    </row>
    <row r="195" ht="14.25" customHeight="1">
      <c r="N195" s="5"/>
      <c r="O195" s="5"/>
      <c r="P195" s="5"/>
      <c r="Q195" s="5"/>
      <c r="R195" s="5"/>
      <c r="S195" s="5"/>
      <c r="T195" s="5"/>
      <c r="U195" s="5"/>
      <c r="V195" s="5"/>
      <c r="W195" s="5"/>
      <c r="X195" s="5"/>
      <c r="Y195" s="5"/>
      <c r="Z195" s="5"/>
    </row>
    <row r="196" ht="14.25" customHeight="1">
      <c r="N196" s="5"/>
      <c r="O196" s="5"/>
      <c r="P196" s="5"/>
      <c r="Q196" s="5"/>
      <c r="R196" s="5"/>
      <c r="S196" s="5"/>
      <c r="T196" s="5"/>
      <c r="U196" s="5"/>
      <c r="V196" s="5"/>
      <c r="W196" s="5"/>
      <c r="X196" s="5"/>
      <c r="Y196" s="5"/>
      <c r="Z196" s="5"/>
    </row>
    <row r="197" ht="14.25" customHeight="1">
      <c r="N197" s="5"/>
      <c r="O197" s="5"/>
      <c r="P197" s="5"/>
      <c r="Q197" s="5"/>
      <c r="R197" s="5"/>
      <c r="S197" s="5"/>
      <c r="T197" s="5"/>
      <c r="U197" s="5"/>
      <c r="V197" s="5"/>
      <c r="W197" s="5"/>
      <c r="X197" s="5"/>
      <c r="Y197" s="5"/>
      <c r="Z197" s="5"/>
    </row>
    <row r="198" ht="14.25" customHeight="1">
      <c r="N198" s="5"/>
      <c r="O198" s="5"/>
      <c r="P198" s="5"/>
      <c r="Q198" s="5"/>
      <c r="R198" s="5"/>
      <c r="S198" s="5"/>
      <c r="T198" s="5"/>
      <c r="U198" s="5"/>
      <c r="V198" s="5"/>
      <c r="W198" s="5"/>
      <c r="X198" s="5"/>
      <c r="Y198" s="5"/>
      <c r="Z198" s="5"/>
    </row>
    <row r="199" ht="14.25" customHeight="1">
      <c r="N199" s="5"/>
      <c r="O199" s="5"/>
      <c r="P199" s="5"/>
      <c r="Q199" s="5"/>
      <c r="R199" s="5"/>
      <c r="S199" s="5"/>
      <c r="T199" s="5"/>
      <c r="U199" s="5"/>
      <c r="V199" s="5"/>
      <c r="W199" s="5"/>
      <c r="X199" s="5"/>
      <c r="Y199" s="5"/>
      <c r="Z199" s="5"/>
    </row>
    <row r="200" ht="14.25" customHeight="1">
      <c r="N200" s="5"/>
      <c r="O200" s="5"/>
      <c r="P200" s="5"/>
      <c r="Q200" s="5"/>
      <c r="R200" s="5"/>
      <c r="S200" s="5"/>
      <c r="T200" s="5"/>
      <c r="U200" s="5"/>
      <c r="V200" s="5"/>
      <c r="W200" s="5"/>
      <c r="X200" s="5"/>
      <c r="Y200" s="5"/>
      <c r="Z200" s="5"/>
    </row>
    <row r="201" ht="14.25" customHeight="1">
      <c r="N201" s="5"/>
      <c r="O201" s="5"/>
      <c r="P201" s="5"/>
      <c r="Q201" s="5"/>
      <c r="R201" s="5"/>
      <c r="S201" s="5"/>
      <c r="T201" s="5"/>
      <c r="U201" s="5"/>
      <c r="V201" s="5"/>
      <c r="W201" s="5"/>
      <c r="X201" s="5"/>
      <c r="Y201" s="5"/>
      <c r="Z201" s="5"/>
    </row>
    <row r="202" ht="14.25" customHeight="1">
      <c r="N202" s="5"/>
      <c r="O202" s="5"/>
      <c r="P202" s="5"/>
      <c r="Q202" s="5"/>
      <c r="R202" s="5"/>
      <c r="S202" s="5"/>
      <c r="T202" s="5"/>
      <c r="U202" s="5"/>
      <c r="V202" s="5"/>
      <c r="W202" s="5"/>
      <c r="X202" s="5"/>
      <c r="Y202" s="5"/>
      <c r="Z202" s="5"/>
    </row>
    <row r="203" ht="14.25" customHeight="1">
      <c r="N203" s="5"/>
      <c r="O203" s="5"/>
      <c r="P203" s="5"/>
      <c r="Q203" s="5"/>
      <c r="R203" s="5"/>
      <c r="S203" s="5"/>
      <c r="T203" s="5"/>
      <c r="U203" s="5"/>
      <c r="V203" s="5"/>
      <c r="W203" s="5"/>
      <c r="X203" s="5"/>
      <c r="Y203" s="5"/>
      <c r="Z203" s="5"/>
    </row>
    <row r="204" ht="14.25" customHeight="1">
      <c r="N204" s="5"/>
      <c r="O204" s="5"/>
      <c r="P204" s="5"/>
      <c r="Q204" s="5"/>
      <c r="R204" s="5"/>
      <c r="S204" s="5"/>
      <c r="T204" s="5"/>
      <c r="U204" s="5"/>
      <c r="V204" s="5"/>
      <c r="W204" s="5"/>
      <c r="X204" s="5"/>
      <c r="Y204" s="5"/>
      <c r="Z204" s="5"/>
    </row>
    <row r="205" ht="14.25" customHeight="1">
      <c r="N205" s="5"/>
      <c r="O205" s="5"/>
      <c r="P205" s="5"/>
      <c r="Q205" s="5"/>
      <c r="R205" s="5"/>
      <c r="S205" s="5"/>
      <c r="T205" s="5"/>
      <c r="U205" s="5"/>
      <c r="V205" s="5"/>
      <c r="W205" s="5"/>
      <c r="X205" s="5"/>
      <c r="Y205" s="5"/>
      <c r="Z205" s="5"/>
    </row>
    <row r="206" ht="14.25" customHeight="1">
      <c r="N206" s="5"/>
      <c r="O206" s="5"/>
      <c r="P206" s="5"/>
      <c r="Q206" s="5"/>
      <c r="R206" s="5"/>
      <c r="S206" s="5"/>
      <c r="T206" s="5"/>
      <c r="U206" s="5"/>
      <c r="V206" s="5"/>
      <c r="W206" s="5"/>
      <c r="X206" s="5"/>
      <c r="Y206" s="5"/>
      <c r="Z206" s="5"/>
    </row>
    <row r="207" ht="14.25" customHeight="1">
      <c r="N207" s="5"/>
      <c r="O207" s="5"/>
      <c r="P207" s="5"/>
      <c r="Q207" s="5"/>
      <c r="R207" s="5"/>
      <c r="S207" s="5"/>
      <c r="T207" s="5"/>
      <c r="U207" s="5"/>
      <c r="V207" s="5"/>
      <c r="W207" s="5"/>
      <c r="X207" s="5"/>
      <c r="Y207" s="5"/>
      <c r="Z207" s="5"/>
    </row>
    <row r="208" ht="14.25" customHeight="1">
      <c r="N208" s="5"/>
      <c r="O208" s="5"/>
      <c r="P208" s="5"/>
      <c r="Q208" s="5"/>
      <c r="R208" s="5"/>
      <c r="S208" s="5"/>
      <c r="T208" s="5"/>
      <c r="U208" s="5"/>
      <c r="V208" s="5"/>
      <c r="W208" s="5"/>
      <c r="X208" s="5"/>
      <c r="Y208" s="5"/>
      <c r="Z208" s="5"/>
    </row>
    <row r="209" ht="14.25" customHeight="1">
      <c r="N209" s="5"/>
      <c r="O209" s="5"/>
      <c r="P209" s="5"/>
      <c r="Q209" s="5"/>
      <c r="R209" s="5"/>
      <c r="S209" s="5"/>
      <c r="T209" s="5"/>
      <c r="U209" s="5"/>
      <c r="V209" s="5"/>
      <c r="W209" s="5"/>
      <c r="X209" s="5"/>
      <c r="Y209" s="5"/>
      <c r="Z209" s="5"/>
    </row>
    <row r="210" ht="14.25" customHeight="1">
      <c r="N210" s="5"/>
      <c r="O210" s="5"/>
      <c r="P210" s="5"/>
      <c r="Q210" s="5"/>
      <c r="R210" s="5"/>
      <c r="S210" s="5"/>
      <c r="T210" s="5"/>
      <c r="U210" s="5"/>
      <c r="V210" s="5"/>
      <c r="W210" s="5"/>
      <c r="X210" s="5"/>
      <c r="Y210" s="5"/>
      <c r="Z210" s="5"/>
    </row>
    <row r="211" ht="14.25" customHeight="1">
      <c r="N211" s="5"/>
      <c r="O211" s="5"/>
      <c r="P211" s="5"/>
      <c r="Q211" s="5"/>
      <c r="R211" s="5"/>
      <c r="S211" s="5"/>
      <c r="T211" s="5"/>
      <c r="U211" s="5"/>
      <c r="V211" s="5"/>
      <c r="W211" s="5"/>
      <c r="X211" s="5"/>
      <c r="Y211" s="5"/>
      <c r="Z211" s="5"/>
    </row>
    <row r="212" ht="14.25" customHeight="1">
      <c r="N212" s="5"/>
      <c r="O212" s="5"/>
      <c r="P212" s="5"/>
      <c r="Q212" s="5"/>
      <c r="R212" s="5"/>
      <c r="S212" s="5"/>
      <c r="T212" s="5"/>
      <c r="U212" s="5"/>
      <c r="V212" s="5"/>
      <c r="W212" s="5"/>
      <c r="X212" s="5"/>
      <c r="Y212" s="5"/>
      <c r="Z212" s="5"/>
    </row>
    <row r="213" ht="14.25" customHeight="1">
      <c r="N213" s="5"/>
      <c r="O213" s="5"/>
      <c r="P213" s="5"/>
      <c r="Q213" s="5"/>
      <c r="R213" s="5"/>
      <c r="S213" s="5"/>
      <c r="T213" s="5"/>
      <c r="U213" s="5"/>
      <c r="V213" s="5"/>
      <c r="W213" s="5"/>
      <c r="X213" s="5"/>
      <c r="Y213" s="5"/>
      <c r="Z213" s="5"/>
    </row>
    <row r="214" ht="14.25" customHeight="1">
      <c r="N214" s="5"/>
      <c r="O214" s="5"/>
      <c r="P214" s="5"/>
      <c r="Q214" s="5"/>
      <c r="R214" s="5"/>
      <c r="S214" s="5"/>
      <c r="T214" s="5"/>
      <c r="U214" s="5"/>
      <c r="V214" s="5"/>
      <c r="W214" s="5"/>
      <c r="X214" s="5"/>
      <c r="Y214" s="5"/>
      <c r="Z214" s="5"/>
    </row>
    <row r="215" ht="14.25" customHeight="1">
      <c r="N215" s="5"/>
      <c r="O215" s="5"/>
      <c r="P215" s="5"/>
      <c r="Q215" s="5"/>
      <c r="R215" s="5"/>
      <c r="S215" s="5"/>
      <c r="T215" s="5"/>
      <c r="U215" s="5"/>
      <c r="V215" s="5"/>
      <c r="W215" s="5"/>
      <c r="X215" s="5"/>
      <c r="Y215" s="5"/>
      <c r="Z215" s="5"/>
    </row>
    <row r="216" ht="14.25" customHeight="1">
      <c r="N216" s="5"/>
      <c r="O216" s="5"/>
      <c r="P216" s="5"/>
      <c r="Q216" s="5"/>
      <c r="R216" s="5"/>
      <c r="S216" s="5"/>
      <c r="T216" s="5"/>
      <c r="U216" s="5"/>
      <c r="V216" s="5"/>
      <c r="W216" s="5"/>
      <c r="X216" s="5"/>
      <c r="Y216" s="5"/>
      <c r="Z216" s="5"/>
    </row>
    <row r="217" ht="14.25" customHeight="1">
      <c r="N217" s="5"/>
      <c r="O217" s="5"/>
      <c r="P217" s="5"/>
      <c r="Q217" s="5"/>
      <c r="R217" s="5"/>
      <c r="S217" s="5"/>
      <c r="T217" s="5"/>
      <c r="U217" s="5"/>
      <c r="V217" s="5"/>
      <c r="W217" s="5"/>
      <c r="X217" s="5"/>
      <c r="Y217" s="5"/>
      <c r="Z217" s="5"/>
    </row>
    <row r="218" ht="14.25" customHeight="1">
      <c r="N218" s="5"/>
      <c r="O218" s="5"/>
      <c r="P218" s="5"/>
      <c r="Q218" s="5"/>
      <c r="R218" s="5"/>
      <c r="S218" s="5"/>
      <c r="T218" s="5"/>
      <c r="U218" s="5"/>
      <c r="V218" s="5"/>
      <c r="W218" s="5"/>
      <c r="X218" s="5"/>
      <c r="Y218" s="5"/>
      <c r="Z218" s="5"/>
    </row>
    <row r="219" ht="14.25" customHeight="1">
      <c r="N219" s="5"/>
      <c r="O219" s="5"/>
      <c r="P219" s="5"/>
      <c r="Q219" s="5"/>
      <c r="R219" s="5"/>
      <c r="S219" s="5"/>
      <c r="T219" s="5"/>
      <c r="U219" s="5"/>
      <c r="V219" s="5"/>
      <c r="W219" s="5"/>
      <c r="X219" s="5"/>
      <c r="Y219" s="5"/>
      <c r="Z219" s="5"/>
    </row>
    <row r="220" ht="14.25" customHeight="1">
      <c r="N220" s="5"/>
      <c r="O220" s="5"/>
      <c r="P220" s="5"/>
      <c r="Q220" s="5"/>
      <c r="R220" s="5"/>
      <c r="S220" s="5"/>
      <c r="T220" s="5"/>
      <c r="U220" s="5"/>
      <c r="V220" s="5"/>
      <c r="W220" s="5"/>
      <c r="X220" s="5"/>
      <c r="Y220" s="5"/>
      <c r="Z220" s="5"/>
    </row>
    <row r="221" ht="14.25" customHeight="1">
      <c r="N221" s="5"/>
      <c r="O221" s="5"/>
      <c r="P221" s="5"/>
      <c r="Q221" s="5"/>
      <c r="R221" s="5"/>
      <c r="S221" s="5"/>
      <c r="T221" s="5"/>
      <c r="U221" s="5"/>
      <c r="V221" s="5"/>
      <c r="W221" s="5"/>
      <c r="X221" s="5"/>
      <c r="Y221" s="5"/>
      <c r="Z221" s="5"/>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1:A3"/>
    <mergeCell ref="B1:M1"/>
    <mergeCell ref="B2:M2"/>
    <mergeCell ref="B22:D22"/>
    <mergeCell ref="B23:D23"/>
    <mergeCell ref="B24:D24"/>
    <mergeCell ref="B25:D25"/>
    <mergeCell ref="B33:D33"/>
    <mergeCell ref="B34:D34"/>
    <mergeCell ref="B26:D26"/>
    <mergeCell ref="B27:D27"/>
    <mergeCell ref="B28:D28"/>
    <mergeCell ref="B29:D29"/>
    <mergeCell ref="B30:D30"/>
    <mergeCell ref="B31:D31"/>
    <mergeCell ref="B32:D32"/>
  </mergeCell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16.71"/>
    <col customWidth="1" min="3" max="3" width="16.14"/>
    <col customWidth="1" min="4" max="4" width="17.29"/>
    <col customWidth="1" min="5" max="5" width="17.0"/>
    <col customWidth="1" min="6" max="8" width="16.14"/>
    <col customWidth="1" min="9" max="9" width="20.14"/>
    <col customWidth="1" min="10" max="28" width="10.71"/>
  </cols>
  <sheetData>
    <row r="1">
      <c r="A1" s="192" t="s">
        <v>214</v>
      </c>
      <c r="B1" s="50"/>
      <c r="C1" s="50"/>
      <c r="D1" s="50"/>
      <c r="E1" s="50"/>
      <c r="F1" s="50"/>
      <c r="G1" s="50"/>
      <c r="H1" s="50"/>
      <c r="I1" s="51"/>
    </row>
    <row r="2">
      <c r="A2" s="193" t="s">
        <v>215</v>
      </c>
      <c r="B2" s="194" t="s">
        <v>21</v>
      </c>
      <c r="C2" s="195" t="s">
        <v>23</v>
      </c>
      <c r="D2" s="195" t="s">
        <v>25</v>
      </c>
      <c r="E2" s="195" t="s">
        <v>27</v>
      </c>
      <c r="F2" s="195" t="s">
        <v>29</v>
      </c>
      <c r="G2" s="195" t="s">
        <v>31</v>
      </c>
      <c r="H2" s="195" t="s">
        <v>33</v>
      </c>
      <c r="I2" s="196" t="s">
        <v>35</v>
      </c>
      <c r="K2" s="197"/>
      <c r="M2" s="29" t="s">
        <v>21</v>
      </c>
      <c r="N2" s="36" t="s">
        <v>23</v>
      </c>
      <c r="O2" s="36" t="s">
        <v>25</v>
      </c>
      <c r="P2" s="36" t="s">
        <v>27</v>
      </c>
      <c r="Q2" s="36" t="s">
        <v>29</v>
      </c>
      <c r="R2" s="36" t="s">
        <v>31</v>
      </c>
      <c r="S2" s="57" t="s">
        <v>33</v>
      </c>
      <c r="T2" s="39" t="s">
        <v>35</v>
      </c>
    </row>
    <row r="3" ht="14.25" customHeight="1">
      <c r="A3" s="198" t="s">
        <v>216</v>
      </c>
      <c r="B3" s="199" t="s">
        <v>217</v>
      </c>
      <c r="C3" s="200"/>
      <c r="D3" s="200" t="s">
        <v>218</v>
      </c>
      <c r="E3" s="200" t="s">
        <v>219</v>
      </c>
      <c r="F3" s="200" t="s">
        <v>220</v>
      </c>
      <c r="G3" s="200" t="s">
        <v>221</v>
      </c>
      <c r="H3" s="200" t="s">
        <v>222</v>
      </c>
      <c r="I3" s="201"/>
      <c r="K3" s="197"/>
    </row>
    <row r="4" ht="14.25" customHeight="1">
      <c r="A4" s="202" t="s">
        <v>223</v>
      </c>
      <c r="B4" s="203" t="s">
        <v>224</v>
      </c>
      <c r="C4" s="204"/>
      <c r="D4" s="204" t="s">
        <v>225</v>
      </c>
      <c r="E4" s="204" t="s">
        <v>226</v>
      </c>
      <c r="F4" s="204" t="s">
        <v>227</v>
      </c>
      <c r="G4" s="204" t="s">
        <v>228</v>
      </c>
      <c r="H4" s="204" t="s">
        <v>229</v>
      </c>
      <c r="I4" s="205"/>
      <c r="K4" s="197"/>
    </row>
    <row r="5" ht="14.25" customHeight="1">
      <c r="A5" s="202" t="s">
        <v>230</v>
      </c>
      <c r="B5" s="203" t="s">
        <v>231</v>
      </c>
      <c r="C5" s="204"/>
      <c r="D5" s="204" t="s">
        <v>232</v>
      </c>
      <c r="E5" s="204" t="s">
        <v>233</v>
      </c>
      <c r="F5" s="204"/>
      <c r="G5" s="204"/>
      <c r="H5" s="204" t="s">
        <v>234</v>
      </c>
      <c r="I5" s="205"/>
      <c r="K5" s="197"/>
    </row>
    <row r="6" ht="14.25" customHeight="1">
      <c r="A6" s="202" t="s">
        <v>235</v>
      </c>
      <c r="B6" s="203" t="s">
        <v>236</v>
      </c>
      <c r="C6" s="204"/>
      <c r="D6" s="204" t="s">
        <v>237</v>
      </c>
      <c r="E6" s="204" t="s">
        <v>238</v>
      </c>
      <c r="F6" s="204"/>
      <c r="G6" s="204"/>
      <c r="H6" s="204" t="s">
        <v>239</v>
      </c>
      <c r="I6" s="205"/>
      <c r="K6" s="197"/>
    </row>
    <row r="7" ht="14.25" customHeight="1">
      <c r="A7" s="202" t="s">
        <v>240</v>
      </c>
      <c r="B7" s="203" t="s">
        <v>241</v>
      </c>
      <c r="C7" s="204"/>
      <c r="D7" s="204" t="s">
        <v>242</v>
      </c>
      <c r="E7" s="204" t="s">
        <v>243</v>
      </c>
      <c r="F7" s="204"/>
      <c r="G7" s="204"/>
      <c r="H7" s="204" t="s">
        <v>244</v>
      </c>
      <c r="I7" s="205"/>
      <c r="K7" s="197"/>
    </row>
    <row r="8" ht="14.25" customHeight="1">
      <c r="A8" s="202" t="s">
        <v>245</v>
      </c>
      <c r="B8" s="203" t="s">
        <v>246</v>
      </c>
      <c r="C8" s="204"/>
      <c r="D8" s="204" t="s">
        <v>247</v>
      </c>
      <c r="E8" s="204" t="s">
        <v>248</v>
      </c>
      <c r="F8" s="204"/>
      <c r="G8" s="204"/>
      <c r="H8" s="204" t="s">
        <v>249</v>
      </c>
      <c r="I8" s="205"/>
      <c r="K8" s="197"/>
    </row>
    <row r="9" ht="14.25" customHeight="1">
      <c r="A9" s="202" t="s">
        <v>250</v>
      </c>
      <c r="B9" s="203" t="s">
        <v>251</v>
      </c>
      <c r="C9" s="204"/>
      <c r="D9" s="204" t="s">
        <v>252</v>
      </c>
      <c r="E9" s="204" t="s">
        <v>253</v>
      </c>
      <c r="F9" s="204"/>
      <c r="G9" s="204"/>
      <c r="H9" s="204" t="s">
        <v>254</v>
      </c>
      <c r="I9" s="205"/>
      <c r="K9" s="197"/>
    </row>
    <row r="10" ht="14.25" customHeight="1">
      <c r="A10" s="202" t="s">
        <v>255</v>
      </c>
      <c r="B10" s="203" t="s">
        <v>256</v>
      </c>
      <c r="C10" s="204"/>
      <c r="D10" s="204" t="s">
        <v>257</v>
      </c>
      <c r="E10" s="204" t="s">
        <v>258</v>
      </c>
      <c r="F10" s="204"/>
      <c r="G10" s="204"/>
      <c r="H10" s="204" t="s">
        <v>259</v>
      </c>
      <c r="I10" s="205"/>
    </row>
    <row r="11" ht="14.25" customHeight="1">
      <c r="A11" s="202" t="s">
        <v>260</v>
      </c>
      <c r="B11" s="203" t="s">
        <v>261</v>
      </c>
      <c r="C11" s="204"/>
      <c r="D11" s="204" t="s">
        <v>262</v>
      </c>
      <c r="E11" s="204" t="s">
        <v>263</v>
      </c>
      <c r="F11" s="204"/>
      <c r="G11" s="204"/>
      <c r="H11" s="204" t="s">
        <v>264</v>
      </c>
      <c r="I11" s="205" t="s">
        <v>265</v>
      </c>
    </row>
    <row r="12" ht="14.25" customHeight="1">
      <c r="A12" s="202" t="s">
        <v>266</v>
      </c>
      <c r="B12" s="203" t="s">
        <v>267</v>
      </c>
      <c r="C12" s="204"/>
      <c r="D12" s="204" t="s">
        <v>268</v>
      </c>
      <c r="E12" s="204"/>
      <c r="F12" s="204"/>
      <c r="G12" s="204"/>
      <c r="H12" s="204" t="s">
        <v>269</v>
      </c>
      <c r="I12" s="205" t="s">
        <v>270</v>
      </c>
    </row>
    <row r="13" ht="14.25" customHeight="1">
      <c r="A13" s="202" t="s">
        <v>271</v>
      </c>
      <c r="B13" s="203" t="s">
        <v>272</v>
      </c>
      <c r="C13" s="204"/>
      <c r="D13" s="204" t="s">
        <v>273</v>
      </c>
      <c r="E13" s="204"/>
      <c r="F13" s="204"/>
      <c r="G13" s="204"/>
      <c r="H13" s="204" t="s">
        <v>274</v>
      </c>
      <c r="I13" s="205" t="s">
        <v>275</v>
      </c>
    </row>
    <row r="14" ht="14.25" customHeight="1">
      <c r="A14" s="202" t="s">
        <v>276</v>
      </c>
      <c r="B14" s="203" t="s">
        <v>277</v>
      </c>
      <c r="C14" s="204"/>
      <c r="D14" s="204" t="s">
        <v>278</v>
      </c>
      <c r="E14" s="204"/>
      <c r="F14" s="204"/>
      <c r="G14" s="204"/>
      <c r="H14" s="204" t="s">
        <v>279</v>
      </c>
      <c r="I14" s="205" t="s">
        <v>280</v>
      </c>
    </row>
    <row r="15" ht="14.25" customHeight="1">
      <c r="A15" s="206" t="s">
        <v>281</v>
      </c>
      <c r="B15" s="207">
        <v>374.75</v>
      </c>
      <c r="C15" s="208"/>
      <c r="D15" s="208">
        <v>939.0833333333334</v>
      </c>
      <c r="E15" s="208">
        <v>374.55555555555554</v>
      </c>
      <c r="F15" s="208">
        <v>256.5</v>
      </c>
      <c r="G15" s="208">
        <v>385.0</v>
      </c>
      <c r="H15" s="209">
        <v>531.7684166666667</v>
      </c>
      <c r="I15" s="210">
        <v>1070.5</v>
      </c>
      <c r="J15" s="211"/>
      <c r="K15" s="211"/>
      <c r="L15" s="211"/>
      <c r="M15" s="211"/>
      <c r="N15" s="211"/>
      <c r="O15" s="211"/>
      <c r="P15" s="211"/>
      <c r="Q15" s="211"/>
      <c r="R15" s="211"/>
      <c r="S15" s="211"/>
      <c r="T15" s="211"/>
      <c r="U15" s="211"/>
      <c r="V15" s="211"/>
      <c r="W15" s="211"/>
      <c r="X15" s="211"/>
      <c r="Y15" s="211"/>
      <c r="Z15" s="211"/>
      <c r="AA15" s="211"/>
      <c r="AB15" s="211"/>
    </row>
    <row r="16" ht="14.25" customHeight="1">
      <c r="A16" s="211"/>
      <c r="B16" s="211"/>
      <c r="C16" s="211"/>
      <c r="D16" s="211"/>
      <c r="E16" s="211"/>
      <c r="F16" s="211"/>
      <c r="G16" s="211"/>
      <c r="H16" s="211"/>
      <c r="I16" s="211"/>
    </row>
    <row r="17" ht="14.25" customHeight="1">
      <c r="A17" s="192" t="s">
        <v>282</v>
      </c>
      <c r="B17" s="50"/>
      <c r="C17" s="50"/>
      <c r="D17" s="50"/>
      <c r="E17" s="50"/>
      <c r="F17" s="50"/>
      <c r="G17" s="50"/>
      <c r="H17" s="50"/>
      <c r="I17" s="51"/>
    </row>
    <row r="18" ht="25.5" customHeight="1">
      <c r="A18" s="144" t="s">
        <v>215</v>
      </c>
      <c r="B18" s="212" t="s">
        <v>21</v>
      </c>
      <c r="C18" s="213" t="s">
        <v>23</v>
      </c>
      <c r="D18" s="213" t="s">
        <v>25</v>
      </c>
      <c r="E18" s="213" t="s">
        <v>27</v>
      </c>
      <c r="F18" s="213" t="s">
        <v>29</v>
      </c>
      <c r="G18" s="213" t="s">
        <v>31</v>
      </c>
      <c r="H18" s="213" t="s">
        <v>33</v>
      </c>
      <c r="I18" s="214" t="s">
        <v>35</v>
      </c>
    </row>
    <row r="19" ht="14.25" customHeight="1">
      <c r="A19" s="198" t="s">
        <v>216</v>
      </c>
      <c r="B19" s="199"/>
      <c r="C19" s="200"/>
      <c r="D19" s="200"/>
      <c r="E19" s="200"/>
      <c r="F19" s="200"/>
      <c r="G19" s="200"/>
      <c r="H19" s="200"/>
      <c r="I19" s="201"/>
    </row>
    <row r="20" ht="14.25" customHeight="1">
      <c r="A20" s="202" t="s">
        <v>223</v>
      </c>
      <c r="B20" s="203"/>
      <c r="C20" s="204"/>
      <c r="D20" s="204"/>
      <c r="E20" s="204"/>
      <c r="F20" s="204"/>
      <c r="G20" s="204"/>
      <c r="H20" s="204"/>
      <c r="I20" s="205"/>
    </row>
    <row r="21" ht="14.25" customHeight="1">
      <c r="A21" s="202" t="s">
        <v>230</v>
      </c>
      <c r="B21" s="203"/>
      <c r="C21" s="204"/>
      <c r="D21" s="204"/>
      <c r="E21" s="204"/>
      <c r="F21" s="204"/>
      <c r="G21" s="204"/>
      <c r="H21" s="204"/>
      <c r="I21" s="205"/>
    </row>
    <row r="22" ht="14.25" customHeight="1">
      <c r="A22" s="202" t="s">
        <v>235</v>
      </c>
      <c r="B22" s="203"/>
      <c r="C22" s="204"/>
      <c r="D22" s="204"/>
      <c r="E22" s="204"/>
      <c r="F22" s="204"/>
      <c r="G22" s="204"/>
      <c r="H22" s="204"/>
      <c r="I22" s="205"/>
    </row>
    <row r="23" ht="14.25" customHeight="1">
      <c r="A23" s="202" t="s">
        <v>240</v>
      </c>
      <c r="B23" s="203"/>
      <c r="C23" s="204"/>
      <c r="D23" s="204"/>
      <c r="E23" s="204"/>
      <c r="F23" s="204"/>
      <c r="G23" s="204"/>
      <c r="H23" s="204"/>
      <c r="I23" s="205"/>
    </row>
    <row r="24" ht="14.25" customHeight="1">
      <c r="A24" s="202" t="s">
        <v>245</v>
      </c>
      <c r="B24" s="203"/>
      <c r="C24" s="204"/>
      <c r="D24" s="204"/>
      <c r="E24" s="204"/>
      <c r="F24" s="204"/>
      <c r="G24" s="204"/>
      <c r="H24" s="204"/>
      <c r="I24" s="205"/>
    </row>
    <row r="25" ht="14.25" customHeight="1">
      <c r="A25" s="202" t="s">
        <v>250</v>
      </c>
      <c r="B25" s="203"/>
      <c r="C25" s="204"/>
      <c r="D25" s="204" t="s">
        <v>283</v>
      </c>
      <c r="E25" s="204"/>
      <c r="F25" s="204"/>
      <c r="G25" s="204"/>
      <c r="H25" s="204"/>
      <c r="I25" s="205"/>
    </row>
    <row r="26" ht="14.25" customHeight="1">
      <c r="A26" s="202" t="s">
        <v>255</v>
      </c>
      <c r="B26" s="203"/>
      <c r="C26" s="204"/>
      <c r="D26" s="204"/>
      <c r="E26" s="204"/>
      <c r="F26" s="204"/>
      <c r="G26" s="204"/>
      <c r="H26" s="204"/>
      <c r="I26" s="205"/>
    </row>
    <row r="27" ht="14.25" customHeight="1">
      <c r="A27" s="202" t="s">
        <v>260</v>
      </c>
      <c r="B27" s="203"/>
      <c r="C27" s="204"/>
      <c r="D27" s="204"/>
      <c r="E27" s="204"/>
      <c r="F27" s="204"/>
      <c r="G27" s="204"/>
      <c r="H27" s="204"/>
      <c r="I27" s="205"/>
    </row>
    <row r="28" ht="14.25" customHeight="1">
      <c r="A28" s="202" t="s">
        <v>266</v>
      </c>
      <c r="B28" s="203"/>
      <c r="C28" s="204"/>
      <c r="D28" s="204"/>
      <c r="E28" s="204"/>
      <c r="F28" s="204"/>
      <c r="G28" s="204"/>
      <c r="H28" s="204"/>
      <c r="I28" s="205"/>
    </row>
    <row r="29" ht="14.25" customHeight="1">
      <c r="A29" s="202" t="s">
        <v>271</v>
      </c>
      <c r="B29" s="203"/>
      <c r="C29" s="204"/>
      <c r="D29" s="204"/>
      <c r="E29" s="204"/>
      <c r="F29" s="204"/>
      <c r="G29" s="204"/>
      <c r="H29" s="204"/>
      <c r="I29" s="205"/>
    </row>
    <row r="30" ht="14.25" customHeight="1">
      <c r="A30" s="202" t="s">
        <v>276</v>
      </c>
      <c r="B30" s="203"/>
      <c r="C30" s="204"/>
      <c r="D30" s="204"/>
      <c r="E30" s="204"/>
      <c r="F30" s="204"/>
      <c r="G30" s="204"/>
      <c r="H30" s="204"/>
      <c r="I30" s="205"/>
    </row>
    <row r="31" ht="14.25" customHeight="1">
      <c r="A31" s="206" t="s">
        <v>281</v>
      </c>
      <c r="B31" s="215"/>
      <c r="C31" s="216"/>
      <c r="D31" s="208">
        <v>26976.0</v>
      </c>
      <c r="E31" s="216"/>
      <c r="F31" s="216"/>
      <c r="G31" s="216"/>
      <c r="H31" s="217"/>
      <c r="I31" s="218"/>
      <c r="J31" s="211"/>
      <c r="K31" s="211"/>
      <c r="L31" s="211"/>
      <c r="M31" s="211"/>
      <c r="N31" s="211"/>
      <c r="O31" s="211"/>
      <c r="P31" s="211"/>
      <c r="Q31" s="211"/>
      <c r="R31" s="211"/>
      <c r="S31" s="211"/>
      <c r="T31" s="211"/>
      <c r="U31" s="211"/>
      <c r="V31" s="211"/>
      <c r="W31" s="211"/>
      <c r="X31" s="211"/>
      <c r="Y31" s="211"/>
      <c r="Z31" s="211"/>
      <c r="AA31" s="211"/>
      <c r="AB31" s="211"/>
    </row>
    <row r="32" ht="14.25" customHeight="1">
      <c r="A32" s="211"/>
      <c r="B32" s="211"/>
      <c r="C32" s="211"/>
      <c r="D32" s="211"/>
      <c r="E32" s="211"/>
      <c r="F32" s="211"/>
      <c r="G32" s="211"/>
      <c r="H32" s="211"/>
      <c r="I32" s="211"/>
    </row>
    <row r="33" ht="14.25" customHeight="1">
      <c r="A33" s="192" t="s">
        <v>284</v>
      </c>
      <c r="B33" s="50"/>
      <c r="C33" s="50"/>
      <c r="D33" s="50"/>
      <c r="E33" s="50"/>
      <c r="F33" s="50"/>
      <c r="G33" s="50"/>
      <c r="H33" s="50"/>
      <c r="I33" s="51"/>
    </row>
    <row r="34" ht="21.75" customHeight="1">
      <c r="A34" s="193" t="s">
        <v>215</v>
      </c>
      <c r="B34" s="194" t="s">
        <v>21</v>
      </c>
      <c r="C34" s="195" t="s">
        <v>23</v>
      </c>
      <c r="D34" s="195" t="s">
        <v>25</v>
      </c>
      <c r="E34" s="195" t="s">
        <v>27</v>
      </c>
      <c r="F34" s="195" t="s">
        <v>29</v>
      </c>
      <c r="G34" s="195" t="s">
        <v>31</v>
      </c>
      <c r="H34" s="195" t="s">
        <v>33</v>
      </c>
      <c r="I34" s="196" t="s">
        <v>35</v>
      </c>
    </row>
    <row r="35" ht="14.25" customHeight="1">
      <c r="A35" s="198" t="s">
        <v>216</v>
      </c>
      <c r="B35" s="199"/>
      <c r="C35" s="200"/>
      <c r="D35" s="200" t="s">
        <v>285</v>
      </c>
      <c r="E35" s="200" t="s">
        <v>286</v>
      </c>
      <c r="F35" s="200"/>
      <c r="G35" s="200"/>
      <c r="H35" s="200"/>
      <c r="I35" s="201" t="s">
        <v>287</v>
      </c>
    </row>
    <row r="36" ht="14.25" customHeight="1">
      <c r="A36" s="202" t="s">
        <v>223</v>
      </c>
      <c r="B36" s="203"/>
      <c r="C36" s="204"/>
      <c r="D36" s="204" t="s">
        <v>288</v>
      </c>
      <c r="E36" s="204"/>
      <c r="F36" s="204"/>
      <c r="G36" s="204"/>
      <c r="H36" s="204"/>
      <c r="I36" s="205" t="s">
        <v>287</v>
      </c>
    </row>
    <row r="37" ht="14.25" customHeight="1">
      <c r="A37" s="202" t="s">
        <v>230</v>
      </c>
      <c r="B37" s="203"/>
      <c r="C37" s="204" t="s">
        <v>289</v>
      </c>
      <c r="D37" s="204" t="s">
        <v>290</v>
      </c>
      <c r="E37" s="204"/>
      <c r="F37" s="204"/>
      <c r="G37" s="204"/>
      <c r="H37" s="204"/>
      <c r="I37" s="205" t="s">
        <v>291</v>
      </c>
    </row>
    <row r="38" ht="14.25" customHeight="1">
      <c r="A38" s="202" t="s">
        <v>235</v>
      </c>
      <c r="B38" s="203"/>
      <c r="C38" s="204"/>
      <c r="D38" s="204" t="s">
        <v>292</v>
      </c>
      <c r="E38" s="204"/>
      <c r="F38" s="204"/>
      <c r="G38" s="204"/>
      <c r="H38" s="204"/>
      <c r="I38" s="205" t="s">
        <v>293</v>
      </c>
    </row>
    <row r="39" ht="14.25" customHeight="1">
      <c r="A39" s="202" t="s">
        <v>240</v>
      </c>
      <c r="B39" s="203"/>
      <c r="C39" s="204"/>
      <c r="D39" s="204" t="s">
        <v>294</v>
      </c>
      <c r="E39" s="204"/>
      <c r="F39" s="204"/>
      <c r="G39" s="204"/>
      <c r="H39" s="204"/>
      <c r="I39" s="205" t="s">
        <v>295</v>
      </c>
    </row>
    <row r="40" ht="14.25" customHeight="1">
      <c r="A40" s="202" t="s">
        <v>245</v>
      </c>
      <c r="B40" s="203"/>
      <c r="C40" s="204"/>
      <c r="D40" s="204" t="s">
        <v>296</v>
      </c>
      <c r="E40" s="204"/>
      <c r="F40" s="204" t="s">
        <v>297</v>
      </c>
      <c r="G40" s="204"/>
      <c r="H40" s="204"/>
      <c r="I40" s="205" t="s">
        <v>298</v>
      </c>
    </row>
    <row r="41" ht="14.25" customHeight="1">
      <c r="A41" s="202" t="s">
        <v>250</v>
      </c>
      <c r="B41" s="203"/>
      <c r="C41" s="204" t="s">
        <v>299</v>
      </c>
      <c r="D41" s="204" t="s">
        <v>300</v>
      </c>
      <c r="E41" s="204"/>
      <c r="F41" s="204" t="s">
        <v>297</v>
      </c>
      <c r="G41" s="204"/>
      <c r="H41" s="204"/>
      <c r="I41" s="205" t="s">
        <v>301</v>
      </c>
    </row>
    <row r="42" ht="14.25" customHeight="1">
      <c r="A42" s="202" t="s">
        <v>255</v>
      </c>
      <c r="B42" s="203"/>
      <c r="C42" s="204"/>
      <c r="D42" s="204" t="s">
        <v>302</v>
      </c>
      <c r="E42" s="204"/>
      <c r="F42" s="204" t="s">
        <v>297</v>
      </c>
      <c r="G42" s="204"/>
      <c r="H42" s="204"/>
      <c r="I42" s="205" t="s">
        <v>298</v>
      </c>
    </row>
    <row r="43" ht="14.25" customHeight="1">
      <c r="A43" s="202" t="s">
        <v>260</v>
      </c>
      <c r="B43" s="203"/>
      <c r="C43" s="204" t="s">
        <v>303</v>
      </c>
      <c r="D43" s="204" t="s">
        <v>304</v>
      </c>
      <c r="E43" s="204"/>
      <c r="F43" s="204" t="s">
        <v>305</v>
      </c>
      <c r="G43" s="204"/>
      <c r="H43" s="204"/>
      <c r="I43" s="205" t="s">
        <v>306</v>
      </c>
    </row>
    <row r="44" ht="14.25" customHeight="1">
      <c r="A44" s="202" t="s">
        <v>266</v>
      </c>
      <c r="B44" s="203"/>
      <c r="C44" s="204" t="s">
        <v>297</v>
      </c>
      <c r="D44" s="204" t="s">
        <v>307</v>
      </c>
      <c r="E44" s="204"/>
      <c r="F44" s="204" t="s">
        <v>305</v>
      </c>
      <c r="G44" s="204"/>
      <c r="H44" s="204"/>
      <c r="I44" s="205" t="s">
        <v>308</v>
      </c>
    </row>
    <row r="45" ht="14.25" customHeight="1">
      <c r="A45" s="202" t="s">
        <v>271</v>
      </c>
      <c r="B45" s="203"/>
      <c r="C45" s="204" t="s">
        <v>309</v>
      </c>
      <c r="D45" s="204" t="s">
        <v>310</v>
      </c>
      <c r="E45" s="204"/>
      <c r="F45" s="204" t="s">
        <v>297</v>
      </c>
      <c r="G45" s="204"/>
      <c r="H45" s="204"/>
      <c r="I45" s="205" t="s">
        <v>311</v>
      </c>
    </row>
    <row r="46" ht="14.25" customHeight="1">
      <c r="A46" s="202" t="s">
        <v>276</v>
      </c>
      <c r="B46" s="203"/>
      <c r="C46" s="204" t="s">
        <v>312</v>
      </c>
      <c r="D46" s="204" t="s">
        <v>313</v>
      </c>
      <c r="E46" s="204"/>
      <c r="F46" s="204" t="s">
        <v>314</v>
      </c>
      <c r="G46" s="204"/>
      <c r="H46" s="204"/>
      <c r="I46" s="205" t="s">
        <v>315</v>
      </c>
    </row>
    <row r="47" ht="14.25" customHeight="1">
      <c r="A47" s="206" t="s">
        <v>281</v>
      </c>
      <c r="B47" s="215"/>
      <c r="C47" s="219">
        <v>7072.833333333333</v>
      </c>
      <c r="D47" s="219">
        <v>920.3358333333332</v>
      </c>
      <c r="E47" s="219">
        <v>2454.0</v>
      </c>
      <c r="F47" s="219">
        <v>379.85714285714283</v>
      </c>
      <c r="G47" s="219"/>
      <c r="H47" s="220"/>
      <c r="I47" s="221">
        <v>3398.4166666666665</v>
      </c>
    </row>
    <row r="48" ht="14.25" customHeight="1">
      <c r="A48" s="211"/>
      <c r="B48" s="211"/>
      <c r="C48" s="211"/>
      <c r="D48" s="211"/>
      <c r="E48" s="211"/>
      <c r="F48" s="211"/>
      <c r="G48" s="211"/>
      <c r="H48" s="211"/>
      <c r="I48" s="211"/>
    </row>
    <row r="49" ht="14.25" customHeight="1">
      <c r="A49" s="192" t="s">
        <v>316</v>
      </c>
      <c r="B49" s="50"/>
      <c r="C49" s="50"/>
      <c r="D49" s="50"/>
      <c r="E49" s="50"/>
      <c r="F49" s="50"/>
      <c r="G49" s="50"/>
      <c r="H49" s="50"/>
      <c r="I49" s="51"/>
    </row>
    <row r="50" ht="26.25" customHeight="1">
      <c r="A50" s="193" t="s">
        <v>215</v>
      </c>
      <c r="B50" s="194" t="s">
        <v>21</v>
      </c>
      <c r="C50" s="195" t="s">
        <v>23</v>
      </c>
      <c r="D50" s="195" t="s">
        <v>25</v>
      </c>
      <c r="E50" s="195" t="s">
        <v>27</v>
      </c>
      <c r="F50" s="195" t="s">
        <v>29</v>
      </c>
      <c r="G50" s="195" t="s">
        <v>31</v>
      </c>
      <c r="H50" s="195" t="s">
        <v>33</v>
      </c>
      <c r="I50" s="196" t="s">
        <v>35</v>
      </c>
    </row>
    <row r="51" ht="14.25" customHeight="1">
      <c r="A51" s="198" t="s">
        <v>216</v>
      </c>
      <c r="B51" s="199"/>
      <c r="C51" s="200" t="s">
        <v>317</v>
      </c>
      <c r="D51" s="200"/>
      <c r="E51" s="200"/>
      <c r="F51" s="200"/>
      <c r="G51" s="200" t="s">
        <v>318</v>
      </c>
      <c r="H51" s="200"/>
      <c r="I51" s="201"/>
    </row>
    <row r="52" ht="14.25" customHeight="1">
      <c r="A52" s="202" t="s">
        <v>223</v>
      </c>
      <c r="B52" s="203"/>
      <c r="C52" s="204" t="s">
        <v>319</v>
      </c>
      <c r="D52" s="204"/>
      <c r="E52" s="204"/>
      <c r="F52" s="204"/>
      <c r="G52" s="204" t="s">
        <v>317</v>
      </c>
      <c r="H52" s="204"/>
      <c r="I52" s="205"/>
    </row>
    <row r="53" ht="14.25" customHeight="1">
      <c r="A53" s="202" t="s">
        <v>230</v>
      </c>
      <c r="B53" s="203"/>
      <c r="C53" s="204" t="s">
        <v>320</v>
      </c>
      <c r="D53" s="204"/>
      <c r="E53" s="204"/>
      <c r="F53" s="204"/>
      <c r="G53" s="204" t="s">
        <v>321</v>
      </c>
      <c r="H53" s="204"/>
      <c r="I53" s="205"/>
    </row>
    <row r="54" ht="14.25" customHeight="1">
      <c r="A54" s="202" t="s">
        <v>235</v>
      </c>
      <c r="B54" s="203"/>
      <c r="C54" s="204" t="s">
        <v>320</v>
      </c>
      <c r="D54" s="204"/>
      <c r="E54" s="204"/>
      <c r="F54" s="204"/>
      <c r="G54" s="204" t="s">
        <v>317</v>
      </c>
      <c r="H54" s="204" t="s">
        <v>322</v>
      </c>
      <c r="I54" s="205"/>
    </row>
    <row r="55" ht="14.25" customHeight="1">
      <c r="A55" s="202" t="s">
        <v>240</v>
      </c>
      <c r="B55" s="203"/>
      <c r="C55" s="204" t="s">
        <v>323</v>
      </c>
      <c r="D55" s="204"/>
      <c r="E55" s="204"/>
      <c r="F55" s="204"/>
      <c r="G55" s="204" t="s">
        <v>317</v>
      </c>
      <c r="H55" s="204" t="s">
        <v>324</v>
      </c>
      <c r="I55" s="205"/>
    </row>
    <row r="56" ht="14.25" customHeight="1">
      <c r="A56" s="202" t="s">
        <v>245</v>
      </c>
      <c r="B56" s="203"/>
      <c r="C56" s="204" t="s">
        <v>325</v>
      </c>
      <c r="D56" s="204"/>
      <c r="E56" s="204"/>
      <c r="F56" s="204"/>
      <c r="G56" s="204" t="s">
        <v>326</v>
      </c>
      <c r="H56" s="204"/>
      <c r="I56" s="205"/>
    </row>
    <row r="57" ht="14.25" customHeight="1">
      <c r="A57" s="202" t="s">
        <v>250</v>
      </c>
      <c r="B57" s="203"/>
      <c r="C57" s="204" t="s">
        <v>323</v>
      </c>
      <c r="D57" s="204" t="s">
        <v>327</v>
      </c>
      <c r="E57" s="204"/>
      <c r="F57" s="204"/>
      <c r="G57" s="204" t="s">
        <v>328</v>
      </c>
      <c r="H57" s="204"/>
      <c r="I57" s="205"/>
    </row>
    <row r="58" ht="14.25" customHeight="1">
      <c r="A58" s="202" t="s">
        <v>255</v>
      </c>
      <c r="B58" s="203"/>
      <c r="C58" s="204" t="s">
        <v>329</v>
      </c>
      <c r="D58" s="204"/>
      <c r="E58" s="204"/>
      <c r="F58" s="204"/>
      <c r="G58" s="204" t="s">
        <v>330</v>
      </c>
      <c r="H58" s="204"/>
      <c r="I58" s="205"/>
    </row>
    <row r="59" ht="14.25" customHeight="1">
      <c r="A59" s="202" t="s">
        <v>260</v>
      </c>
      <c r="B59" s="203"/>
      <c r="C59" s="204" t="s">
        <v>331</v>
      </c>
      <c r="D59" s="204"/>
      <c r="E59" s="204"/>
      <c r="F59" s="204"/>
      <c r="G59" s="204" t="s">
        <v>332</v>
      </c>
      <c r="H59" s="204"/>
      <c r="I59" s="205"/>
    </row>
    <row r="60" ht="14.25" customHeight="1">
      <c r="A60" s="202" t="s">
        <v>266</v>
      </c>
      <c r="B60" s="203"/>
      <c r="C60" s="204" t="s">
        <v>333</v>
      </c>
      <c r="D60" s="204"/>
      <c r="E60" s="204"/>
      <c r="F60" s="204"/>
      <c r="G60" s="204" t="s">
        <v>332</v>
      </c>
      <c r="H60" s="204"/>
      <c r="I60" s="205"/>
    </row>
    <row r="61" ht="14.25" customHeight="1">
      <c r="A61" s="202" t="s">
        <v>271</v>
      </c>
      <c r="B61" s="203"/>
      <c r="C61" s="204" t="s">
        <v>323</v>
      </c>
      <c r="D61" s="204"/>
      <c r="E61" s="204"/>
      <c r="F61" s="204"/>
      <c r="G61" s="204" t="s">
        <v>334</v>
      </c>
      <c r="H61" s="204"/>
      <c r="I61" s="205"/>
    </row>
    <row r="62" ht="14.25" customHeight="1">
      <c r="A62" s="202" t="s">
        <v>276</v>
      </c>
      <c r="B62" s="203"/>
      <c r="C62" s="204" t="s">
        <v>330</v>
      </c>
      <c r="D62" s="204"/>
      <c r="E62" s="204"/>
      <c r="F62" s="204"/>
      <c r="G62" s="204" t="s">
        <v>335</v>
      </c>
      <c r="H62" s="204"/>
      <c r="I62" s="205"/>
    </row>
    <row r="63" ht="14.25" customHeight="1">
      <c r="A63" s="206" t="s">
        <v>281</v>
      </c>
      <c r="B63" s="215"/>
      <c r="C63" s="219">
        <v>387.0</v>
      </c>
      <c r="D63" s="219">
        <v>532.0</v>
      </c>
      <c r="E63" s="219"/>
      <c r="F63" s="219"/>
      <c r="G63" s="219">
        <v>369.6666666666667</v>
      </c>
      <c r="H63" s="220">
        <v>1252.5</v>
      </c>
      <c r="I63" s="221"/>
    </row>
    <row r="64" ht="14.25" customHeight="1">
      <c r="A64" s="211"/>
      <c r="B64" s="211"/>
      <c r="C64" s="211"/>
      <c r="D64" s="211"/>
      <c r="E64" s="211"/>
      <c r="F64" s="211"/>
      <c r="G64" s="211"/>
      <c r="H64" s="211"/>
      <c r="I64" s="211"/>
    </row>
    <row r="65" ht="14.25" customHeight="1">
      <c r="A65" s="192" t="s">
        <v>336</v>
      </c>
      <c r="B65" s="50"/>
      <c r="C65" s="50"/>
      <c r="D65" s="50"/>
      <c r="E65" s="50"/>
      <c r="F65" s="50"/>
      <c r="G65" s="50"/>
      <c r="H65" s="50"/>
      <c r="I65" s="51"/>
    </row>
    <row r="66" ht="22.5" customHeight="1">
      <c r="A66" s="193" t="s">
        <v>215</v>
      </c>
      <c r="B66" s="194" t="s">
        <v>21</v>
      </c>
      <c r="C66" s="195" t="s">
        <v>23</v>
      </c>
      <c r="D66" s="195" t="s">
        <v>25</v>
      </c>
      <c r="E66" s="195" t="s">
        <v>27</v>
      </c>
      <c r="F66" s="195" t="s">
        <v>29</v>
      </c>
      <c r="G66" s="195" t="s">
        <v>31</v>
      </c>
      <c r="H66" s="195" t="s">
        <v>33</v>
      </c>
      <c r="I66" s="196" t="s">
        <v>35</v>
      </c>
    </row>
    <row r="67" ht="14.25" customHeight="1">
      <c r="A67" s="198" t="s">
        <v>216</v>
      </c>
      <c r="B67" s="199"/>
      <c r="C67" s="200" t="s">
        <v>337</v>
      </c>
      <c r="D67" s="200"/>
      <c r="E67" s="200"/>
      <c r="F67" s="200"/>
      <c r="G67" s="200"/>
      <c r="H67" s="200"/>
      <c r="I67" s="201"/>
    </row>
    <row r="68" ht="14.25" customHeight="1">
      <c r="A68" s="202" t="s">
        <v>223</v>
      </c>
      <c r="B68" s="203"/>
      <c r="C68" s="204"/>
      <c r="D68" s="204"/>
      <c r="E68" s="204"/>
      <c r="F68" s="204"/>
      <c r="G68" s="204"/>
      <c r="H68" s="204"/>
      <c r="I68" s="205"/>
    </row>
    <row r="69" ht="14.25" customHeight="1">
      <c r="A69" s="202" t="s">
        <v>230</v>
      </c>
      <c r="B69" s="203"/>
      <c r="C69" s="204" t="s">
        <v>337</v>
      </c>
      <c r="D69" s="204"/>
      <c r="E69" s="204"/>
      <c r="F69" s="204"/>
      <c r="G69" s="204"/>
      <c r="H69" s="204"/>
      <c r="I69" s="205"/>
    </row>
    <row r="70" ht="14.25" customHeight="1">
      <c r="A70" s="202" t="s">
        <v>235</v>
      </c>
      <c r="B70" s="203"/>
      <c r="C70" s="204" t="s">
        <v>337</v>
      </c>
      <c r="D70" s="204" t="s">
        <v>338</v>
      </c>
      <c r="E70" s="204"/>
      <c r="F70" s="204"/>
      <c r="G70" s="204"/>
      <c r="H70" s="204"/>
      <c r="I70" s="205"/>
    </row>
    <row r="71" ht="14.25" customHeight="1">
      <c r="A71" s="202" t="s">
        <v>240</v>
      </c>
      <c r="B71" s="203"/>
      <c r="C71" s="204" t="s">
        <v>337</v>
      </c>
      <c r="D71" s="204"/>
      <c r="E71" s="204"/>
      <c r="F71" s="204"/>
      <c r="G71" s="204"/>
      <c r="H71" s="204"/>
      <c r="I71" s="205"/>
    </row>
    <row r="72" ht="14.25" customHeight="1">
      <c r="A72" s="202" t="s">
        <v>245</v>
      </c>
      <c r="B72" s="203"/>
      <c r="C72" s="204" t="s">
        <v>337</v>
      </c>
      <c r="D72" s="204"/>
      <c r="E72" s="204"/>
      <c r="F72" s="204"/>
      <c r="G72" s="204"/>
      <c r="H72" s="204"/>
      <c r="I72" s="205"/>
    </row>
    <row r="73" ht="14.25" customHeight="1">
      <c r="A73" s="202" t="s">
        <v>250</v>
      </c>
      <c r="B73" s="203"/>
      <c r="C73" s="204" t="s">
        <v>337</v>
      </c>
      <c r="D73" s="204"/>
      <c r="E73" s="204"/>
      <c r="F73" s="204"/>
      <c r="G73" s="204"/>
      <c r="H73" s="204"/>
      <c r="I73" s="205"/>
    </row>
    <row r="74" ht="14.25" customHeight="1">
      <c r="A74" s="202" t="s">
        <v>255</v>
      </c>
      <c r="B74" s="203"/>
      <c r="C74" s="204" t="s">
        <v>337</v>
      </c>
      <c r="D74" s="204"/>
      <c r="E74" s="204"/>
      <c r="F74" s="204"/>
      <c r="G74" s="204"/>
      <c r="H74" s="204"/>
      <c r="I74" s="205"/>
    </row>
    <row r="75" ht="14.25" customHeight="1">
      <c r="A75" s="202" t="s">
        <v>260</v>
      </c>
      <c r="B75" s="203"/>
      <c r="C75" s="204" t="s">
        <v>337</v>
      </c>
      <c r="D75" s="204"/>
      <c r="E75" s="204"/>
      <c r="F75" s="204"/>
      <c r="G75" s="204" t="s">
        <v>339</v>
      </c>
      <c r="H75" s="204"/>
      <c r="I75" s="205"/>
    </row>
    <row r="76" ht="14.25" customHeight="1">
      <c r="A76" s="202" t="s">
        <v>266</v>
      </c>
      <c r="B76" s="203"/>
      <c r="C76" s="204" t="s">
        <v>337</v>
      </c>
      <c r="D76" s="204"/>
      <c r="E76" s="204"/>
      <c r="F76" s="204"/>
      <c r="G76" s="204"/>
      <c r="H76" s="204"/>
      <c r="I76" s="205"/>
    </row>
    <row r="77" ht="14.25" customHeight="1">
      <c r="A77" s="202" t="s">
        <v>271</v>
      </c>
      <c r="B77" s="203"/>
      <c r="C77" s="204"/>
      <c r="D77" s="204"/>
      <c r="E77" s="204"/>
      <c r="F77" s="204"/>
      <c r="G77" s="204"/>
      <c r="H77" s="204"/>
      <c r="I77" s="205"/>
    </row>
    <row r="78" ht="14.25" customHeight="1">
      <c r="A78" s="202" t="s">
        <v>276</v>
      </c>
      <c r="B78" s="203"/>
      <c r="C78" s="204"/>
      <c r="D78" s="204"/>
      <c r="E78" s="204"/>
      <c r="F78" s="204"/>
      <c r="G78" s="204"/>
      <c r="H78" s="204"/>
      <c r="I78" s="205"/>
    </row>
    <row r="79" ht="14.25" customHeight="1">
      <c r="A79" s="206" t="s">
        <v>281</v>
      </c>
      <c r="B79" s="215"/>
      <c r="C79" s="208">
        <v>232.0</v>
      </c>
      <c r="D79" s="208">
        <v>1579.0</v>
      </c>
      <c r="E79" s="208"/>
      <c r="F79" s="208"/>
      <c r="G79" s="208">
        <v>292.0</v>
      </c>
      <c r="H79" s="209"/>
      <c r="I79" s="210"/>
    </row>
    <row r="80" ht="14.25" customHeight="1">
      <c r="A80" s="211"/>
      <c r="B80" s="211"/>
      <c r="C80" s="211"/>
      <c r="D80" s="211"/>
      <c r="E80" s="211"/>
      <c r="F80" s="211"/>
      <c r="G80" s="211"/>
      <c r="H80" s="211"/>
      <c r="I80" s="211"/>
    </row>
    <row r="81" ht="14.25" customHeight="1">
      <c r="A81" s="192" t="s">
        <v>340</v>
      </c>
      <c r="B81" s="50"/>
      <c r="C81" s="50"/>
      <c r="D81" s="50"/>
      <c r="E81" s="50"/>
      <c r="F81" s="50"/>
      <c r="G81" s="50"/>
      <c r="H81" s="50"/>
      <c r="I81" s="51"/>
    </row>
    <row r="82" ht="22.5" customHeight="1">
      <c r="A82" s="193" t="s">
        <v>215</v>
      </c>
      <c r="B82" s="194" t="s">
        <v>21</v>
      </c>
      <c r="C82" s="195" t="s">
        <v>23</v>
      </c>
      <c r="D82" s="195" t="s">
        <v>25</v>
      </c>
      <c r="E82" s="195" t="s">
        <v>27</v>
      </c>
      <c r="F82" s="195" t="s">
        <v>29</v>
      </c>
      <c r="G82" s="195" t="s">
        <v>31</v>
      </c>
      <c r="H82" s="195" t="s">
        <v>33</v>
      </c>
      <c r="I82" s="196" t="s">
        <v>35</v>
      </c>
    </row>
    <row r="83" ht="14.25" customHeight="1">
      <c r="A83" s="198" t="s">
        <v>216</v>
      </c>
      <c r="B83" s="199"/>
      <c r="C83" s="200"/>
      <c r="D83" s="200"/>
      <c r="E83" s="200"/>
      <c r="F83" s="200"/>
      <c r="G83" s="200"/>
      <c r="H83" s="200"/>
      <c r="I83" s="201"/>
    </row>
    <row r="84" ht="14.25" customHeight="1">
      <c r="A84" s="202" t="s">
        <v>223</v>
      </c>
      <c r="B84" s="203"/>
      <c r="C84" s="204"/>
      <c r="D84" s="204"/>
      <c r="E84" s="204"/>
      <c r="F84" s="204"/>
      <c r="G84" s="204"/>
      <c r="H84" s="204"/>
      <c r="I84" s="205"/>
    </row>
    <row r="85" ht="14.25" customHeight="1">
      <c r="A85" s="202" t="s">
        <v>230</v>
      </c>
      <c r="B85" s="203"/>
      <c r="C85" s="204"/>
      <c r="D85" s="204"/>
      <c r="E85" s="204"/>
      <c r="F85" s="204"/>
      <c r="G85" s="204"/>
      <c r="H85" s="204"/>
      <c r="I85" s="205"/>
    </row>
    <row r="86" ht="14.25" customHeight="1">
      <c r="A86" s="202" t="s">
        <v>235</v>
      </c>
      <c r="B86" s="203"/>
      <c r="C86" s="204"/>
      <c r="D86" s="204"/>
      <c r="E86" s="204"/>
      <c r="F86" s="204"/>
      <c r="G86" s="204"/>
      <c r="H86" s="204"/>
      <c r="I86" s="205"/>
    </row>
    <row r="87" ht="14.25" customHeight="1">
      <c r="A87" s="202" t="s">
        <v>240</v>
      </c>
      <c r="B87" s="203"/>
      <c r="C87" s="204"/>
      <c r="D87" s="204"/>
      <c r="E87" s="204"/>
      <c r="F87" s="204" t="s">
        <v>341</v>
      </c>
      <c r="G87" s="204"/>
      <c r="H87" s="204"/>
      <c r="I87" s="205"/>
    </row>
    <row r="88" ht="14.25" customHeight="1">
      <c r="A88" s="202" t="s">
        <v>245</v>
      </c>
      <c r="B88" s="203"/>
      <c r="C88" s="204"/>
      <c r="D88" s="204"/>
      <c r="E88" s="204"/>
      <c r="F88" s="204"/>
      <c r="G88" s="204"/>
      <c r="H88" s="204"/>
      <c r="I88" s="205"/>
    </row>
    <row r="89" ht="14.25" customHeight="1">
      <c r="A89" s="202" t="s">
        <v>250</v>
      </c>
      <c r="B89" s="203"/>
      <c r="C89" s="204"/>
      <c r="D89" s="204"/>
      <c r="E89" s="204"/>
      <c r="F89" s="204"/>
      <c r="G89" s="204"/>
      <c r="H89" s="204"/>
      <c r="I89" s="205"/>
    </row>
    <row r="90" ht="14.25" customHeight="1">
      <c r="A90" s="202" t="s">
        <v>255</v>
      </c>
      <c r="B90" s="203"/>
      <c r="C90" s="204"/>
      <c r="D90" s="204" t="s">
        <v>342</v>
      </c>
      <c r="E90" s="204"/>
      <c r="F90" s="204"/>
      <c r="G90" s="204"/>
      <c r="H90" s="204"/>
      <c r="I90" s="205"/>
    </row>
    <row r="91" ht="14.25" customHeight="1">
      <c r="A91" s="202" t="s">
        <v>260</v>
      </c>
      <c r="B91" s="203"/>
      <c r="C91" s="204"/>
      <c r="D91" s="204"/>
      <c r="E91" s="204"/>
      <c r="F91" s="204"/>
      <c r="G91" s="204"/>
      <c r="H91" s="204"/>
      <c r="I91" s="205"/>
    </row>
    <row r="92" ht="14.25" customHeight="1">
      <c r="A92" s="202" t="s">
        <v>266</v>
      </c>
      <c r="B92" s="203"/>
      <c r="C92" s="204"/>
      <c r="D92" s="204"/>
      <c r="E92" s="204"/>
      <c r="F92" s="204"/>
      <c r="G92" s="204"/>
      <c r="H92" s="204"/>
      <c r="I92" s="205"/>
    </row>
    <row r="93" ht="14.25" customHeight="1">
      <c r="A93" s="202" t="s">
        <v>271</v>
      </c>
      <c r="B93" s="203"/>
      <c r="C93" s="204"/>
      <c r="D93" s="204"/>
      <c r="E93" s="204"/>
      <c r="F93" s="204"/>
      <c r="G93" s="204"/>
      <c r="H93" s="204"/>
      <c r="I93" s="205"/>
    </row>
    <row r="94" ht="14.25" customHeight="1">
      <c r="A94" s="202" t="s">
        <v>276</v>
      </c>
      <c r="B94" s="203"/>
      <c r="C94" s="204"/>
      <c r="D94" s="204"/>
      <c r="E94" s="204"/>
      <c r="F94" s="204"/>
      <c r="G94" s="204"/>
      <c r="H94" s="204"/>
      <c r="I94" s="205"/>
    </row>
    <row r="95" ht="14.25" customHeight="1">
      <c r="A95" s="206" t="s">
        <v>281</v>
      </c>
      <c r="B95" s="215"/>
      <c r="C95" s="216"/>
      <c r="D95" s="219">
        <v>901.0</v>
      </c>
      <c r="E95" s="219"/>
      <c r="F95" s="219">
        <v>601.0</v>
      </c>
      <c r="G95" s="219"/>
      <c r="H95" s="220"/>
      <c r="I95" s="221"/>
    </row>
    <row r="96" ht="14.25" customHeight="1">
      <c r="A96" s="211"/>
      <c r="B96" s="211"/>
      <c r="C96" s="211"/>
      <c r="D96" s="211"/>
      <c r="E96" s="211"/>
      <c r="F96" s="211"/>
      <c r="G96" s="211"/>
      <c r="H96" s="211"/>
      <c r="I96" s="211"/>
    </row>
    <row r="97" ht="14.25" customHeight="1">
      <c r="A97" s="192" t="s">
        <v>343</v>
      </c>
      <c r="B97" s="50"/>
      <c r="C97" s="50"/>
      <c r="D97" s="50"/>
      <c r="E97" s="50"/>
      <c r="F97" s="50"/>
      <c r="G97" s="50"/>
      <c r="H97" s="50"/>
      <c r="I97" s="51"/>
    </row>
    <row r="98" ht="24.0" customHeight="1">
      <c r="A98" s="193" t="s">
        <v>215</v>
      </c>
      <c r="B98" s="194" t="s">
        <v>21</v>
      </c>
      <c r="C98" s="195" t="s">
        <v>23</v>
      </c>
      <c r="D98" s="195" t="s">
        <v>25</v>
      </c>
      <c r="E98" s="195" t="s">
        <v>27</v>
      </c>
      <c r="F98" s="195" t="s">
        <v>29</v>
      </c>
      <c r="G98" s="195" t="s">
        <v>31</v>
      </c>
      <c r="H98" s="195" t="s">
        <v>33</v>
      </c>
      <c r="I98" s="196" t="s">
        <v>35</v>
      </c>
    </row>
    <row r="99" ht="14.25" customHeight="1">
      <c r="A99" s="198" t="s">
        <v>216</v>
      </c>
      <c r="B99" s="199" t="s">
        <v>344</v>
      </c>
      <c r="C99" s="200"/>
      <c r="D99" s="200"/>
      <c r="E99" s="200"/>
      <c r="F99" s="200"/>
      <c r="G99" s="200"/>
      <c r="H99" s="200" t="s">
        <v>345</v>
      </c>
      <c r="I99" s="201"/>
    </row>
    <row r="100" ht="14.25" customHeight="1">
      <c r="A100" s="202" t="s">
        <v>223</v>
      </c>
      <c r="B100" s="203" t="s">
        <v>346</v>
      </c>
      <c r="C100" s="204"/>
      <c r="D100" s="204"/>
      <c r="E100" s="204"/>
      <c r="F100" s="204"/>
      <c r="G100" s="204"/>
      <c r="H100" s="204"/>
      <c r="I100" s="205"/>
    </row>
    <row r="101" ht="14.25" customHeight="1">
      <c r="A101" s="202" t="s">
        <v>230</v>
      </c>
      <c r="B101" s="203"/>
      <c r="C101" s="204"/>
      <c r="D101" s="204"/>
      <c r="E101" s="204"/>
      <c r="F101" s="204"/>
      <c r="G101" s="204"/>
      <c r="H101" s="204" t="s">
        <v>347</v>
      </c>
      <c r="I101" s="205"/>
    </row>
    <row r="102" ht="14.25" customHeight="1">
      <c r="A102" s="202" t="s">
        <v>235</v>
      </c>
      <c r="B102" s="203" t="s">
        <v>348</v>
      </c>
      <c r="C102" s="204"/>
      <c r="D102" s="204"/>
      <c r="E102" s="204"/>
      <c r="F102" s="204"/>
      <c r="G102" s="204"/>
      <c r="H102" s="204"/>
      <c r="I102" s="205" t="s">
        <v>349</v>
      </c>
    </row>
    <row r="103" ht="14.25" customHeight="1">
      <c r="A103" s="202" t="s">
        <v>240</v>
      </c>
      <c r="B103" s="203"/>
      <c r="C103" s="204"/>
      <c r="D103" s="204"/>
      <c r="E103" s="204"/>
      <c r="F103" s="204"/>
      <c r="G103" s="204"/>
      <c r="H103" s="204" t="s">
        <v>350</v>
      </c>
      <c r="I103" s="205"/>
    </row>
    <row r="104" ht="14.25" customHeight="1">
      <c r="A104" s="202" t="s">
        <v>245</v>
      </c>
      <c r="B104" s="203" t="s">
        <v>351</v>
      </c>
      <c r="C104" s="204"/>
      <c r="D104" s="204"/>
      <c r="E104" s="204"/>
      <c r="F104" s="204"/>
      <c r="G104" s="204"/>
      <c r="H104" s="204" t="s">
        <v>352</v>
      </c>
      <c r="I104" s="205" t="s">
        <v>353</v>
      </c>
    </row>
    <row r="105" ht="14.25" customHeight="1">
      <c r="A105" s="202" t="s">
        <v>250</v>
      </c>
      <c r="B105" s="203" t="s">
        <v>354</v>
      </c>
      <c r="C105" s="204"/>
      <c r="D105" s="204"/>
      <c r="E105" s="204"/>
      <c r="F105" s="204"/>
      <c r="G105" s="204"/>
      <c r="H105" s="204" t="s">
        <v>350</v>
      </c>
      <c r="I105" s="205"/>
    </row>
    <row r="106" ht="14.25" customHeight="1">
      <c r="A106" s="202" t="s">
        <v>255</v>
      </c>
      <c r="B106" s="203"/>
      <c r="C106" s="204"/>
      <c r="D106" s="204"/>
      <c r="E106" s="204"/>
      <c r="F106" s="204"/>
      <c r="G106" s="204"/>
      <c r="H106" s="204" t="s">
        <v>355</v>
      </c>
      <c r="I106" s="205"/>
    </row>
    <row r="107" ht="14.25" customHeight="1">
      <c r="A107" s="202" t="s">
        <v>260</v>
      </c>
      <c r="B107" s="203" t="s">
        <v>356</v>
      </c>
      <c r="C107" s="204"/>
      <c r="D107" s="204"/>
      <c r="E107" s="204"/>
      <c r="F107" s="204"/>
      <c r="G107" s="204"/>
      <c r="H107" s="204" t="s">
        <v>357</v>
      </c>
      <c r="I107" s="205"/>
    </row>
    <row r="108" ht="14.25" customHeight="1">
      <c r="A108" s="202" t="s">
        <v>266</v>
      </c>
      <c r="B108" s="203" t="s">
        <v>358</v>
      </c>
      <c r="C108" s="204"/>
      <c r="D108" s="204"/>
      <c r="E108" s="204"/>
      <c r="F108" s="204"/>
      <c r="G108" s="204"/>
      <c r="H108" s="204" t="s">
        <v>359</v>
      </c>
      <c r="I108" s="205" t="s">
        <v>360</v>
      </c>
    </row>
    <row r="109" ht="14.25" customHeight="1">
      <c r="A109" s="202" t="s">
        <v>271</v>
      </c>
      <c r="B109" s="203"/>
      <c r="C109" s="204"/>
      <c r="D109" s="204"/>
      <c r="E109" s="204"/>
      <c r="F109" s="204"/>
      <c r="G109" s="204"/>
      <c r="H109" s="204" t="s">
        <v>361</v>
      </c>
      <c r="I109" s="205"/>
    </row>
    <row r="110" ht="14.25" customHeight="1">
      <c r="A110" s="202" t="s">
        <v>276</v>
      </c>
      <c r="B110" s="203" t="s">
        <v>362</v>
      </c>
      <c r="C110" s="204"/>
      <c r="D110" s="204"/>
      <c r="E110" s="204"/>
      <c r="F110" s="204"/>
      <c r="G110" s="204"/>
      <c r="H110" s="204" t="s">
        <v>363</v>
      </c>
      <c r="I110" s="205" t="s">
        <v>364</v>
      </c>
    </row>
    <row r="111" ht="14.25" customHeight="1">
      <c r="A111" s="206" t="s">
        <v>281</v>
      </c>
      <c r="B111" s="208">
        <v>1065.125</v>
      </c>
      <c r="C111" s="208"/>
      <c r="D111" s="208"/>
      <c r="E111" s="208"/>
      <c r="F111" s="208"/>
      <c r="G111" s="208"/>
      <c r="H111" s="209">
        <v>1089.8</v>
      </c>
      <c r="I111" s="209">
        <v>3153.25</v>
      </c>
    </row>
    <row r="112" ht="14.25" customHeight="1">
      <c r="A112" s="211"/>
      <c r="B112" s="211"/>
      <c r="C112" s="211"/>
      <c r="D112" s="211"/>
      <c r="E112" s="211"/>
      <c r="F112" s="211"/>
      <c r="G112" s="211"/>
      <c r="H112" s="211"/>
      <c r="I112" s="211"/>
    </row>
    <row r="113" ht="14.25" customHeight="1">
      <c r="A113" s="192" t="s">
        <v>365</v>
      </c>
      <c r="B113" s="50"/>
      <c r="C113" s="50"/>
      <c r="D113" s="50"/>
      <c r="E113" s="50"/>
      <c r="F113" s="50"/>
      <c r="G113" s="50"/>
      <c r="H113" s="50"/>
      <c r="I113" s="51"/>
    </row>
    <row r="114" ht="25.5" customHeight="1">
      <c r="A114" s="193" t="s">
        <v>215</v>
      </c>
      <c r="B114" s="194" t="s">
        <v>21</v>
      </c>
      <c r="C114" s="195" t="s">
        <v>23</v>
      </c>
      <c r="D114" s="195" t="s">
        <v>25</v>
      </c>
      <c r="E114" s="195" t="s">
        <v>27</v>
      </c>
      <c r="F114" s="195" t="s">
        <v>29</v>
      </c>
      <c r="G114" s="195" t="s">
        <v>31</v>
      </c>
      <c r="H114" s="195" t="s">
        <v>33</v>
      </c>
      <c r="I114" s="196" t="s">
        <v>35</v>
      </c>
    </row>
    <row r="115" ht="14.25" customHeight="1">
      <c r="A115" s="198" t="s">
        <v>216</v>
      </c>
      <c r="B115" s="199"/>
      <c r="C115" s="200"/>
      <c r="D115" s="200"/>
      <c r="E115" s="200"/>
      <c r="F115" s="200"/>
      <c r="G115" s="200"/>
      <c r="H115" s="200"/>
      <c r="I115" s="201"/>
    </row>
    <row r="116" ht="14.25" customHeight="1">
      <c r="A116" s="202" t="s">
        <v>223</v>
      </c>
      <c r="B116" s="203"/>
      <c r="C116" s="204"/>
      <c r="D116" s="204"/>
      <c r="E116" s="204"/>
      <c r="F116" s="204"/>
      <c r="G116" s="204"/>
      <c r="H116" s="204"/>
      <c r="I116" s="205"/>
    </row>
    <row r="117" ht="14.25" customHeight="1">
      <c r="A117" s="202" t="s">
        <v>230</v>
      </c>
      <c r="B117" s="203"/>
      <c r="C117" s="204"/>
      <c r="D117" s="204"/>
      <c r="E117" s="204"/>
      <c r="F117" s="204"/>
      <c r="G117" s="204"/>
      <c r="H117" s="204"/>
      <c r="I117" s="205"/>
    </row>
    <row r="118" ht="14.25" customHeight="1">
      <c r="A118" s="202" t="s">
        <v>235</v>
      </c>
      <c r="B118" s="203"/>
      <c r="C118" s="204"/>
      <c r="D118" s="204"/>
      <c r="E118" s="204"/>
      <c r="F118" s="204"/>
      <c r="G118" s="204"/>
      <c r="H118" s="204"/>
      <c r="I118" s="205"/>
    </row>
    <row r="119" ht="14.25" customHeight="1">
      <c r="A119" s="202" t="s">
        <v>240</v>
      </c>
      <c r="B119" s="203"/>
      <c r="C119" s="204"/>
      <c r="D119" s="204"/>
      <c r="E119" s="204"/>
      <c r="F119" s="204"/>
      <c r="G119" s="204"/>
      <c r="H119" s="204"/>
      <c r="I119" s="205"/>
    </row>
    <row r="120" ht="14.25" customHeight="1">
      <c r="A120" s="202" t="s">
        <v>245</v>
      </c>
      <c r="B120" s="203"/>
      <c r="C120" s="204"/>
      <c r="D120" s="204"/>
      <c r="E120" s="204"/>
      <c r="F120" s="204"/>
      <c r="G120" s="204"/>
      <c r="H120" s="204"/>
      <c r="I120" s="205"/>
    </row>
    <row r="121" ht="14.25" customHeight="1">
      <c r="A121" s="202" t="s">
        <v>250</v>
      </c>
      <c r="B121" s="203"/>
      <c r="C121" s="204"/>
      <c r="D121" s="204"/>
      <c r="E121" s="204"/>
      <c r="F121" s="204"/>
      <c r="G121" s="204"/>
      <c r="H121" s="204"/>
      <c r="I121" s="205"/>
    </row>
    <row r="122" ht="14.25" customHeight="1">
      <c r="A122" s="202" t="s">
        <v>255</v>
      </c>
      <c r="B122" s="203"/>
      <c r="C122" s="204"/>
      <c r="D122" s="204"/>
      <c r="E122" s="204"/>
      <c r="F122" s="204"/>
      <c r="G122" s="204" t="s">
        <v>366</v>
      </c>
      <c r="H122" s="204"/>
      <c r="I122" s="205"/>
    </row>
    <row r="123" ht="14.25" customHeight="1">
      <c r="A123" s="202" t="s">
        <v>260</v>
      </c>
      <c r="B123" s="203"/>
      <c r="C123" s="204"/>
      <c r="D123" s="204"/>
      <c r="E123" s="204"/>
      <c r="F123" s="204"/>
      <c r="G123" s="204"/>
      <c r="H123" s="204"/>
      <c r="I123" s="205"/>
    </row>
    <row r="124" ht="14.25" customHeight="1">
      <c r="A124" s="202" t="s">
        <v>266</v>
      </c>
      <c r="B124" s="203"/>
      <c r="C124" s="204" t="s">
        <v>367</v>
      </c>
      <c r="D124" s="204"/>
      <c r="E124" s="204"/>
      <c r="F124" s="204"/>
      <c r="G124" s="204"/>
      <c r="H124" s="204"/>
      <c r="I124" s="205"/>
    </row>
    <row r="125" ht="14.25" customHeight="1">
      <c r="A125" s="202" t="s">
        <v>271</v>
      </c>
      <c r="B125" s="203"/>
      <c r="C125" s="222"/>
      <c r="D125" s="204"/>
      <c r="E125" s="204" t="s">
        <v>368</v>
      </c>
      <c r="F125" s="204"/>
      <c r="G125" s="204" t="s">
        <v>369</v>
      </c>
      <c r="H125" s="204"/>
      <c r="I125" s="205"/>
    </row>
    <row r="126" ht="14.25" customHeight="1">
      <c r="A126" s="202" t="s">
        <v>276</v>
      </c>
      <c r="B126" s="223"/>
      <c r="C126" s="224"/>
      <c r="D126" s="203"/>
      <c r="E126" s="204"/>
      <c r="F126" s="204"/>
      <c r="G126" s="204" t="s">
        <v>370</v>
      </c>
      <c r="H126" s="204"/>
      <c r="I126" s="205"/>
    </row>
    <row r="127" ht="14.25" customHeight="1">
      <c r="A127" s="206" t="s">
        <v>281</v>
      </c>
      <c r="B127" s="207"/>
      <c r="C127" s="225">
        <v>169337.0</v>
      </c>
      <c r="D127" s="208"/>
      <c r="E127" s="208">
        <v>1742.0</v>
      </c>
      <c r="F127" s="208"/>
      <c r="G127" s="208">
        <v>46381.333333333336</v>
      </c>
      <c r="H127" s="226"/>
      <c r="I127" s="226"/>
    </row>
    <row r="128" ht="14.25" customHeight="1">
      <c r="A128" s="211"/>
      <c r="B128" s="211"/>
      <c r="C128" s="211"/>
      <c r="D128" s="211"/>
      <c r="E128" s="211"/>
      <c r="F128" s="211"/>
      <c r="G128" s="211"/>
      <c r="H128" s="211"/>
      <c r="I128" s="211"/>
    </row>
    <row r="129" ht="14.25" customHeight="1">
      <c r="A129" s="211"/>
      <c r="B129" s="211"/>
      <c r="C129" s="211"/>
      <c r="D129" s="211"/>
      <c r="E129" s="211"/>
      <c r="F129" s="211"/>
      <c r="G129" s="211"/>
      <c r="H129" s="211"/>
      <c r="I129" s="211"/>
    </row>
    <row r="130" ht="14.25" customHeight="1">
      <c r="A130" s="211"/>
      <c r="B130" s="211"/>
      <c r="C130" s="211"/>
      <c r="D130" s="211"/>
      <c r="E130" s="211"/>
      <c r="F130" s="211"/>
      <c r="G130" s="211"/>
      <c r="H130" s="211"/>
      <c r="I130" s="211"/>
    </row>
    <row r="131" ht="14.25" customHeight="1">
      <c r="A131" s="211"/>
      <c r="B131" s="211"/>
      <c r="C131" s="211"/>
      <c r="D131" s="211"/>
      <c r="E131" s="211"/>
      <c r="F131" s="211"/>
      <c r="G131" s="211"/>
      <c r="H131" s="211"/>
      <c r="I131" s="211"/>
    </row>
    <row r="132" ht="14.25" customHeight="1">
      <c r="A132" s="211"/>
      <c r="B132" s="211"/>
      <c r="C132" s="211"/>
      <c r="D132" s="211"/>
      <c r="E132" s="211"/>
      <c r="F132" s="211"/>
      <c r="G132" s="211"/>
      <c r="H132" s="211"/>
      <c r="I132" s="211"/>
    </row>
    <row r="133" ht="14.25" customHeight="1">
      <c r="A133" s="211"/>
      <c r="B133" s="211"/>
      <c r="C133" s="211"/>
      <c r="D133" s="211"/>
      <c r="E133" s="211"/>
      <c r="F133" s="211"/>
      <c r="G133" s="211"/>
      <c r="H133" s="211"/>
      <c r="I133" s="211"/>
    </row>
    <row r="134" ht="14.25" customHeight="1">
      <c r="A134" s="211"/>
      <c r="B134" s="211"/>
      <c r="C134" s="211"/>
      <c r="D134" s="211"/>
      <c r="E134" s="211"/>
      <c r="F134" s="211"/>
      <c r="G134" s="211"/>
      <c r="H134" s="211"/>
      <c r="I134" s="211"/>
    </row>
    <row r="135" ht="14.25" customHeight="1">
      <c r="A135" s="211"/>
      <c r="B135" s="211"/>
      <c r="C135" s="211"/>
      <c r="D135" s="211"/>
      <c r="E135" s="211"/>
      <c r="F135" s="211"/>
      <c r="G135" s="211"/>
      <c r="H135" s="211"/>
      <c r="I135" s="211"/>
    </row>
    <row r="136" ht="14.25" customHeight="1">
      <c r="A136" s="211"/>
      <c r="B136" s="211"/>
      <c r="C136" s="211"/>
      <c r="D136" s="211"/>
      <c r="E136" s="211"/>
      <c r="F136" s="211"/>
      <c r="G136" s="211"/>
      <c r="H136" s="211"/>
      <c r="I136" s="211"/>
    </row>
    <row r="137" ht="14.25" customHeight="1">
      <c r="A137" s="211"/>
      <c r="B137" s="211"/>
      <c r="C137" s="211"/>
      <c r="D137" s="211"/>
      <c r="E137" s="211"/>
      <c r="F137" s="211"/>
      <c r="G137" s="211"/>
      <c r="H137" s="211"/>
      <c r="I137" s="211"/>
    </row>
    <row r="138" ht="14.25" customHeight="1">
      <c r="A138" s="211"/>
      <c r="B138" s="211"/>
      <c r="C138" s="211"/>
      <c r="D138" s="211"/>
      <c r="E138" s="211"/>
      <c r="F138" s="211"/>
      <c r="G138" s="211"/>
      <c r="H138" s="211"/>
      <c r="I138" s="211"/>
    </row>
    <row r="139" ht="14.25" customHeight="1">
      <c r="A139" s="211"/>
      <c r="B139" s="211"/>
      <c r="C139" s="211"/>
      <c r="D139" s="211"/>
      <c r="E139" s="211"/>
      <c r="F139" s="211"/>
      <c r="G139" s="211"/>
      <c r="H139" s="211"/>
      <c r="I139" s="211"/>
    </row>
    <row r="140" ht="14.25" customHeight="1">
      <c r="A140" s="211"/>
      <c r="B140" s="211"/>
      <c r="C140" s="211"/>
      <c r="D140" s="211"/>
      <c r="E140" s="211"/>
      <c r="F140" s="211"/>
      <c r="G140" s="211"/>
      <c r="H140" s="211"/>
      <c r="I140" s="211"/>
    </row>
    <row r="141" ht="14.25" customHeight="1">
      <c r="A141" s="211"/>
      <c r="B141" s="211"/>
      <c r="C141" s="211"/>
      <c r="D141" s="211"/>
      <c r="E141" s="211"/>
      <c r="F141" s="211"/>
      <c r="G141" s="211"/>
      <c r="H141" s="211"/>
      <c r="I141" s="211"/>
    </row>
    <row r="142" ht="14.25" customHeight="1">
      <c r="A142" s="211"/>
      <c r="B142" s="211"/>
      <c r="C142" s="211"/>
      <c r="D142" s="211"/>
      <c r="E142" s="211"/>
      <c r="F142" s="211"/>
      <c r="G142" s="211"/>
      <c r="H142" s="211"/>
      <c r="I142" s="211"/>
    </row>
    <row r="143" ht="14.25" customHeight="1">
      <c r="A143" s="211"/>
      <c r="B143" s="211"/>
      <c r="C143" s="211"/>
      <c r="D143" s="211"/>
      <c r="E143" s="211"/>
      <c r="F143" s="211"/>
      <c r="G143" s="211"/>
      <c r="H143" s="211"/>
      <c r="I143" s="211"/>
    </row>
    <row r="144" ht="14.25" customHeight="1">
      <c r="A144" s="211"/>
      <c r="B144" s="211"/>
      <c r="C144" s="211"/>
      <c r="D144" s="211"/>
      <c r="E144" s="211"/>
      <c r="F144" s="211"/>
      <c r="G144" s="211"/>
      <c r="H144" s="211"/>
      <c r="I144" s="211"/>
    </row>
    <row r="145" ht="14.25" customHeight="1">
      <c r="A145" s="211"/>
      <c r="B145" s="211"/>
      <c r="C145" s="211"/>
      <c r="D145" s="211"/>
      <c r="E145" s="211"/>
      <c r="F145" s="211"/>
      <c r="G145" s="211"/>
      <c r="H145" s="211"/>
      <c r="I145" s="211"/>
    </row>
    <row r="146" ht="14.25" customHeight="1">
      <c r="A146" s="211"/>
      <c r="B146" s="211"/>
      <c r="C146" s="211"/>
      <c r="D146" s="211"/>
      <c r="E146" s="211"/>
      <c r="F146" s="211"/>
      <c r="G146" s="211"/>
      <c r="H146" s="211"/>
      <c r="I146" s="211"/>
    </row>
    <row r="147" ht="14.25" customHeight="1">
      <c r="A147" s="211"/>
      <c r="B147" s="211"/>
      <c r="C147" s="211"/>
      <c r="D147" s="211"/>
      <c r="E147" s="211"/>
      <c r="F147" s="211"/>
      <c r="G147" s="211"/>
      <c r="H147" s="211"/>
      <c r="I147" s="211"/>
    </row>
    <row r="148" ht="14.25" customHeight="1">
      <c r="A148" s="211"/>
      <c r="B148" s="211"/>
      <c r="C148" s="211"/>
      <c r="D148" s="211"/>
      <c r="E148" s="211"/>
      <c r="F148" s="211"/>
      <c r="G148" s="211"/>
      <c r="H148" s="211"/>
      <c r="I148" s="211"/>
    </row>
    <row r="149" ht="14.25" customHeight="1">
      <c r="A149" s="211"/>
      <c r="B149" s="211"/>
      <c r="C149" s="211"/>
      <c r="D149" s="211"/>
      <c r="E149" s="211"/>
      <c r="F149" s="211"/>
      <c r="G149" s="211"/>
      <c r="H149" s="211"/>
      <c r="I149" s="211"/>
    </row>
    <row r="150" ht="14.25" customHeight="1">
      <c r="A150" s="211"/>
      <c r="B150" s="211"/>
      <c r="C150" s="211"/>
      <c r="D150" s="211"/>
      <c r="E150" s="211"/>
      <c r="F150" s="211"/>
      <c r="G150" s="211"/>
      <c r="H150" s="211"/>
      <c r="I150" s="211"/>
    </row>
    <row r="151" ht="14.25" customHeight="1">
      <c r="A151" s="211"/>
      <c r="B151" s="211"/>
      <c r="C151" s="211"/>
      <c r="D151" s="211"/>
      <c r="E151" s="211"/>
      <c r="F151" s="211"/>
      <c r="G151" s="211"/>
      <c r="H151" s="211"/>
      <c r="I151" s="211"/>
    </row>
    <row r="152" ht="14.25" customHeight="1">
      <c r="A152" s="211"/>
      <c r="B152" s="211"/>
      <c r="C152" s="211"/>
      <c r="D152" s="211"/>
      <c r="E152" s="211"/>
      <c r="F152" s="211"/>
      <c r="G152" s="211"/>
      <c r="H152" s="211"/>
      <c r="I152" s="211"/>
    </row>
    <row r="153" ht="14.25" customHeight="1">
      <c r="A153" s="211"/>
      <c r="B153" s="211"/>
      <c r="C153" s="211"/>
      <c r="D153" s="211"/>
      <c r="E153" s="211"/>
      <c r="F153" s="211"/>
      <c r="G153" s="211"/>
      <c r="H153" s="211"/>
      <c r="I153" s="211"/>
    </row>
    <row r="154" ht="14.25" customHeight="1">
      <c r="A154" s="211"/>
      <c r="B154" s="211"/>
      <c r="C154" s="211"/>
      <c r="D154" s="211"/>
      <c r="E154" s="211"/>
      <c r="F154" s="211"/>
      <c r="G154" s="211"/>
      <c r="H154" s="211"/>
      <c r="I154" s="211"/>
    </row>
    <row r="155" ht="14.25" customHeight="1">
      <c r="A155" s="211"/>
      <c r="B155" s="211"/>
      <c r="C155" s="211"/>
      <c r="D155" s="211"/>
      <c r="E155" s="211"/>
      <c r="F155" s="211"/>
      <c r="G155" s="211"/>
      <c r="H155" s="211"/>
      <c r="I155" s="211"/>
    </row>
    <row r="156" ht="14.25" customHeight="1">
      <c r="A156" s="211"/>
      <c r="B156" s="211"/>
      <c r="C156" s="211"/>
      <c r="D156" s="211"/>
      <c r="E156" s="211"/>
      <c r="F156" s="211"/>
      <c r="G156" s="211"/>
      <c r="H156" s="211"/>
      <c r="I156" s="211"/>
    </row>
    <row r="157" ht="14.25" customHeight="1">
      <c r="A157" s="211"/>
      <c r="B157" s="211"/>
      <c r="C157" s="211"/>
      <c r="D157" s="211"/>
      <c r="E157" s="211"/>
      <c r="F157" s="211"/>
      <c r="G157" s="211"/>
      <c r="H157" s="211"/>
      <c r="I157" s="211"/>
    </row>
    <row r="158" ht="14.25" customHeight="1">
      <c r="A158" s="211"/>
      <c r="B158" s="211"/>
      <c r="C158" s="211"/>
      <c r="D158" s="211"/>
      <c r="E158" s="211"/>
      <c r="F158" s="211"/>
      <c r="G158" s="211"/>
      <c r="H158" s="211"/>
      <c r="I158" s="211"/>
    </row>
    <row r="159" ht="14.25" customHeight="1">
      <c r="A159" s="211"/>
      <c r="B159" s="211"/>
      <c r="C159" s="211"/>
      <c r="D159" s="211"/>
      <c r="E159" s="211"/>
      <c r="F159" s="211"/>
      <c r="G159" s="211"/>
      <c r="H159" s="211"/>
      <c r="I159" s="211"/>
    </row>
    <row r="160" ht="14.25" customHeight="1">
      <c r="A160" s="211"/>
      <c r="B160" s="211"/>
      <c r="C160" s="211"/>
      <c r="D160" s="211"/>
      <c r="E160" s="211"/>
      <c r="F160" s="211"/>
      <c r="G160" s="211"/>
      <c r="H160" s="211"/>
      <c r="I160" s="211"/>
    </row>
    <row r="161" ht="14.25" customHeight="1">
      <c r="A161" s="211"/>
      <c r="B161" s="211"/>
      <c r="C161" s="211"/>
      <c r="D161" s="211"/>
      <c r="E161" s="211"/>
      <c r="F161" s="211"/>
      <c r="G161" s="211"/>
      <c r="H161" s="211"/>
      <c r="I161" s="211"/>
    </row>
    <row r="162" ht="14.25" customHeight="1">
      <c r="A162" s="211"/>
      <c r="B162" s="211"/>
      <c r="C162" s="211"/>
      <c r="D162" s="211"/>
      <c r="E162" s="211"/>
      <c r="F162" s="211"/>
      <c r="G162" s="211"/>
      <c r="H162" s="211"/>
      <c r="I162" s="211"/>
    </row>
    <row r="163" ht="14.25" customHeight="1">
      <c r="A163" s="211"/>
      <c r="B163" s="211"/>
      <c r="C163" s="211"/>
      <c r="D163" s="211"/>
      <c r="E163" s="211"/>
      <c r="F163" s="211"/>
      <c r="G163" s="211"/>
      <c r="H163" s="211"/>
      <c r="I163" s="211"/>
    </row>
    <row r="164" ht="14.25" customHeight="1">
      <c r="A164" s="211"/>
      <c r="B164" s="211"/>
      <c r="C164" s="211"/>
      <c r="D164" s="211"/>
      <c r="E164" s="211"/>
      <c r="F164" s="211"/>
      <c r="G164" s="211"/>
      <c r="H164" s="211"/>
      <c r="I164" s="211"/>
    </row>
    <row r="165" ht="14.25" customHeight="1">
      <c r="A165" s="211"/>
      <c r="B165" s="211"/>
      <c r="C165" s="211"/>
      <c r="D165" s="211"/>
      <c r="E165" s="211"/>
      <c r="F165" s="211"/>
      <c r="G165" s="211"/>
      <c r="H165" s="211"/>
      <c r="I165" s="211"/>
    </row>
    <row r="166" ht="14.25" customHeight="1">
      <c r="A166" s="211"/>
      <c r="B166" s="211"/>
      <c r="C166" s="211"/>
      <c r="D166" s="211"/>
      <c r="E166" s="211"/>
      <c r="F166" s="211"/>
      <c r="G166" s="211"/>
      <c r="H166" s="211"/>
      <c r="I166" s="211"/>
    </row>
    <row r="167" ht="14.25" customHeight="1">
      <c r="A167" s="211"/>
      <c r="B167" s="211"/>
      <c r="C167" s="211"/>
      <c r="D167" s="211"/>
      <c r="E167" s="211"/>
      <c r="F167" s="211"/>
      <c r="G167" s="211"/>
      <c r="H167" s="211"/>
      <c r="I167" s="211"/>
    </row>
    <row r="168" ht="14.25" customHeight="1">
      <c r="A168" s="211"/>
      <c r="B168" s="211"/>
      <c r="C168" s="211"/>
      <c r="D168" s="211"/>
      <c r="E168" s="211"/>
      <c r="F168" s="211"/>
      <c r="G168" s="211"/>
      <c r="H168" s="211"/>
      <c r="I168" s="211"/>
    </row>
    <row r="169" ht="14.25" customHeight="1">
      <c r="A169" s="211"/>
      <c r="B169" s="211"/>
      <c r="C169" s="211"/>
      <c r="D169" s="211"/>
      <c r="E169" s="211"/>
      <c r="F169" s="211"/>
      <c r="G169" s="211"/>
      <c r="H169" s="211"/>
      <c r="I169" s="211"/>
    </row>
    <row r="170" ht="14.25" customHeight="1">
      <c r="A170" s="211"/>
      <c r="B170" s="211"/>
      <c r="C170" s="211"/>
      <c r="D170" s="211"/>
      <c r="E170" s="211"/>
      <c r="F170" s="211"/>
      <c r="G170" s="211"/>
      <c r="H170" s="211"/>
      <c r="I170" s="211"/>
    </row>
    <row r="171" ht="14.25" customHeight="1">
      <c r="A171" s="211"/>
      <c r="B171" s="211"/>
      <c r="C171" s="211"/>
      <c r="D171" s="211"/>
      <c r="E171" s="211"/>
      <c r="F171" s="211"/>
      <c r="G171" s="211"/>
      <c r="H171" s="211"/>
      <c r="I171" s="211"/>
    </row>
    <row r="172" ht="14.25" customHeight="1">
      <c r="A172" s="211"/>
      <c r="B172" s="211"/>
      <c r="C172" s="211"/>
      <c r="D172" s="211"/>
      <c r="E172" s="211"/>
      <c r="F172" s="211"/>
      <c r="G172" s="211"/>
      <c r="H172" s="211"/>
      <c r="I172" s="211"/>
    </row>
    <row r="173" ht="14.25" customHeight="1">
      <c r="A173" s="211"/>
      <c r="B173" s="211"/>
      <c r="C173" s="211"/>
      <c r="D173" s="211"/>
      <c r="E173" s="211"/>
      <c r="F173" s="211"/>
      <c r="G173" s="211"/>
      <c r="H173" s="211"/>
      <c r="I173" s="211"/>
    </row>
    <row r="174" ht="14.25" customHeight="1">
      <c r="A174" s="211"/>
      <c r="B174" s="211"/>
      <c r="C174" s="211"/>
      <c r="D174" s="211"/>
      <c r="E174" s="211"/>
      <c r="F174" s="211"/>
      <c r="G174" s="211"/>
      <c r="H174" s="211"/>
      <c r="I174" s="211"/>
    </row>
    <row r="175" ht="14.25" customHeight="1">
      <c r="A175" s="211"/>
      <c r="B175" s="211"/>
      <c r="C175" s="211"/>
      <c r="D175" s="211"/>
      <c r="E175" s="211"/>
      <c r="F175" s="211"/>
      <c r="G175" s="211"/>
      <c r="H175" s="211"/>
      <c r="I175" s="211"/>
    </row>
    <row r="176" ht="14.25" customHeight="1">
      <c r="A176" s="211"/>
      <c r="B176" s="211"/>
      <c r="C176" s="211"/>
      <c r="D176" s="211"/>
      <c r="E176" s="211"/>
      <c r="F176" s="211"/>
      <c r="G176" s="211"/>
      <c r="H176" s="211"/>
      <c r="I176" s="211"/>
    </row>
    <row r="177" ht="14.25" customHeight="1">
      <c r="A177" s="211"/>
      <c r="B177" s="211"/>
      <c r="C177" s="211"/>
      <c r="D177" s="211"/>
      <c r="E177" s="211"/>
      <c r="F177" s="211"/>
      <c r="G177" s="211"/>
      <c r="H177" s="211"/>
      <c r="I177" s="211"/>
    </row>
    <row r="178" ht="14.25" customHeight="1">
      <c r="A178" s="211"/>
      <c r="B178" s="211"/>
      <c r="C178" s="211"/>
      <c r="D178" s="211"/>
      <c r="E178" s="211"/>
      <c r="F178" s="211"/>
      <c r="G178" s="211"/>
      <c r="H178" s="211"/>
      <c r="I178" s="211"/>
    </row>
    <row r="179" ht="14.25" customHeight="1">
      <c r="A179" s="211"/>
      <c r="B179" s="211"/>
      <c r="C179" s="211"/>
      <c r="D179" s="211"/>
      <c r="E179" s="211"/>
      <c r="F179" s="211"/>
      <c r="G179" s="211"/>
      <c r="H179" s="211"/>
      <c r="I179" s="211"/>
    </row>
    <row r="180" ht="14.25" customHeight="1">
      <c r="A180" s="211"/>
      <c r="B180" s="211"/>
      <c r="C180" s="211"/>
      <c r="D180" s="211"/>
      <c r="E180" s="211"/>
      <c r="F180" s="211"/>
      <c r="G180" s="211"/>
      <c r="H180" s="211"/>
      <c r="I180" s="211"/>
    </row>
    <row r="181" ht="14.25" customHeight="1">
      <c r="A181" s="211"/>
      <c r="B181" s="211"/>
      <c r="C181" s="211"/>
      <c r="D181" s="211"/>
      <c r="E181" s="211"/>
      <c r="F181" s="211"/>
      <c r="G181" s="211"/>
      <c r="H181" s="211"/>
      <c r="I181" s="211"/>
    </row>
    <row r="182" ht="14.25" customHeight="1">
      <c r="A182" s="211"/>
      <c r="B182" s="211"/>
      <c r="C182" s="211"/>
      <c r="D182" s="211"/>
      <c r="E182" s="211"/>
      <c r="F182" s="211"/>
      <c r="G182" s="211"/>
      <c r="H182" s="211"/>
      <c r="I182" s="211"/>
    </row>
    <row r="183" ht="14.25" customHeight="1">
      <c r="A183" s="211"/>
      <c r="B183" s="211"/>
      <c r="C183" s="211"/>
      <c r="D183" s="211"/>
      <c r="E183" s="211"/>
      <c r="F183" s="211"/>
      <c r="G183" s="211"/>
      <c r="H183" s="211"/>
      <c r="I183" s="211"/>
    </row>
    <row r="184" ht="14.25" customHeight="1">
      <c r="A184" s="211"/>
      <c r="B184" s="211"/>
      <c r="C184" s="211"/>
      <c r="D184" s="211"/>
      <c r="E184" s="211"/>
      <c r="F184" s="211"/>
      <c r="G184" s="211"/>
      <c r="H184" s="211"/>
      <c r="I184" s="211"/>
    </row>
    <row r="185" ht="14.25" customHeight="1">
      <c r="A185" s="211"/>
      <c r="B185" s="211"/>
      <c r="C185" s="211"/>
      <c r="D185" s="211"/>
      <c r="E185" s="211"/>
      <c r="F185" s="211"/>
      <c r="G185" s="211"/>
      <c r="H185" s="211"/>
      <c r="I185" s="211"/>
    </row>
    <row r="186" ht="14.25" customHeight="1">
      <c r="A186" s="211"/>
      <c r="B186" s="211"/>
      <c r="C186" s="211"/>
      <c r="D186" s="211"/>
      <c r="E186" s="211"/>
      <c r="F186" s="211"/>
      <c r="G186" s="211"/>
      <c r="H186" s="211"/>
      <c r="I186" s="211"/>
    </row>
    <row r="187" ht="14.25" customHeight="1">
      <c r="A187" s="211"/>
      <c r="B187" s="211"/>
      <c r="C187" s="211"/>
      <c r="D187" s="211"/>
      <c r="E187" s="211"/>
      <c r="F187" s="211"/>
      <c r="G187" s="211"/>
      <c r="H187" s="211"/>
      <c r="I187" s="211"/>
    </row>
    <row r="188" ht="14.25" customHeight="1">
      <c r="A188" s="211"/>
      <c r="B188" s="211"/>
      <c r="C188" s="211"/>
      <c r="D188" s="211"/>
      <c r="E188" s="211"/>
      <c r="F188" s="211"/>
      <c r="G188" s="211"/>
      <c r="H188" s="211"/>
      <c r="I188" s="211"/>
    </row>
    <row r="189" ht="14.25" customHeight="1">
      <c r="A189" s="211"/>
      <c r="B189" s="211"/>
      <c r="C189" s="211"/>
      <c r="D189" s="211"/>
      <c r="E189" s="211"/>
      <c r="F189" s="211"/>
      <c r="G189" s="211"/>
      <c r="H189" s="211"/>
      <c r="I189" s="211"/>
    </row>
    <row r="190" ht="14.25" customHeight="1">
      <c r="A190" s="211"/>
      <c r="B190" s="211"/>
      <c r="C190" s="211"/>
      <c r="D190" s="211"/>
      <c r="E190" s="211"/>
      <c r="F190" s="211"/>
      <c r="G190" s="211"/>
      <c r="H190" s="211"/>
      <c r="I190" s="211"/>
    </row>
    <row r="191" ht="14.25" customHeight="1">
      <c r="A191" s="211"/>
      <c r="B191" s="211"/>
      <c r="C191" s="211"/>
      <c r="D191" s="211"/>
      <c r="E191" s="211"/>
      <c r="F191" s="211"/>
      <c r="G191" s="211"/>
      <c r="H191" s="211"/>
      <c r="I191" s="211"/>
    </row>
    <row r="192" ht="14.25" customHeight="1">
      <c r="A192" s="211"/>
      <c r="B192" s="211"/>
      <c r="C192" s="211"/>
      <c r="D192" s="211"/>
      <c r="E192" s="211"/>
      <c r="F192" s="211"/>
      <c r="G192" s="211"/>
      <c r="H192" s="211"/>
      <c r="I192" s="211"/>
    </row>
    <row r="193" ht="14.25" customHeight="1">
      <c r="A193" s="211"/>
      <c r="B193" s="211"/>
      <c r="C193" s="211"/>
      <c r="D193" s="211"/>
      <c r="E193" s="211"/>
      <c r="F193" s="211"/>
      <c r="G193" s="211"/>
      <c r="H193" s="211"/>
      <c r="I193" s="211"/>
    </row>
    <row r="194" ht="14.25" customHeight="1">
      <c r="A194" s="211"/>
      <c r="B194" s="211"/>
      <c r="C194" s="211"/>
      <c r="D194" s="211"/>
      <c r="E194" s="211"/>
      <c r="F194" s="211"/>
      <c r="G194" s="211"/>
      <c r="H194" s="211"/>
      <c r="I194" s="211"/>
    </row>
    <row r="195" ht="14.25" customHeight="1">
      <c r="A195" s="211"/>
      <c r="B195" s="211"/>
      <c r="C195" s="211"/>
      <c r="D195" s="211"/>
      <c r="E195" s="211"/>
      <c r="F195" s="211"/>
      <c r="G195" s="211"/>
      <c r="H195" s="211"/>
      <c r="I195" s="211"/>
    </row>
    <row r="196" ht="14.25" customHeight="1">
      <c r="A196" s="211"/>
      <c r="B196" s="211"/>
      <c r="C196" s="211"/>
      <c r="D196" s="211"/>
      <c r="E196" s="211"/>
      <c r="F196" s="211"/>
      <c r="G196" s="211"/>
      <c r="H196" s="211"/>
      <c r="I196" s="211"/>
    </row>
    <row r="197" ht="14.25" customHeight="1">
      <c r="A197" s="211"/>
      <c r="B197" s="211"/>
      <c r="C197" s="211"/>
      <c r="D197" s="211"/>
      <c r="E197" s="211"/>
      <c r="F197" s="211"/>
      <c r="G197" s="211"/>
      <c r="H197" s="211"/>
      <c r="I197" s="211"/>
    </row>
    <row r="198" ht="14.25" customHeight="1">
      <c r="A198" s="211"/>
      <c r="B198" s="211"/>
      <c r="C198" s="211"/>
      <c r="D198" s="211"/>
      <c r="E198" s="211"/>
      <c r="F198" s="211"/>
      <c r="G198" s="211"/>
      <c r="H198" s="211"/>
      <c r="I198" s="211"/>
    </row>
    <row r="199" ht="14.25" customHeight="1">
      <c r="A199" s="211"/>
      <c r="B199" s="211"/>
      <c r="C199" s="211"/>
      <c r="D199" s="211"/>
      <c r="E199" s="211"/>
      <c r="F199" s="211"/>
      <c r="G199" s="211"/>
      <c r="H199" s="211"/>
      <c r="I199" s="211"/>
    </row>
    <row r="200" ht="14.25" customHeight="1">
      <c r="A200" s="211"/>
      <c r="B200" s="211"/>
      <c r="C200" s="211"/>
      <c r="D200" s="211"/>
      <c r="E200" s="211"/>
      <c r="F200" s="211"/>
      <c r="G200" s="211"/>
      <c r="H200" s="211"/>
      <c r="I200" s="211"/>
    </row>
    <row r="201" ht="14.25" customHeight="1">
      <c r="A201" s="211"/>
      <c r="B201" s="211"/>
      <c r="C201" s="211"/>
      <c r="D201" s="211"/>
      <c r="E201" s="211"/>
      <c r="F201" s="211"/>
      <c r="G201" s="211"/>
      <c r="H201" s="211"/>
      <c r="I201" s="211"/>
    </row>
    <row r="202" ht="14.25" customHeight="1">
      <c r="A202" s="211"/>
      <c r="B202" s="211"/>
      <c r="C202" s="211"/>
      <c r="D202" s="211"/>
      <c r="E202" s="211"/>
      <c r="F202" s="211"/>
      <c r="G202" s="211"/>
      <c r="H202" s="211"/>
      <c r="I202" s="211"/>
    </row>
    <row r="203" ht="14.25" customHeight="1">
      <c r="A203" s="211"/>
      <c r="B203" s="211"/>
      <c r="C203" s="211"/>
      <c r="D203" s="211"/>
      <c r="E203" s="211"/>
      <c r="F203" s="211"/>
      <c r="G203" s="211"/>
      <c r="H203" s="211"/>
      <c r="I203" s="211"/>
    </row>
    <row r="204" ht="14.25" customHeight="1">
      <c r="A204" s="211"/>
      <c r="B204" s="211"/>
      <c r="C204" s="211"/>
      <c r="D204" s="211"/>
      <c r="E204" s="211"/>
      <c r="F204" s="211"/>
      <c r="G204" s="211"/>
      <c r="H204" s="211"/>
      <c r="I204" s="211"/>
    </row>
    <row r="205" ht="14.25" customHeight="1">
      <c r="A205" s="211"/>
      <c r="B205" s="211"/>
      <c r="C205" s="211"/>
      <c r="D205" s="211"/>
      <c r="E205" s="211"/>
      <c r="F205" s="211"/>
      <c r="G205" s="211"/>
      <c r="H205" s="211"/>
      <c r="I205" s="211"/>
    </row>
    <row r="206" ht="14.25" customHeight="1">
      <c r="A206" s="211"/>
      <c r="B206" s="211"/>
      <c r="C206" s="211"/>
      <c r="D206" s="211"/>
      <c r="E206" s="211"/>
      <c r="F206" s="211"/>
      <c r="G206" s="211"/>
      <c r="H206" s="211"/>
      <c r="I206" s="211"/>
    </row>
    <row r="207" ht="14.25" customHeight="1">
      <c r="A207" s="211"/>
      <c r="B207" s="211"/>
      <c r="C207" s="211"/>
      <c r="D207" s="211"/>
      <c r="E207" s="211"/>
      <c r="F207" s="211"/>
      <c r="G207" s="211"/>
      <c r="H207" s="211"/>
      <c r="I207" s="211"/>
    </row>
    <row r="208" ht="14.25" customHeight="1">
      <c r="A208" s="211"/>
      <c r="B208" s="211"/>
      <c r="C208" s="211"/>
      <c r="D208" s="211"/>
      <c r="E208" s="211"/>
      <c r="F208" s="211"/>
      <c r="G208" s="211"/>
      <c r="H208" s="211"/>
      <c r="I208" s="211"/>
    </row>
    <row r="209" ht="14.25" customHeight="1">
      <c r="A209" s="211"/>
      <c r="B209" s="211"/>
      <c r="C209" s="211"/>
      <c r="D209" s="211"/>
      <c r="E209" s="211"/>
      <c r="F209" s="211"/>
      <c r="G209" s="211"/>
      <c r="H209" s="211"/>
      <c r="I209" s="211"/>
    </row>
    <row r="210" ht="14.25" customHeight="1">
      <c r="A210" s="211"/>
      <c r="B210" s="211"/>
      <c r="C210" s="211"/>
      <c r="D210" s="211"/>
      <c r="E210" s="211"/>
      <c r="F210" s="211"/>
      <c r="G210" s="211"/>
      <c r="H210" s="211"/>
      <c r="I210" s="211"/>
    </row>
    <row r="211" ht="14.25" customHeight="1">
      <c r="A211" s="211"/>
      <c r="B211" s="211"/>
      <c r="C211" s="211"/>
      <c r="D211" s="211"/>
      <c r="E211" s="211"/>
      <c r="F211" s="211"/>
      <c r="G211" s="211"/>
      <c r="H211" s="211"/>
      <c r="I211" s="211"/>
    </row>
    <row r="212" ht="14.25" customHeight="1">
      <c r="A212" s="211"/>
      <c r="B212" s="211"/>
      <c r="C212" s="211"/>
      <c r="D212" s="211"/>
      <c r="E212" s="211"/>
      <c r="F212" s="211"/>
      <c r="G212" s="211"/>
      <c r="H212" s="211"/>
      <c r="I212" s="211"/>
    </row>
    <row r="213" ht="14.25" customHeight="1">
      <c r="A213" s="211"/>
      <c r="B213" s="211"/>
      <c r="C213" s="211"/>
      <c r="D213" s="211"/>
      <c r="E213" s="211"/>
      <c r="F213" s="211"/>
      <c r="G213" s="211"/>
      <c r="H213" s="211"/>
      <c r="I213" s="211"/>
    </row>
    <row r="214" ht="14.25" customHeight="1">
      <c r="A214" s="211"/>
      <c r="B214" s="211"/>
      <c r="C214" s="211"/>
      <c r="D214" s="211"/>
      <c r="E214" s="211"/>
      <c r="F214" s="211"/>
      <c r="G214" s="211"/>
      <c r="H214" s="211"/>
      <c r="I214" s="211"/>
    </row>
    <row r="215" ht="14.25" customHeight="1">
      <c r="A215" s="211"/>
      <c r="B215" s="211"/>
      <c r="C215" s="211"/>
      <c r="D215" s="211"/>
      <c r="E215" s="211"/>
      <c r="F215" s="211"/>
      <c r="G215" s="211"/>
      <c r="H215" s="211"/>
      <c r="I215" s="211"/>
    </row>
    <row r="216" ht="14.25" customHeight="1">
      <c r="A216" s="211"/>
      <c r="B216" s="211"/>
      <c r="C216" s="211"/>
      <c r="D216" s="211"/>
      <c r="E216" s="211"/>
      <c r="F216" s="211"/>
      <c r="G216" s="211"/>
      <c r="H216" s="211"/>
      <c r="I216" s="211"/>
    </row>
    <row r="217" ht="14.25" customHeight="1">
      <c r="A217" s="211"/>
      <c r="B217" s="211"/>
      <c r="C217" s="211"/>
      <c r="D217" s="211"/>
      <c r="E217" s="211"/>
      <c r="F217" s="211"/>
      <c r="G217" s="211"/>
      <c r="H217" s="211"/>
      <c r="I217" s="211"/>
    </row>
    <row r="218" ht="14.25" customHeight="1">
      <c r="A218" s="211"/>
      <c r="B218" s="211"/>
      <c r="C218" s="211"/>
      <c r="D218" s="211"/>
      <c r="E218" s="211"/>
      <c r="F218" s="211"/>
      <c r="G218" s="211"/>
      <c r="H218" s="211"/>
      <c r="I218" s="211"/>
    </row>
    <row r="219" ht="14.25" customHeight="1">
      <c r="A219" s="211"/>
      <c r="B219" s="211"/>
      <c r="C219" s="211"/>
      <c r="D219" s="211"/>
      <c r="E219" s="211"/>
      <c r="F219" s="211"/>
      <c r="G219" s="211"/>
      <c r="H219" s="211"/>
      <c r="I219" s="211"/>
    </row>
    <row r="220" ht="14.25" customHeight="1">
      <c r="A220" s="211"/>
      <c r="B220" s="211"/>
      <c r="C220" s="211"/>
      <c r="D220" s="211"/>
      <c r="E220" s="211"/>
      <c r="F220" s="211"/>
      <c r="G220" s="211"/>
      <c r="H220" s="211"/>
      <c r="I220" s="211"/>
    </row>
    <row r="221" ht="14.25" customHeight="1">
      <c r="A221" s="211"/>
      <c r="B221" s="211"/>
      <c r="C221" s="211"/>
      <c r="D221" s="211"/>
      <c r="E221" s="211"/>
      <c r="F221" s="211"/>
      <c r="G221" s="211"/>
      <c r="H221" s="211"/>
      <c r="I221" s="211"/>
    </row>
    <row r="222" ht="14.25" customHeight="1">
      <c r="A222" s="211"/>
      <c r="B222" s="211"/>
      <c r="C222" s="211"/>
      <c r="D222" s="211"/>
      <c r="E222" s="211"/>
      <c r="F222" s="211"/>
      <c r="G222" s="211"/>
      <c r="H222" s="211"/>
      <c r="I222" s="211"/>
    </row>
    <row r="223" ht="14.25" customHeight="1">
      <c r="A223" s="211"/>
      <c r="B223" s="211"/>
      <c r="C223" s="211"/>
      <c r="D223" s="211"/>
      <c r="E223" s="211"/>
      <c r="F223" s="211"/>
      <c r="G223" s="211"/>
      <c r="H223" s="211"/>
      <c r="I223" s="211"/>
    </row>
    <row r="224" ht="14.25" customHeight="1">
      <c r="A224" s="211"/>
      <c r="B224" s="211"/>
      <c r="C224" s="211"/>
      <c r="D224" s="211"/>
      <c r="E224" s="211"/>
      <c r="F224" s="211"/>
      <c r="G224" s="211"/>
      <c r="H224" s="211"/>
      <c r="I224" s="211"/>
    </row>
    <row r="225" ht="14.25" customHeight="1">
      <c r="A225" s="211"/>
      <c r="B225" s="211"/>
      <c r="C225" s="211"/>
      <c r="D225" s="211"/>
      <c r="E225" s="211"/>
      <c r="F225" s="211"/>
      <c r="G225" s="211"/>
      <c r="H225" s="211"/>
      <c r="I225" s="211"/>
    </row>
    <row r="226" ht="14.25" customHeight="1">
      <c r="A226" s="211"/>
      <c r="B226" s="211"/>
      <c r="C226" s="211"/>
      <c r="D226" s="211"/>
      <c r="E226" s="211"/>
      <c r="F226" s="211"/>
      <c r="G226" s="211"/>
      <c r="H226" s="211"/>
      <c r="I226" s="211"/>
    </row>
    <row r="227" ht="14.25" customHeight="1">
      <c r="A227" s="211"/>
      <c r="B227" s="211"/>
      <c r="C227" s="211"/>
      <c r="D227" s="211"/>
      <c r="E227" s="211"/>
      <c r="F227" s="211"/>
      <c r="G227" s="211"/>
      <c r="H227" s="211"/>
      <c r="I227" s="211"/>
    </row>
    <row r="228" ht="14.25" customHeight="1">
      <c r="A228" s="211"/>
      <c r="B228" s="211"/>
      <c r="C228" s="211"/>
      <c r="D228" s="211"/>
      <c r="E228" s="211"/>
      <c r="F228" s="211"/>
      <c r="G228" s="211"/>
      <c r="H228" s="211"/>
      <c r="I228" s="211"/>
    </row>
    <row r="229" ht="14.25" customHeight="1">
      <c r="A229" s="211"/>
      <c r="B229" s="211"/>
      <c r="C229" s="211"/>
      <c r="D229" s="211"/>
      <c r="E229" s="211"/>
      <c r="F229" s="211"/>
      <c r="G229" s="211"/>
      <c r="H229" s="211"/>
      <c r="I229" s="211"/>
    </row>
    <row r="230" ht="14.25" customHeight="1">
      <c r="A230" s="211"/>
      <c r="B230" s="211"/>
      <c r="C230" s="211"/>
      <c r="D230" s="211"/>
      <c r="E230" s="211"/>
      <c r="F230" s="211"/>
      <c r="G230" s="211"/>
      <c r="H230" s="211"/>
      <c r="I230" s="211"/>
    </row>
    <row r="231" ht="14.25" customHeight="1">
      <c r="A231" s="211"/>
      <c r="B231" s="211"/>
      <c r="C231" s="211"/>
      <c r="D231" s="211"/>
      <c r="E231" s="211"/>
      <c r="F231" s="211"/>
      <c r="G231" s="211"/>
      <c r="H231" s="211"/>
      <c r="I231" s="211"/>
    </row>
    <row r="232" ht="14.25" customHeight="1">
      <c r="A232" s="211"/>
      <c r="B232" s="211"/>
      <c r="C232" s="211"/>
      <c r="D232" s="211"/>
      <c r="E232" s="211"/>
      <c r="F232" s="211"/>
      <c r="G232" s="211"/>
      <c r="H232" s="211"/>
      <c r="I232" s="211"/>
    </row>
    <row r="233" ht="14.25" customHeight="1">
      <c r="A233" s="211"/>
      <c r="B233" s="211"/>
      <c r="C233" s="211"/>
      <c r="D233" s="211"/>
      <c r="E233" s="211"/>
      <c r="F233" s="211"/>
      <c r="G233" s="211"/>
      <c r="H233" s="211"/>
      <c r="I233" s="211"/>
    </row>
    <row r="234" ht="14.25" customHeight="1">
      <c r="A234" s="211"/>
      <c r="B234" s="211"/>
      <c r="C234" s="211"/>
      <c r="D234" s="211"/>
      <c r="E234" s="211"/>
      <c r="F234" s="211"/>
      <c r="G234" s="211"/>
      <c r="H234" s="211"/>
      <c r="I234" s="211"/>
    </row>
    <row r="235" ht="14.25" customHeight="1">
      <c r="A235" s="211"/>
      <c r="B235" s="211"/>
      <c r="C235" s="211"/>
      <c r="D235" s="211"/>
      <c r="E235" s="211"/>
      <c r="F235" s="211"/>
      <c r="G235" s="211"/>
      <c r="H235" s="211"/>
      <c r="I235" s="211"/>
    </row>
    <row r="236" ht="14.25" customHeight="1">
      <c r="A236" s="211"/>
      <c r="B236" s="211"/>
      <c r="C236" s="211"/>
      <c r="D236" s="211"/>
      <c r="E236" s="211"/>
      <c r="F236" s="211"/>
      <c r="G236" s="211"/>
      <c r="H236" s="211"/>
      <c r="I236" s="211"/>
    </row>
    <row r="237" ht="14.25" customHeight="1">
      <c r="A237" s="211"/>
      <c r="B237" s="211"/>
      <c r="C237" s="211"/>
      <c r="D237" s="211"/>
      <c r="E237" s="211"/>
      <c r="F237" s="211"/>
      <c r="G237" s="211"/>
      <c r="H237" s="211"/>
      <c r="I237" s="211"/>
    </row>
    <row r="238" ht="14.25" customHeight="1">
      <c r="A238" s="211"/>
      <c r="B238" s="211"/>
      <c r="C238" s="211"/>
      <c r="D238" s="211"/>
      <c r="E238" s="211"/>
      <c r="F238" s="211"/>
      <c r="G238" s="211"/>
      <c r="H238" s="211"/>
      <c r="I238" s="211"/>
    </row>
    <row r="239" ht="14.25" customHeight="1">
      <c r="A239" s="211"/>
      <c r="B239" s="211"/>
      <c r="C239" s="211"/>
      <c r="D239" s="211"/>
      <c r="E239" s="211"/>
      <c r="F239" s="211"/>
      <c r="G239" s="211"/>
      <c r="H239" s="211"/>
      <c r="I239" s="211"/>
    </row>
    <row r="240" ht="14.25" customHeight="1">
      <c r="A240" s="211"/>
      <c r="B240" s="211"/>
      <c r="C240" s="211"/>
      <c r="D240" s="211"/>
      <c r="E240" s="211"/>
      <c r="F240" s="211"/>
      <c r="G240" s="211"/>
      <c r="H240" s="211"/>
      <c r="I240" s="211"/>
    </row>
    <row r="241" ht="14.25" customHeight="1">
      <c r="A241" s="211"/>
      <c r="B241" s="211"/>
      <c r="C241" s="211"/>
      <c r="D241" s="211"/>
      <c r="E241" s="211"/>
      <c r="F241" s="211"/>
      <c r="G241" s="211"/>
      <c r="H241" s="211"/>
      <c r="I241" s="211"/>
    </row>
    <row r="242" ht="14.25" customHeight="1">
      <c r="A242" s="211"/>
      <c r="B242" s="211"/>
      <c r="C242" s="211"/>
      <c r="D242" s="211"/>
      <c r="E242" s="211"/>
      <c r="F242" s="211"/>
      <c r="G242" s="211"/>
      <c r="H242" s="211"/>
      <c r="I242" s="211"/>
    </row>
    <row r="243" ht="14.25" customHeight="1">
      <c r="A243" s="211"/>
      <c r="B243" s="211"/>
      <c r="C243" s="211"/>
      <c r="D243" s="211"/>
      <c r="E243" s="211"/>
      <c r="F243" s="211"/>
      <c r="G243" s="211"/>
      <c r="H243" s="211"/>
      <c r="I243" s="211"/>
    </row>
    <row r="244" ht="14.25" customHeight="1">
      <c r="A244" s="211"/>
      <c r="B244" s="211"/>
      <c r="C244" s="211"/>
      <c r="D244" s="211"/>
      <c r="E244" s="211"/>
      <c r="F244" s="211"/>
      <c r="G244" s="211"/>
      <c r="H244" s="211"/>
      <c r="I244" s="211"/>
    </row>
    <row r="245" ht="14.25" customHeight="1">
      <c r="A245" s="211"/>
      <c r="B245" s="211"/>
      <c r="C245" s="211"/>
      <c r="D245" s="211"/>
      <c r="E245" s="211"/>
      <c r="F245" s="211"/>
      <c r="G245" s="211"/>
      <c r="H245" s="211"/>
      <c r="I245" s="211"/>
    </row>
    <row r="246" ht="14.25" customHeight="1">
      <c r="A246" s="211"/>
      <c r="B246" s="211"/>
      <c r="C246" s="211"/>
      <c r="D246" s="211"/>
      <c r="E246" s="211"/>
      <c r="F246" s="211"/>
      <c r="G246" s="211"/>
      <c r="H246" s="211"/>
      <c r="I246" s="211"/>
    </row>
    <row r="247" ht="14.25" customHeight="1">
      <c r="A247" s="211"/>
      <c r="B247" s="211"/>
      <c r="C247" s="211"/>
      <c r="D247" s="211"/>
      <c r="E247" s="211"/>
      <c r="F247" s="211"/>
      <c r="G247" s="211"/>
      <c r="H247" s="211"/>
      <c r="I247" s="211"/>
    </row>
    <row r="248" ht="14.25" customHeight="1">
      <c r="A248" s="211"/>
      <c r="B248" s="211"/>
      <c r="C248" s="211"/>
      <c r="D248" s="211"/>
      <c r="E248" s="211"/>
      <c r="F248" s="211"/>
      <c r="G248" s="211"/>
      <c r="H248" s="211"/>
      <c r="I248" s="211"/>
    </row>
    <row r="249" ht="14.25" customHeight="1">
      <c r="A249" s="211"/>
      <c r="B249" s="211"/>
      <c r="C249" s="211"/>
      <c r="D249" s="211"/>
      <c r="E249" s="211"/>
      <c r="F249" s="211"/>
      <c r="G249" s="211"/>
      <c r="H249" s="211"/>
      <c r="I249" s="211"/>
    </row>
    <row r="250" ht="14.25" customHeight="1">
      <c r="A250" s="211"/>
      <c r="B250" s="211"/>
      <c r="C250" s="211"/>
      <c r="D250" s="211"/>
      <c r="E250" s="211"/>
      <c r="F250" s="211"/>
      <c r="G250" s="211"/>
      <c r="H250" s="211"/>
      <c r="I250" s="211"/>
    </row>
    <row r="251" ht="14.25" customHeight="1">
      <c r="A251" s="211"/>
      <c r="B251" s="211"/>
      <c r="C251" s="211"/>
      <c r="D251" s="211"/>
      <c r="E251" s="211"/>
      <c r="F251" s="211"/>
      <c r="G251" s="211"/>
      <c r="H251" s="211"/>
      <c r="I251" s="211"/>
    </row>
    <row r="252" ht="14.25" customHeight="1">
      <c r="A252" s="211"/>
      <c r="B252" s="211"/>
      <c r="C252" s="211"/>
      <c r="D252" s="211"/>
      <c r="E252" s="211"/>
      <c r="F252" s="211"/>
      <c r="G252" s="211"/>
      <c r="H252" s="211"/>
      <c r="I252" s="211"/>
    </row>
    <row r="253" ht="14.25" customHeight="1">
      <c r="A253" s="211"/>
      <c r="B253" s="211"/>
      <c r="C253" s="211"/>
      <c r="D253" s="211"/>
      <c r="E253" s="211"/>
      <c r="F253" s="211"/>
      <c r="G253" s="211"/>
      <c r="H253" s="211"/>
      <c r="I253" s="211"/>
    </row>
    <row r="254" ht="14.25" customHeight="1">
      <c r="A254" s="211"/>
      <c r="B254" s="211"/>
      <c r="C254" s="211"/>
      <c r="D254" s="211"/>
      <c r="E254" s="211"/>
      <c r="F254" s="211"/>
      <c r="G254" s="211"/>
      <c r="H254" s="211"/>
      <c r="I254" s="211"/>
    </row>
    <row r="255" ht="14.25" customHeight="1">
      <c r="A255" s="211"/>
      <c r="B255" s="211"/>
      <c r="C255" s="211"/>
      <c r="D255" s="211"/>
      <c r="E255" s="211"/>
      <c r="F255" s="211"/>
      <c r="G255" s="211"/>
      <c r="H255" s="211"/>
      <c r="I255" s="211"/>
    </row>
    <row r="256" ht="14.25" customHeight="1">
      <c r="A256" s="211"/>
      <c r="B256" s="211"/>
      <c r="C256" s="211"/>
      <c r="D256" s="211"/>
      <c r="E256" s="211"/>
      <c r="F256" s="211"/>
      <c r="G256" s="211"/>
      <c r="H256" s="211"/>
      <c r="I256" s="211"/>
    </row>
    <row r="257" ht="14.25" customHeight="1">
      <c r="A257" s="211"/>
      <c r="B257" s="211"/>
      <c r="C257" s="211"/>
      <c r="D257" s="211"/>
      <c r="E257" s="211"/>
      <c r="F257" s="211"/>
      <c r="G257" s="211"/>
      <c r="H257" s="211"/>
      <c r="I257" s="211"/>
    </row>
    <row r="258" ht="14.25" customHeight="1">
      <c r="A258" s="211"/>
      <c r="B258" s="211"/>
      <c r="C258" s="211"/>
      <c r="D258" s="211"/>
      <c r="E258" s="211"/>
      <c r="F258" s="211"/>
      <c r="G258" s="211"/>
      <c r="H258" s="211"/>
      <c r="I258" s="211"/>
    </row>
    <row r="259" ht="14.25" customHeight="1">
      <c r="A259" s="211"/>
      <c r="B259" s="211"/>
      <c r="C259" s="211"/>
      <c r="D259" s="211"/>
      <c r="E259" s="211"/>
      <c r="F259" s="211"/>
      <c r="G259" s="211"/>
      <c r="H259" s="211"/>
      <c r="I259" s="211"/>
    </row>
    <row r="260" ht="14.25" customHeight="1">
      <c r="A260" s="211"/>
      <c r="B260" s="211"/>
      <c r="C260" s="211"/>
      <c r="D260" s="211"/>
      <c r="E260" s="211"/>
      <c r="F260" s="211"/>
      <c r="G260" s="211"/>
      <c r="H260" s="211"/>
      <c r="I260" s="211"/>
    </row>
    <row r="261" ht="14.25" customHeight="1">
      <c r="A261" s="211"/>
      <c r="B261" s="211"/>
      <c r="C261" s="211"/>
      <c r="D261" s="211"/>
      <c r="E261" s="211"/>
      <c r="F261" s="211"/>
      <c r="G261" s="211"/>
      <c r="H261" s="211"/>
      <c r="I261" s="211"/>
    </row>
    <row r="262" ht="14.25" customHeight="1">
      <c r="A262" s="211"/>
      <c r="B262" s="211"/>
      <c r="C262" s="211"/>
      <c r="D262" s="211"/>
      <c r="E262" s="211"/>
      <c r="F262" s="211"/>
      <c r="G262" s="211"/>
      <c r="H262" s="211"/>
      <c r="I262" s="211"/>
    </row>
    <row r="263" ht="14.25" customHeight="1">
      <c r="A263" s="211"/>
      <c r="B263" s="211"/>
      <c r="C263" s="211"/>
      <c r="D263" s="211"/>
      <c r="E263" s="211"/>
      <c r="F263" s="211"/>
      <c r="G263" s="211"/>
      <c r="H263" s="211"/>
      <c r="I263" s="211"/>
    </row>
    <row r="264" ht="14.25" customHeight="1">
      <c r="A264" s="211"/>
      <c r="B264" s="211"/>
      <c r="C264" s="211"/>
      <c r="D264" s="211"/>
      <c r="E264" s="211"/>
      <c r="F264" s="211"/>
      <c r="G264" s="211"/>
      <c r="H264" s="211"/>
      <c r="I264" s="211"/>
    </row>
    <row r="265" ht="14.25" customHeight="1">
      <c r="A265" s="211"/>
      <c r="B265" s="211"/>
      <c r="C265" s="211"/>
      <c r="D265" s="211"/>
      <c r="E265" s="211"/>
      <c r="F265" s="211"/>
      <c r="G265" s="211"/>
      <c r="H265" s="211"/>
      <c r="I265" s="211"/>
    </row>
    <row r="266" ht="14.25" customHeight="1">
      <c r="A266" s="211"/>
      <c r="B266" s="211"/>
      <c r="C266" s="211"/>
      <c r="D266" s="211"/>
      <c r="E266" s="211"/>
      <c r="F266" s="211"/>
      <c r="G266" s="211"/>
      <c r="H266" s="211"/>
      <c r="I266" s="211"/>
    </row>
    <row r="267" ht="14.25" customHeight="1">
      <c r="A267" s="211"/>
      <c r="B267" s="211"/>
      <c r="C267" s="211"/>
      <c r="D267" s="211"/>
      <c r="E267" s="211"/>
      <c r="F267" s="211"/>
      <c r="G267" s="211"/>
      <c r="H267" s="211"/>
      <c r="I267" s="211"/>
    </row>
    <row r="268" ht="14.25" customHeight="1">
      <c r="A268" s="211"/>
      <c r="B268" s="211"/>
      <c r="C268" s="211"/>
      <c r="D268" s="211"/>
      <c r="E268" s="211"/>
      <c r="F268" s="211"/>
      <c r="G268" s="211"/>
      <c r="H268" s="211"/>
      <c r="I268" s="211"/>
    </row>
    <row r="269" ht="14.25" customHeight="1">
      <c r="A269" s="211"/>
      <c r="B269" s="211"/>
      <c r="C269" s="211"/>
      <c r="D269" s="211"/>
      <c r="E269" s="211"/>
      <c r="F269" s="211"/>
      <c r="G269" s="211"/>
      <c r="H269" s="211"/>
      <c r="I269" s="211"/>
    </row>
    <row r="270" ht="14.25" customHeight="1">
      <c r="A270" s="211"/>
      <c r="B270" s="211"/>
      <c r="C270" s="211"/>
      <c r="D270" s="211"/>
      <c r="E270" s="211"/>
      <c r="F270" s="211"/>
      <c r="G270" s="211"/>
      <c r="H270" s="211"/>
      <c r="I270" s="211"/>
    </row>
    <row r="271" ht="14.25" customHeight="1">
      <c r="A271" s="211"/>
      <c r="B271" s="211"/>
      <c r="C271" s="211"/>
      <c r="D271" s="211"/>
      <c r="E271" s="211"/>
      <c r="F271" s="211"/>
      <c r="G271" s="211"/>
      <c r="H271" s="211"/>
      <c r="I271" s="211"/>
    </row>
    <row r="272" ht="14.25" customHeight="1">
      <c r="A272" s="211"/>
      <c r="B272" s="211"/>
      <c r="C272" s="211"/>
      <c r="D272" s="211"/>
      <c r="E272" s="211"/>
      <c r="F272" s="211"/>
      <c r="G272" s="211"/>
      <c r="H272" s="211"/>
      <c r="I272" s="211"/>
    </row>
    <row r="273" ht="14.25" customHeight="1">
      <c r="A273" s="211"/>
      <c r="B273" s="211"/>
      <c r="C273" s="211"/>
      <c r="D273" s="211"/>
      <c r="E273" s="211"/>
      <c r="F273" s="211"/>
      <c r="G273" s="211"/>
      <c r="H273" s="211"/>
      <c r="I273" s="211"/>
    </row>
    <row r="274" ht="14.25" customHeight="1">
      <c r="A274" s="211"/>
      <c r="B274" s="211"/>
      <c r="C274" s="211"/>
      <c r="D274" s="211"/>
      <c r="E274" s="211"/>
      <c r="F274" s="211"/>
      <c r="G274" s="211"/>
      <c r="H274" s="211"/>
      <c r="I274" s="211"/>
    </row>
    <row r="275" ht="14.25" customHeight="1">
      <c r="A275" s="211"/>
      <c r="B275" s="211"/>
      <c r="C275" s="211"/>
      <c r="D275" s="211"/>
      <c r="E275" s="211"/>
      <c r="F275" s="211"/>
      <c r="G275" s="211"/>
      <c r="H275" s="211"/>
      <c r="I275" s="211"/>
    </row>
    <row r="276" ht="14.25" customHeight="1">
      <c r="A276" s="211"/>
      <c r="B276" s="211"/>
      <c r="C276" s="211"/>
      <c r="D276" s="211"/>
      <c r="E276" s="211"/>
      <c r="F276" s="211"/>
      <c r="G276" s="211"/>
      <c r="H276" s="211"/>
      <c r="I276" s="211"/>
    </row>
    <row r="277" ht="14.25" customHeight="1">
      <c r="A277" s="211"/>
      <c r="B277" s="211"/>
      <c r="C277" s="211"/>
      <c r="D277" s="211"/>
      <c r="E277" s="211"/>
      <c r="F277" s="211"/>
      <c r="G277" s="211"/>
      <c r="H277" s="211"/>
      <c r="I277" s="211"/>
    </row>
    <row r="278" ht="14.25" customHeight="1">
      <c r="A278" s="211"/>
      <c r="B278" s="211"/>
      <c r="C278" s="211"/>
      <c r="D278" s="211"/>
      <c r="E278" s="211"/>
      <c r="F278" s="211"/>
      <c r="G278" s="211"/>
      <c r="H278" s="211"/>
      <c r="I278" s="211"/>
    </row>
    <row r="279" ht="14.25" customHeight="1">
      <c r="A279" s="211"/>
      <c r="B279" s="211"/>
      <c r="C279" s="211"/>
      <c r="D279" s="211"/>
      <c r="E279" s="211"/>
      <c r="F279" s="211"/>
      <c r="G279" s="211"/>
      <c r="H279" s="211"/>
      <c r="I279" s="211"/>
    </row>
    <row r="280" ht="14.25" customHeight="1">
      <c r="A280" s="211"/>
      <c r="B280" s="211"/>
      <c r="C280" s="211"/>
      <c r="D280" s="211"/>
      <c r="E280" s="211"/>
      <c r="F280" s="211"/>
      <c r="G280" s="211"/>
      <c r="H280" s="211"/>
      <c r="I280" s="211"/>
    </row>
    <row r="281" ht="14.25" customHeight="1">
      <c r="A281" s="211"/>
      <c r="B281" s="211"/>
      <c r="C281" s="211"/>
      <c r="D281" s="211"/>
      <c r="E281" s="211"/>
      <c r="F281" s="211"/>
      <c r="G281" s="211"/>
      <c r="H281" s="211"/>
      <c r="I281" s="211"/>
    </row>
    <row r="282" ht="14.25" customHeight="1">
      <c r="A282" s="211"/>
      <c r="B282" s="211"/>
      <c r="C282" s="211"/>
      <c r="D282" s="211"/>
      <c r="E282" s="211"/>
      <c r="F282" s="211"/>
      <c r="G282" s="211"/>
      <c r="H282" s="211"/>
      <c r="I282" s="211"/>
    </row>
    <row r="283" ht="14.25" customHeight="1">
      <c r="A283" s="211"/>
      <c r="B283" s="211"/>
      <c r="C283" s="211"/>
      <c r="D283" s="211"/>
      <c r="E283" s="211"/>
      <c r="F283" s="211"/>
      <c r="G283" s="211"/>
      <c r="H283" s="211"/>
      <c r="I283" s="211"/>
    </row>
    <row r="284" ht="14.25" customHeight="1">
      <c r="A284" s="211"/>
      <c r="B284" s="211"/>
      <c r="C284" s="211"/>
      <c r="D284" s="211"/>
      <c r="E284" s="211"/>
      <c r="F284" s="211"/>
      <c r="G284" s="211"/>
      <c r="H284" s="211"/>
      <c r="I284" s="211"/>
    </row>
    <row r="285" ht="14.25" customHeight="1">
      <c r="A285" s="211"/>
      <c r="B285" s="211"/>
      <c r="C285" s="211"/>
      <c r="D285" s="211"/>
      <c r="E285" s="211"/>
      <c r="F285" s="211"/>
      <c r="G285" s="211"/>
      <c r="H285" s="211"/>
      <c r="I285" s="211"/>
    </row>
    <row r="286" ht="14.25" customHeight="1">
      <c r="A286" s="211"/>
      <c r="B286" s="211"/>
      <c r="C286" s="211"/>
      <c r="D286" s="211"/>
      <c r="E286" s="211"/>
      <c r="F286" s="211"/>
      <c r="G286" s="211"/>
      <c r="H286" s="211"/>
      <c r="I286" s="211"/>
    </row>
    <row r="287" ht="14.25" customHeight="1">
      <c r="A287" s="211"/>
      <c r="B287" s="211"/>
      <c r="C287" s="211"/>
      <c r="D287" s="211"/>
      <c r="E287" s="211"/>
      <c r="F287" s="211"/>
      <c r="G287" s="211"/>
      <c r="H287" s="211"/>
      <c r="I287" s="211"/>
    </row>
    <row r="288" ht="14.25" customHeight="1">
      <c r="A288" s="211"/>
      <c r="B288" s="211"/>
      <c r="C288" s="211"/>
      <c r="D288" s="211"/>
      <c r="E288" s="211"/>
      <c r="F288" s="211"/>
      <c r="G288" s="211"/>
      <c r="H288" s="211"/>
      <c r="I288" s="211"/>
    </row>
    <row r="289" ht="14.25" customHeight="1">
      <c r="A289" s="211"/>
      <c r="B289" s="211"/>
      <c r="C289" s="211"/>
      <c r="D289" s="211"/>
      <c r="E289" s="211"/>
      <c r="F289" s="211"/>
      <c r="G289" s="211"/>
      <c r="H289" s="211"/>
      <c r="I289" s="211"/>
    </row>
    <row r="290" ht="14.25" customHeight="1">
      <c r="A290" s="211"/>
      <c r="B290" s="211"/>
      <c r="C290" s="211"/>
      <c r="D290" s="211"/>
      <c r="E290" s="211"/>
      <c r="F290" s="211"/>
      <c r="G290" s="211"/>
      <c r="H290" s="211"/>
      <c r="I290" s="211"/>
    </row>
    <row r="291" ht="14.25" customHeight="1">
      <c r="A291" s="211"/>
      <c r="B291" s="211"/>
      <c r="C291" s="211"/>
      <c r="D291" s="211"/>
      <c r="E291" s="211"/>
      <c r="F291" s="211"/>
      <c r="G291" s="211"/>
      <c r="H291" s="211"/>
      <c r="I291" s="211"/>
    </row>
    <row r="292" ht="14.25" customHeight="1">
      <c r="A292" s="211"/>
      <c r="B292" s="211"/>
      <c r="C292" s="211"/>
      <c r="D292" s="211"/>
      <c r="E292" s="211"/>
      <c r="F292" s="211"/>
      <c r="G292" s="211"/>
      <c r="H292" s="211"/>
      <c r="I292" s="211"/>
    </row>
    <row r="293" ht="14.25" customHeight="1">
      <c r="A293" s="211"/>
      <c r="B293" s="211"/>
      <c r="C293" s="211"/>
      <c r="D293" s="211"/>
      <c r="E293" s="211"/>
      <c r="F293" s="211"/>
      <c r="G293" s="211"/>
      <c r="H293" s="211"/>
      <c r="I293" s="211"/>
    </row>
    <row r="294" ht="14.25" customHeight="1">
      <c r="A294" s="211"/>
      <c r="B294" s="211"/>
      <c r="C294" s="211"/>
      <c r="D294" s="211"/>
      <c r="E294" s="211"/>
      <c r="F294" s="211"/>
      <c r="G294" s="211"/>
      <c r="H294" s="211"/>
      <c r="I294" s="211"/>
    </row>
    <row r="295" ht="14.25" customHeight="1">
      <c r="A295" s="211"/>
      <c r="B295" s="211"/>
      <c r="C295" s="211"/>
      <c r="D295" s="211"/>
      <c r="E295" s="211"/>
      <c r="F295" s="211"/>
      <c r="G295" s="211"/>
      <c r="H295" s="211"/>
      <c r="I295" s="211"/>
    </row>
    <row r="296" ht="14.25" customHeight="1">
      <c r="A296" s="211"/>
      <c r="B296" s="211"/>
      <c r="C296" s="211"/>
      <c r="D296" s="211"/>
      <c r="E296" s="211"/>
      <c r="F296" s="211"/>
      <c r="G296" s="211"/>
      <c r="H296" s="211"/>
      <c r="I296" s="211"/>
    </row>
    <row r="297" ht="14.25" customHeight="1">
      <c r="A297" s="211"/>
      <c r="B297" s="211"/>
      <c r="C297" s="211"/>
      <c r="D297" s="211"/>
      <c r="E297" s="211"/>
      <c r="F297" s="211"/>
      <c r="G297" s="211"/>
      <c r="H297" s="211"/>
      <c r="I297" s="211"/>
    </row>
    <row r="298" ht="14.25" customHeight="1">
      <c r="A298" s="211"/>
      <c r="B298" s="211"/>
      <c r="C298" s="211"/>
      <c r="D298" s="211"/>
      <c r="E298" s="211"/>
      <c r="F298" s="211"/>
      <c r="G298" s="211"/>
      <c r="H298" s="211"/>
      <c r="I298" s="211"/>
    </row>
    <row r="299" ht="14.25" customHeight="1">
      <c r="A299" s="211"/>
      <c r="B299" s="211"/>
      <c r="C299" s="211"/>
      <c r="D299" s="211"/>
      <c r="E299" s="211"/>
      <c r="F299" s="211"/>
      <c r="G299" s="211"/>
      <c r="H299" s="211"/>
      <c r="I299" s="211"/>
    </row>
    <row r="300" ht="14.25" customHeight="1">
      <c r="A300" s="211"/>
      <c r="B300" s="211"/>
      <c r="C300" s="211"/>
      <c r="D300" s="211"/>
      <c r="E300" s="211"/>
      <c r="F300" s="211"/>
      <c r="G300" s="211"/>
      <c r="H300" s="211"/>
      <c r="I300" s="211"/>
    </row>
    <row r="301" ht="14.25" customHeight="1">
      <c r="A301" s="211"/>
      <c r="B301" s="211"/>
      <c r="C301" s="211"/>
      <c r="D301" s="211"/>
      <c r="E301" s="211"/>
      <c r="F301" s="211"/>
      <c r="G301" s="211"/>
      <c r="H301" s="211"/>
      <c r="I301" s="211"/>
    </row>
    <row r="302" ht="14.25" customHeight="1">
      <c r="A302" s="211"/>
      <c r="B302" s="211"/>
      <c r="C302" s="211"/>
      <c r="D302" s="211"/>
      <c r="E302" s="211"/>
      <c r="F302" s="211"/>
      <c r="G302" s="211"/>
      <c r="H302" s="211"/>
      <c r="I302" s="211"/>
    </row>
    <row r="303" ht="14.25" customHeight="1">
      <c r="A303" s="211"/>
      <c r="B303" s="211"/>
      <c r="C303" s="211"/>
      <c r="D303" s="211"/>
      <c r="E303" s="211"/>
      <c r="F303" s="211"/>
      <c r="G303" s="211"/>
      <c r="H303" s="211"/>
      <c r="I303" s="211"/>
    </row>
    <row r="304" ht="14.25" customHeight="1">
      <c r="A304" s="211"/>
      <c r="B304" s="211"/>
      <c r="C304" s="211"/>
      <c r="D304" s="211"/>
      <c r="E304" s="211"/>
      <c r="F304" s="211"/>
      <c r="G304" s="211"/>
      <c r="H304" s="211"/>
      <c r="I304" s="211"/>
    </row>
    <row r="305" ht="14.25" customHeight="1">
      <c r="A305" s="211"/>
      <c r="B305" s="211"/>
      <c r="C305" s="211"/>
      <c r="D305" s="211"/>
      <c r="E305" s="211"/>
      <c r="F305" s="211"/>
      <c r="G305" s="211"/>
      <c r="H305" s="211"/>
      <c r="I305" s="211"/>
    </row>
    <row r="306" ht="14.25" customHeight="1">
      <c r="A306" s="211"/>
      <c r="B306" s="211"/>
      <c r="C306" s="211"/>
      <c r="D306" s="211"/>
      <c r="E306" s="211"/>
      <c r="F306" s="211"/>
      <c r="G306" s="211"/>
      <c r="H306" s="211"/>
      <c r="I306" s="211"/>
    </row>
    <row r="307" ht="14.25" customHeight="1">
      <c r="A307" s="211"/>
      <c r="B307" s="211"/>
      <c r="C307" s="211"/>
      <c r="D307" s="211"/>
      <c r="E307" s="211"/>
      <c r="F307" s="211"/>
      <c r="G307" s="211"/>
      <c r="H307" s="211"/>
      <c r="I307" s="211"/>
    </row>
    <row r="308" ht="14.25" customHeight="1">
      <c r="A308" s="211"/>
      <c r="B308" s="211"/>
      <c r="C308" s="211"/>
      <c r="D308" s="211"/>
      <c r="E308" s="211"/>
      <c r="F308" s="211"/>
      <c r="G308" s="211"/>
      <c r="H308" s="211"/>
      <c r="I308" s="211"/>
    </row>
    <row r="309" ht="14.25" customHeight="1">
      <c r="A309" s="211"/>
      <c r="B309" s="211"/>
      <c r="C309" s="211"/>
      <c r="D309" s="211"/>
      <c r="E309" s="211"/>
      <c r="F309" s="211"/>
      <c r="G309" s="211"/>
      <c r="H309" s="211"/>
      <c r="I309" s="211"/>
    </row>
    <row r="310" ht="14.25" customHeight="1">
      <c r="A310" s="211"/>
      <c r="B310" s="211"/>
      <c r="C310" s="211"/>
      <c r="D310" s="211"/>
      <c r="E310" s="211"/>
      <c r="F310" s="211"/>
      <c r="G310" s="211"/>
      <c r="H310" s="211"/>
      <c r="I310" s="211"/>
    </row>
    <row r="311" ht="14.25" customHeight="1">
      <c r="A311" s="211"/>
      <c r="B311" s="211"/>
      <c r="C311" s="211"/>
      <c r="D311" s="211"/>
      <c r="E311" s="211"/>
      <c r="F311" s="211"/>
      <c r="G311" s="211"/>
      <c r="H311" s="211"/>
      <c r="I311" s="211"/>
    </row>
    <row r="312" ht="14.25" customHeight="1">
      <c r="A312" s="211"/>
      <c r="B312" s="211"/>
      <c r="C312" s="211"/>
      <c r="D312" s="211"/>
      <c r="E312" s="211"/>
      <c r="F312" s="211"/>
      <c r="G312" s="211"/>
      <c r="H312" s="211"/>
      <c r="I312" s="211"/>
    </row>
    <row r="313" ht="14.25" customHeight="1">
      <c r="A313" s="211"/>
      <c r="B313" s="211"/>
      <c r="C313" s="211"/>
      <c r="D313" s="211"/>
      <c r="E313" s="211"/>
      <c r="F313" s="211"/>
      <c r="G313" s="211"/>
      <c r="H313" s="211"/>
      <c r="I313" s="211"/>
    </row>
    <row r="314" ht="14.25" customHeight="1">
      <c r="A314" s="211"/>
      <c r="B314" s="211"/>
      <c r="C314" s="211"/>
      <c r="D314" s="211"/>
      <c r="E314" s="211"/>
      <c r="F314" s="211"/>
      <c r="G314" s="211"/>
      <c r="H314" s="211"/>
      <c r="I314" s="211"/>
    </row>
    <row r="315" ht="14.25" customHeight="1">
      <c r="A315" s="211"/>
      <c r="B315" s="211"/>
      <c r="C315" s="211"/>
      <c r="D315" s="211"/>
      <c r="E315" s="211"/>
      <c r="F315" s="211"/>
      <c r="G315" s="211"/>
      <c r="H315" s="211"/>
      <c r="I315" s="211"/>
    </row>
    <row r="316" ht="14.25" customHeight="1">
      <c r="A316" s="211"/>
      <c r="B316" s="211"/>
      <c r="C316" s="211"/>
      <c r="D316" s="211"/>
      <c r="E316" s="211"/>
      <c r="F316" s="211"/>
      <c r="G316" s="211"/>
      <c r="H316" s="211"/>
      <c r="I316" s="211"/>
    </row>
    <row r="317" ht="14.25" customHeight="1">
      <c r="A317" s="211"/>
      <c r="B317" s="211"/>
      <c r="C317" s="211"/>
      <c r="D317" s="211"/>
      <c r="E317" s="211"/>
      <c r="F317" s="211"/>
      <c r="G317" s="211"/>
      <c r="H317" s="211"/>
      <c r="I317" s="211"/>
    </row>
    <row r="318" ht="14.25" customHeight="1">
      <c r="A318" s="211"/>
      <c r="B318" s="211"/>
      <c r="C318" s="211"/>
      <c r="D318" s="211"/>
      <c r="E318" s="211"/>
      <c r="F318" s="211"/>
      <c r="G318" s="211"/>
      <c r="H318" s="211"/>
      <c r="I318" s="211"/>
    </row>
    <row r="319" ht="14.25" customHeight="1">
      <c r="A319" s="211"/>
      <c r="B319" s="211"/>
      <c r="C319" s="211"/>
      <c r="D319" s="211"/>
      <c r="E319" s="211"/>
      <c r="F319" s="211"/>
      <c r="G319" s="211"/>
      <c r="H319" s="211"/>
      <c r="I319" s="211"/>
    </row>
    <row r="320" ht="14.25" customHeight="1">
      <c r="A320" s="211"/>
      <c r="B320" s="211"/>
      <c r="C320" s="211"/>
      <c r="D320" s="211"/>
      <c r="E320" s="211"/>
      <c r="F320" s="211"/>
      <c r="G320" s="211"/>
      <c r="H320" s="211"/>
      <c r="I320" s="211"/>
    </row>
    <row r="321" ht="14.25" customHeight="1">
      <c r="A321" s="211"/>
      <c r="B321" s="211"/>
      <c r="C321" s="211"/>
      <c r="D321" s="211"/>
      <c r="E321" s="211"/>
      <c r="F321" s="211"/>
      <c r="G321" s="211"/>
      <c r="H321" s="211"/>
      <c r="I321" s="211"/>
    </row>
    <row r="322" ht="14.25" customHeight="1">
      <c r="A322" s="211"/>
      <c r="B322" s="211"/>
      <c r="C322" s="211"/>
      <c r="D322" s="211"/>
      <c r="E322" s="211"/>
      <c r="F322" s="211"/>
      <c r="G322" s="211"/>
      <c r="H322" s="211"/>
      <c r="I322" s="211"/>
    </row>
    <row r="323" ht="14.25" customHeight="1">
      <c r="A323" s="211"/>
      <c r="B323" s="211"/>
      <c r="C323" s="211"/>
      <c r="D323" s="211"/>
      <c r="E323" s="211"/>
      <c r="F323" s="211"/>
      <c r="G323" s="211"/>
      <c r="H323" s="211"/>
      <c r="I323" s="211"/>
    </row>
    <row r="324" ht="14.25" customHeight="1">
      <c r="A324" s="211"/>
      <c r="B324" s="211"/>
      <c r="C324" s="211"/>
      <c r="D324" s="211"/>
      <c r="E324" s="211"/>
      <c r="F324" s="211"/>
      <c r="G324" s="211"/>
      <c r="H324" s="211"/>
      <c r="I324" s="211"/>
    </row>
    <row r="325" ht="14.25" customHeight="1">
      <c r="A325" s="211"/>
      <c r="B325" s="211"/>
      <c r="C325" s="211"/>
      <c r="D325" s="211"/>
      <c r="E325" s="211"/>
      <c r="F325" s="211"/>
      <c r="G325" s="211"/>
      <c r="H325" s="211"/>
      <c r="I325" s="211"/>
    </row>
    <row r="326" ht="14.25" customHeight="1">
      <c r="A326" s="211"/>
      <c r="B326" s="211"/>
      <c r="C326" s="211"/>
      <c r="D326" s="211"/>
      <c r="E326" s="211"/>
      <c r="F326" s="211"/>
      <c r="G326" s="211"/>
      <c r="H326" s="211"/>
      <c r="I326" s="211"/>
    </row>
    <row r="327" ht="14.25" customHeight="1">
      <c r="A327" s="211"/>
      <c r="B327" s="211"/>
      <c r="C327" s="211"/>
      <c r="D327" s="211"/>
      <c r="E327" s="211"/>
      <c r="F327" s="211"/>
      <c r="G327" s="211"/>
      <c r="H327" s="211"/>
      <c r="I327" s="211"/>
    </row>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I1"/>
    <mergeCell ref="A17:I17"/>
    <mergeCell ref="A33:I33"/>
    <mergeCell ref="A49:I49"/>
    <mergeCell ref="A65:I65"/>
    <mergeCell ref="A81:I81"/>
    <mergeCell ref="A97:I97"/>
    <mergeCell ref="A113:I11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topLeftCell="C1" activePane="topRight" state="frozen"/>
      <selection activeCell="D2" sqref="D2" pane="topRight"/>
    </sheetView>
  </sheetViews>
  <sheetFormatPr customHeight="1" defaultColWidth="14.43" defaultRowHeight="15.0"/>
  <cols>
    <col customWidth="1" min="1" max="1" width="18.29"/>
    <col customWidth="1" min="2" max="2" width="24.0"/>
    <col customWidth="1" min="3" max="3" width="16.71"/>
    <col customWidth="1" min="4" max="4" width="23.29"/>
    <col customWidth="1" min="5" max="5" width="18.57"/>
    <col customWidth="1" min="6" max="6" width="13.57"/>
    <col customWidth="1" min="7" max="7" width="9.57"/>
    <col customWidth="1" min="8" max="8" width="24.14"/>
    <col customWidth="1" min="9" max="9" width="22.0"/>
    <col customWidth="1" min="10" max="10" width="12.14"/>
    <col customWidth="1" min="11" max="11" width="18.0"/>
    <col customWidth="1" min="12" max="12" width="16.43"/>
    <col customWidth="1" min="13" max="13" width="16.71"/>
    <col customWidth="1" min="14" max="14" width="16.86"/>
    <col customWidth="1" min="15" max="15" width="17.29"/>
    <col customWidth="1" min="16" max="17" width="12.0"/>
    <col customWidth="1" min="18" max="18" width="11.43"/>
    <col customWidth="1" min="19" max="19" width="20.29"/>
    <col customWidth="1" min="20" max="20" width="11.43"/>
    <col customWidth="1" min="21" max="21" width="18.0"/>
    <col customWidth="1" min="22" max="23" width="11.43"/>
    <col customWidth="1" min="24" max="24" width="18.0"/>
    <col customWidth="1" min="25" max="25" width="15.29"/>
    <col customWidth="1" min="26" max="27" width="17.0"/>
    <col customWidth="1" min="28" max="28" width="18.14"/>
    <col customWidth="1" min="29" max="29" width="17.86"/>
    <col customWidth="1" min="30" max="30" width="15.29"/>
    <col customWidth="1" min="31" max="31" width="18.0"/>
    <col customWidth="1" min="32" max="35" width="11.43"/>
    <col customWidth="1" min="36" max="36" width="18.57"/>
    <col customWidth="1" min="37" max="37" width="16.71"/>
    <col customWidth="1" min="38" max="38" width="15.86"/>
    <col customWidth="1" min="39" max="39" width="18.86"/>
    <col customWidth="1" min="40" max="45" width="11.43"/>
    <col customWidth="1" min="46" max="47" width="13.43"/>
    <col customWidth="1" min="48" max="48" width="15.71"/>
    <col customWidth="1" min="49" max="49" width="19.29"/>
    <col customWidth="1" min="50" max="50" width="15.86"/>
    <col customWidth="1" min="51" max="55" width="11.43"/>
    <col customWidth="1" min="56" max="57" width="13.0"/>
    <col customWidth="1" min="58" max="58" width="11.43"/>
    <col customWidth="1" min="59" max="59" width="17.29"/>
    <col customWidth="1" min="60" max="60" width="15.71"/>
    <col customWidth="1" min="61" max="61" width="16.86"/>
    <col customWidth="1" min="62" max="62" width="15.29"/>
    <col customWidth="1" min="63" max="68" width="11.43"/>
    <col customWidth="1" min="69" max="69" width="19.86"/>
    <col customWidth="1" min="70" max="73" width="11.43"/>
    <col customWidth="1" min="75" max="75" width="11.43"/>
    <col customWidth="1" min="76" max="77" width="13.0"/>
    <col customWidth="1" min="78" max="78" width="11.43"/>
    <col customWidth="1" min="79" max="79" width="16.29"/>
    <col customWidth="1" min="80" max="83" width="11.43"/>
    <col customWidth="1" min="84" max="84" width="14.57"/>
    <col customWidth="1" min="85" max="85" width="13.43"/>
    <col customWidth="1" min="86" max="86" width="15.0"/>
    <col customWidth="1" min="87" max="87" width="16.71"/>
    <col customWidth="1" min="88" max="88" width="11.43"/>
    <col customWidth="1" min="89" max="89" width="16.71"/>
    <col customWidth="1" min="90" max="95" width="11.43"/>
    <col customWidth="1" min="96" max="96" width="15.71"/>
    <col customWidth="1" min="97" max="97" width="14.0"/>
    <col customWidth="1" min="98" max="98" width="16.71"/>
    <col customWidth="1" min="99" max="99" width="18.0"/>
    <col customWidth="1" min="100" max="105" width="11.43"/>
    <col customWidth="1" min="106" max="107" width="13.29"/>
    <col customWidth="1" min="108" max="108" width="11.43"/>
    <col customWidth="1" min="109" max="109" width="17.29"/>
    <col customWidth="1" min="110" max="110" width="15.14"/>
    <col customWidth="1" min="111" max="115" width="11.43"/>
    <col customWidth="1" min="116" max="118" width="13.0"/>
    <col customWidth="1" min="119" max="119" width="19.86"/>
    <col customWidth="1" min="120" max="120" width="15.71"/>
    <col customWidth="1" min="121" max="121" width="15.0"/>
    <col customWidth="1" min="122" max="122" width="15.57"/>
    <col customWidth="1" min="123" max="133" width="11.43"/>
    <col customWidth="1" min="134" max="134" width="13.71"/>
    <col customWidth="1" min="135" max="144" width="11.43"/>
    <col customWidth="1" min="145" max="145" width="14.57"/>
    <col customWidth="1" min="146" max="146" width="13.14"/>
    <col customWidth="1" min="147" max="164" width="11.43"/>
  </cols>
  <sheetData>
    <row r="1" ht="14.25" customHeight="1">
      <c r="A1" s="227"/>
      <c r="B1" s="228"/>
      <c r="C1" s="229" t="s">
        <v>83</v>
      </c>
      <c r="D1" s="50"/>
      <c r="E1" s="50"/>
      <c r="F1" s="50"/>
      <c r="G1" s="50"/>
      <c r="H1" s="50"/>
      <c r="I1" s="50"/>
      <c r="J1" s="50"/>
      <c r="K1" s="50"/>
      <c r="L1" s="50"/>
      <c r="M1" s="50"/>
      <c r="N1" s="51"/>
      <c r="O1" s="229" t="s">
        <v>84</v>
      </c>
      <c r="P1" s="50"/>
      <c r="Q1" s="50"/>
      <c r="R1" s="50"/>
      <c r="S1" s="50"/>
      <c r="T1" s="50"/>
      <c r="U1" s="50"/>
      <c r="V1" s="50"/>
      <c r="W1" s="50"/>
      <c r="X1" s="50"/>
      <c r="Y1" s="50"/>
      <c r="Z1" s="51"/>
      <c r="AA1" s="229" t="s">
        <v>85</v>
      </c>
      <c r="AB1" s="50"/>
      <c r="AC1" s="50"/>
      <c r="AD1" s="50"/>
      <c r="AE1" s="50"/>
      <c r="AF1" s="50"/>
      <c r="AG1" s="50"/>
      <c r="AH1" s="50"/>
      <c r="AI1" s="50"/>
      <c r="AJ1" s="50"/>
      <c r="AK1" s="50"/>
      <c r="AL1" s="51"/>
      <c r="AM1" s="229" t="s">
        <v>86</v>
      </c>
      <c r="AN1" s="50"/>
      <c r="AO1" s="50"/>
      <c r="AP1" s="50"/>
      <c r="AQ1" s="50"/>
      <c r="AR1" s="50"/>
      <c r="AS1" s="50"/>
      <c r="AT1" s="50"/>
      <c r="AU1" s="50"/>
      <c r="AV1" s="50"/>
      <c r="AW1" s="50"/>
      <c r="AX1" s="51"/>
      <c r="AY1" s="229" t="s">
        <v>87</v>
      </c>
      <c r="AZ1" s="50"/>
      <c r="BA1" s="50"/>
      <c r="BB1" s="50"/>
      <c r="BC1" s="50"/>
      <c r="BD1" s="50"/>
      <c r="BE1" s="50"/>
      <c r="BF1" s="50"/>
      <c r="BG1" s="50"/>
      <c r="BH1" s="50"/>
      <c r="BI1" s="50"/>
      <c r="BJ1" s="51"/>
      <c r="BK1" s="229" t="s">
        <v>88</v>
      </c>
      <c r="BL1" s="50"/>
      <c r="BM1" s="50"/>
      <c r="BN1" s="50"/>
      <c r="BO1" s="50"/>
      <c r="BP1" s="50"/>
      <c r="BQ1" s="50"/>
      <c r="BR1" s="50"/>
      <c r="BS1" s="50"/>
      <c r="BT1" s="50"/>
      <c r="BU1" s="50"/>
      <c r="BV1" s="51"/>
      <c r="BW1" s="229" t="s">
        <v>89</v>
      </c>
      <c r="BX1" s="50"/>
      <c r="BY1" s="50"/>
      <c r="BZ1" s="50"/>
      <c r="CA1" s="50"/>
      <c r="CB1" s="50"/>
      <c r="CC1" s="50"/>
      <c r="CD1" s="50"/>
      <c r="CE1" s="50"/>
      <c r="CF1" s="50"/>
      <c r="CG1" s="50"/>
      <c r="CH1" s="51"/>
      <c r="CI1" s="229" t="s">
        <v>90</v>
      </c>
      <c r="CJ1" s="50"/>
      <c r="CK1" s="50"/>
      <c r="CL1" s="50"/>
      <c r="CM1" s="50"/>
      <c r="CN1" s="50"/>
      <c r="CO1" s="50"/>
      <c r="CP1" s="50"/>
      <c r="CQ1" s="50"/>
      <c r="CR1" s="50"/>
      <c r="CS1" s="50"/>
      <c r="CT1" s="51"/>
      <c r="CU1" s="229" t="s">
        <v>91</v>
      </c>
      <c r="CV1" s="50"/>
      <c r="CW1" s="50"/>
      <c r="CX1" s="50"/>
      <c r="CY1" s="50"/>
      <c r="CZ1" s="50"/>
      <c r="DA1" s="50"/>
      <c r="DB1" s="50"/>
      <c r="DC1" s="50"/>
      <c r="DD1" s="50"/>
      <c r="DE1" s="50"/>
      <c r="DF1" s="51"/>
      <c r="DG1" s="229" t="s">
        <v>92</v>
      </c>
      <c r="DH1" s="50"/>
      <c r="DI1" s="50"/>
      <c r="DJ1" s="50"/>
      <c r="DK1" s="50"/>
      <c r="DL1" s="50"/>
      <c r="DM1" s="50"/>
      <c r="DN1" s="50"/>
      <c r="DO1" s="50"/>
      <c r="DP1" s="50"/>
      <c r="DQ1" s="50"/>
      <c r="DR1" s="51"/>
      <c r="DS1" s="229" t="s">
        <v>93</v>
      </c>
      <c r="DT1" s="50"/>
      <c r="DU1" s="50"/>
      <c r="DV1" s="50"/>
      <c r="DW1" s="50"/>
      <c r="DX1" s="50"/>
      <c r="DY1" s="50"/>
      <c r="DZ1" s="50"/>
      <c r="EA1" s="50"/>
      <c r="EB1" s="50"/>
      <c r="EC1" s="50"/>
      <c r="ED1" s="51"/>
      <c r="EE1" s="229" t="s">
        <v>94</v>
      </c>
      <c r="EF1" s="50"/>
      <c r="EG1" s="50"/>
      <c r="EH1" s="50"/>
      <c r="EI1" s="50"/>
      <c r="EJ1" s="50"/>
      <c r="EK1" s="50"/>
      <c r="EL1" s="50"/>
      <c r="EM1" s="50"/>
      <c r="EN1" s="50"/>
      <c r="EO1" s="50"/>
      <c r="EP1" s="51"/>
      <c r="EQ1" s="230"/>
      <c r="ER1" s="230"/>
      <c r="ES1" s="230"/>
      <c r="ET1" s="230"/>
      <c r="EU1" s="230"/>
      <c r="EV1" s="230"/>
      <c r="EW1" s="230"/>
      <c r="EX1" s="230"/>
      <c r="EY1" s="230"/>
      <c r="EZ1" s="230"/>
      <c r="FA1" s="230"/>
      <c r="FB1" s="230"/>
      <c r="FC1" s="230"/>
      <c r="FD1" s="230"/>
      <c r="FE1" s="230"/>
      <c r="FF1" s="230"/>
      <c r="FG1" s="230"/>
      <c r="FH1" s="230"/>
    </row>
    <row r="2" ht="14.25" customHeight="1">
      <c r="A2" s="231"/>
      <c r="B2" s="232" t="s">
        <v>10</v>
      </c>
      <c r="C2" s="233" t="s">
        <v>371</v>
      </c>
      <c r="D2" s="234" t="s">
        <v>372</v>
      </c>
      <c r="E2" s="235" t="s">
        <v>373</v>
      </c>
      <c r="F2" s="234" t="s">
        <v>374</v>
      </c>
      <c r="G2" s="234" t="s">
        <v>375</v>
      </c>
      <c r="H2" s="234" t="s">
        <v>376</v>
      </c>
      <c r="I2" s="234" t="s">
        <v>377</v>
      </c>
      <c r="J2" s="234" t="s">
        <v>378</v>
      </c>
      <c r="K2" s="236" t="s">
        <v>379</v>
      </c>
      <c r="L2" s="236" t="s">
        <v>56</v>
      </c>
      <c r="M2" s="237" t="s">
        <v>380</v>
      </c>
      <c r="N2" s="238" t="s">
        <v>381</v>
      </c>
      <c r="O2" s="233" t="s">
        <v>371</v>
      </c>
      <c r="P2" s="234" t="s">
        <v>372</v>
      </c>
      <c r="Q2" s="235" t="s">
        <v>373</v>
      </c>
      <c r="R2" s="234" t="s">
        <v>382</v>
      </c>
      <c r="S2" s="234" t="s">
        <v>375</v>
      </c>
      <c r="T2" s="234" t="s">
        <v>376</v>
      </c>
      <c r="U2" s="234" t="s">
        <v>377</v>
      </c>
      <c r="V2" s="234" t="s">
        <v>378</v>
      </c>
      <c r="W2" s="236" t="s">
        <v>379</v>
      </c>
      <c r="X2" s="234" t="s">
        <v>56</v>
      </c>
      <c r="Y2" s="237" t="s">
        <v>380</v>
      </c>
      <c r="Z2" s="239" t="s">
        <v>381</v>
      </c>
      <c r="AA2" s="240" t="s">
        <v>371</v>
      </c>
      <c r="AB2" s="234" t="s">
        <v>372</v>
      </c>
      <c r="AC2" s="235" t="s">
        <v>373</v>
      </c>
      <c r="AD2" s="234" t="s">
        <v>382</v>
      </c>
      <c r="AE2" s="234" t="s">
        <v>375</v>
      </c>
      <c r="AF2" s="234" t="s">
        <v>376</v>
      </c>
      <c r="AG2" s="234" t="s">
        <v>377</v>
      </c>
      <c r="AH2" s="234" t="s">
        <v>378</v>
      </c>
      <c r="AI2" s="236" t="s">
        <v>379</v>
      </c>
      <c r="AJ2" s="234" t="s">
        <v>56</v>
      </c>
      <c r="AK2" s="241" t="s">
        <v>380</v>
      </c>
      <c r="AL2" s="239" t="s">
        <v>381</v>
      </c>
      <c r="AM2" s="233" t="s">
        <v>371</v>
      </c>
      <c r="AN2" s="234" t="s">
        <v>372</v>
      </c>
      <c r="AO2" s="235" t="s">
        <v>373</v>
      </c>
      <c r="AP2" s="234" t="s">
        <v>382</v>
      </c>
      <c r="AQ2" s="234" t="s">
        <v>375</v>
      </c>
      <c r="AR2" s="234" t="s">
        <v>376</v>
      </c>
      <c r="AS2" s="234" t="s">
        <v>377</v>
      </c>
      <c r="AT2" s="234" t="s">
        <v>378</v>
      </c>
      <c r="AU2" s="236" t="s">
        <v>379</v>
      </c>
      <c r="AV2" s="234" t="s">
        <v>56</v>
      </c>
      <c r="AW2" s="241" t="s">
        <v>380</v>
      </c>
      <c r="AX2" s="239" t="s">
        <v>381</v>
      </c>
      <c r="AY2" s="233" t="s">
        <v>371</v>
      </c>
      <c r="AZ2" s="234" t="s">
        <v>372</v>
      </c>
      <c r="BA2" s="235" t="s">
        <v>373</v>
      </c>
      <c r="BB2" s="234" t="s">
        <v>382</v>
      </c>
      <c r="BC2" s="234" t="s">
        <v>375</v>
      </c>
      <c r="BD2" s="234" t="s">
        <v>376</v>
      </c>
      <c r="BE2" s="234" t="s">
        <v>377</v>
      </c>
      <c r="BF2" s="234" t="s">
        <v>378</v>
      </c>
      <c r="BG2" s="236" t="s">
        <v>379</v>
      </c>
      <c r="BH2" s="234" t="s">
        <v>56</v>
      </c>
      <c r="BI2" s="241" t="s">
        <v>380</v>
      </c>
      <c r="BJ2" s="239" t="s">
        <v>381</v>
      </c>
      <c r="BK2" s="233" t="s">
        <v>371</v>
      </c>
      <c r="BL2" s="234" t="s">
        <v>372</v>
      </c>
      <c r="BM2" s="235" t="s">
        <v>373</v>
      </c>
      <c r="BN2" s="234" t="s">
        <v>382</v>
      </c>
      <c r="BO2" s="234" t="s">
        <v>375</v>
      </c>
      <c r="BP2" s="234" t="s">
        <v>376</v>
      </c>
      <c r="BQ2" s="234" t="s">
        <v>377</v>
      </c>
      <c r="BR2" s="234" t="s">
        <v>378</v>
      </c>
      <c r="BS2" s="236" t="s">
        <v>379</v>
      </c>
      <c r="BT2" s="234" t="s">
        <v>56</v>
      </c>
      <c r="BU2" s="234" t="s">
        <v>380</v>
      </c>
      <c r="BV2" s="239" t="s">
        <v>381</v>
      </c>
      <c r="BW2" s="233" t="s">
        <v>371</v>
      </c>
      <c r="BX2" s="234" t="s">
        <v>372</v>
      </c>
      <c r="BY2" s="235" t="s">
        <v>373</v>
      </c>
      <c r="BZ2" s="234" t="s">
        <v>382</v>
      </c>
      <c r="CA2" s="234" t="s">
        <v>375</v>
      </c>
      <c r="CB2" s="234" t="s">
        <v>376</v>
      </c>
      <c r="CC2" s="234" t="s">
        <v>377</v>
      </c>
      <c r="CD2" s="234" t="s">
        <v>378</v>
      </c>
      <c r="CE2" s="236" t="s">
        <v>379</v>
      </c>
      <c r="CF2" s="234" t="s">
        <v>56</v>
      </c>
      <c r="CG2" s="234" t="s">
        <v>380</v>
      </c>
      <c r="CH2" s="239" t="s">
        <v>381</v>
      </c>
      <c r="CI2" s="233" t="s">
        <v>371</v>
      </c>
      <c r="CJ2" s="234" t="s">
        <v>372</v>
      </c>
      <c r="CK2" s="235" t="s">
        <v>373</v>
      </c>
      <c r="CL2" s="234" t="s">
        <v>382</v>
      </c>
      <c r="CM2" s="234" t="s">
        <v>375</v>
      </c>
      <c r="CN2" s="234" t="s">
        <v>376</v>
      </c>
      <c r="CO2" s="234" t="s">
        <v>377</v>
      </c>
      <c r="CP2" s="234" t="s">
        <v>378</v>
      </c>
      <c r="CQ2" s="236" t="s">
        <v>379</v>
      </c>
      <c r="CR2" s="234" t="s">
        <v>56</v>
      </c>
      <c r="CS2" s="234" t="s">
        <v>380</v>
      </c>
      <c r="CT2" s="239" t="s">
        <v>381</v>
      </c>
      <c r="CU2" s="233" t="s">
        <v>371</v>
      </c>
      <c r="CV2" s="234" t="s">
        <v>372</v>
      </c>
      <c r="CW2" s="235" t="s">
        <v>373</v>
      </c>
      <c r="CX2" s="234" t="s">
        <v>382</v>
      </c>
      <c r="CY2" s="234" t="s">
        <v>375</v>
      </c>
      <c r="CZ2" s="234" t="s">
        <v>376</v>
      </c>
      <c r="DA2" s="234" t="s">
        <v>377</v>
      </c>
      <c r="DB2" s="234" t="s">
        <v>378</v>
      </c>
      <c r="DC2" s="236" t="s">
        <v>379</v>
      </c>
      <c r="DD2" s="234" t="s">
        <v>56</v>
      </c>
      <c r="DE2" s="234" t="s">
        <v>380</v>
      </c>
      <c r="DF2" s="239" t="s">
        <v>381</v>
      </c>
      <c r="DG2" s="233" t="s">
        <v>371</v>
      </c>
      <c r="DH2" s="234" t="s">
        <v>372</v>
      </c>
      <c r="DI2" s="235" t="s">
        <v>373</v>
      </c>
      <c r="DJ2" s="234" t="s">
        <v>382</v>
      </c>
      <c r="DK2" s="234" t="s">
        <v>375</v>
      </c>
      <c r="DL2" s="234" t="s">
        <v>376</v>
      </c>
      <c r="DM2" s="234" t="s">
        <v>377</v>
      </c>
      <c r="DN2" s="234" t="s">
        <v>378</v>
      </c>
      <c r="DO2" s="236" t="s">
        <v>379</v>
      </c>
      <c r="DP2" s="234" t="s">
        <v>56</v>
      </c>
      <c r="DQ2" s="234" t="s">
        <v>380</v>
      </c>
      <c r="DR2" s="239" t="s">
        <v>381</v>
      </c>
      <c r="DS2" s="233" t="s">
        <v>371</v>
      </c>
      <c r="DT2" s="234" t="s">
        <v>372</v>
      </c>
      <c r="DU2" s="235" t="s">
        <v>373</v>
      </c>
      <c r="DV2" s="234" t="s">
        <v>382</v>
      </c>
      <c r="DW2" s="234" t="s">
        <v>375</v>
      </c>
      <c r="DX2" s="234" t="s">
        <v>376</v>
      </c>
      <c r="DY2" s="234" t="s">
        <v>377</v>
      </c>
      <c r="DZ2" s="234" t="s">
        <v>378</v>
      </c>
      <c r="EA2" s="236" t="s">
        <v>379</v>
      </c>
      <c r="EB2" s="234" t="s">
        <v>56</v>
      </c>
      <c r="EC2" s="234" t="s">
        <v>380</v>
      </c>
      <c r="ED2" s="239" t="s">
        <v>381</v>
      </c>
      <c r="EE2" s="233" t="s">
        <v>371</v>
      </c>
      <c r="EF2" s="234" t="s">
        <v>372</v>
      </c>
      <c r="EG2" s="235" t="s">
        <v>373</v>
      </c>
      <c r="EH2" s="234" t="s">
        <v>382</v>
      </c>
      <c r="EI2" s="234" t="s">
        <v>375</v>
      </c>
      <c r="EJ2" s="234" t="s">
        <v>376</v>
      </c>
      <c r="EK2" s="234" t="s">
        <v>377</v>
      </c>
      <c r="EL2" s="234" t="s">
        <v>378</v>
      </c>
      <c r="EM2" s="236" t="s">
        <v>379</v>
      </c>
      <c r="EN2" s="234" t="s">
        <v>56</v>
      </c>
      <c r="EO2" s="234" t="s">
        <v>380</v>
      </c>
      <c r="EP2" s="239" t="s">
        <v>381</v>
      </c>
      <c r="ER2" s="155" t="s">
        <v>383</v>
      </c>
    </row>
    <row r="3" ht="14.25" customHeight="1">
      <c r="A3" s="77"/>
      <c r="B3" s="242"/>
      <c r="C3" s="243"/>
      <c r="D3" s="244"/>
      <c r="E3" s="244"/>
      <c r="F3" s="244"/>
      <c r="G3" s="244"/>
      <c r="H3" s="244"/>
      <c r="I3" s="244"/>
      <c r="J3" s="244"/>
      <c r="K3" s="244"/>
      <c r="L3" s="244"/>
      <c r="M3" s="234"/>
      <c r="N3" s="245"/>
      <c r="O3" s="243"/>
      <c r="P3" s="244"/>
      <c r="Q3" s="244"/>
      <c r="R3" s="244"/>
      <c r="S3" s="244"/>
      <c r="T3" s="244"/>
      <c r="U3" s="244"/>
      <c r="V3" s="246"/>
      <c r="W3" s="246"/>
      <c r="X3" s="244"/>
      <c r="Y3" s="244"/>
      <c r="Z3" s="245"/>
      <c r="AA3" s="243"/>
      <c r="AB3" s="244"/>
      <c r="AC3" s="244"/>
      <c r="AD3" s="244"/>
      <c r="AE3" s="244"/>
      <c r="AF3" s="244"/>
      <c r="AG3" s="244"/>
      <c r="AH3" s="244"/>
      <c r="AI3" s="244"/>
      <c r="AJ3" s="244"/>
      <c r="AK3" s="244"/>
      <c r="AL3" s="245"/>
      <c r="AM3" s="243"/>
      <c r="AN3" s="244"/>
      <c r="AO3" s="244"/>
      <c r="AP3" s="244"/>
      <c r="AQ3" s="244"/>
      <c r="AR3" s="244"/>
      <c r="AS3" s="244"/>
      <c r="AT3" s="244"/>
      <c r="AU3" s="244"/>
      <c r="AV3" s="244"/>
      <c r="AW3" s="244"/>
      <c r="AX3" s="245"/>
      <c r="AY3" s="243"/>
      <c r="AZ3" s="244"/>
      <c r="BA3" s="244"/>
      <c r="BB3" s="244"/>
      <c r="BC3" s="244"/>
      <c r="BD3" s="244"/>
      <c r="BE3" s="244"/>
      <c r="BF3" s="244"/>
      <c r="BG3" s="244"/>
      <c r="BH3" s="244"/>
      <c r="BI3" s="244"/>
      <c r="BJ3" s="245"/>
      <c r="BK3" s="243"/>
      <c r="BL3" s="244"/>
      <c r="BM3" s="244"/>
      <c r="BN3" s="244"/>
      <c r="BO3" s="244"/>
      <c r="BP3" s="244"/>
      <c r="BQ3" s="244"/>
      <c r="BR3" s="244"/>
      <c r="BS3" s="244"/>
      <c r="BT3" s="244"/>
      <c r="BU3" s="244"/>
      <c r="BV3" s="245"/>
      <c r="BW3" s="243"/>
      <c r="BX3" s="244"/>
      <c r="BY3" s="244"/>
      <c r="BZ3" s="244"/>
      <c r="CA3" s="244"/>
      <c r="CB3" s="244"/>
      <c r="CC3" s="244"/>
      <c r="CD3" s="244"/>
      <c r="CE3" s="244"/>
      <c r="CF3" s="244"/>
      <c r="CG3" s="244"/>
      <c r="CH3" s="245"/>
      <c r="CI3" s="243"/>
      <c r="CJ3" s="244"/>
      <c r="CK3" s="244"/>
      <c r="CL3" s="244"/>
      <c r="CM3" s="244"/>
      <c r="CN3" s="244"/>
      <c r="CO3" s="244"/>
      <c r="CP3" s="244"/>
      <c r="CQ3" s="244"/>
      <c r="CR3" s="244"/>
      <c r="CS3" s="244"/>
      <c r="CT3" s="245"/>
      <c r="CU3" s="243"/>
      <c r="CV3" s="244"/>
      <c r="CW3" s="244"/>
      <c r="CX3" s="244"/>
      <c r="CY3" s="244"/>
      <c r="CZ3" s="244"/>
      <c r="DA3" s="244"/>
      <c r="DB3" s="244"/>
      <c r="DC3" s="244"/>
      <c r="DD3" s="244"/>
      <c r="DE3" s="244"/>
      <c r="DF3" s="245"/>
      <c r="DG3" s="243"/>
      <c r="DH3" s="244"/>
      <c r="DI3" s="244"/>
      <c r="DJ3" s="244"/>
      <c r="DK3" s="244"/>
      <c r="DL3" s="244"/>
      <c r="DM3" s="244"/>
      <c r="DN3" s="244"/>
      <c r="DO3" s="244"/>
      <c r="DP3" s="244"/>
      <c r="DQ3" s="244"/>
      <c r="DR3" s="245"/>
      <c r="DS3" s="243"/>
      <c r="DT3" s="244"/>
      <c r="DU3" s="244"/>
      <c r="DV3" s="244"/>
      <c r="DW3" s="244"/>
      <c r="DX3" s="244"/>
      <c r="DY3" s="244"/>
      <c r="DZ3" s="244"/>
      <c r="EA3" s="244"/>
      <c r="EB3" s="244"/>
      <c r="EC3" s="244"/>
      <c r="ED3" s="245"/>
      <c r="EE3" s="243"/>
      <c r="EF3" s="244"/>
      <c r="EG3" s="244"/>
      <c r="EH3" s="244"/>
      <c r="EI3" s="244"/>
      <c r="EJ3" s="244"/>
      <c r="EK3" s="244"/>
      <c r="EL3" s="244"/>
      <c r="EM3" s="244"/>
      <c r="EN3" s="244"/>
      <c r="EO3" s="244"/>
      <c r="EP3" s="245"/>
      <c r="ER3" s="247">
        <f>MAX(C4,O4,AA4,AM4,AY4,BK4,BW4,CI4,CU4,DG4,DS4,EE4)</f>
        <v>624086.2941</v>
      </c>
    </row>
    <row r="4" ht="14.25" customHeight="1">
      <c r="A4" s="77">
        <v>1.0</v>
      </c>
      <c r="B4" s="248" t="s">
        <v>21</v>
      </c>
      <c r="C4" s="249">
        <f>EOQ!C4*$B$24</f>
        <v>624086.2941</v>
      </c>
      <c r="D4" s="249">
        <f>SQRT($B$24)*EOQ!D4</f>
        <v>2016.738155</v>
      </c>
      <c r="E4" s="250">
        <f>('Sourcing_costs_LT_and stdv'!C6 +'Sourcing_costs_LT_and stdv'!C4/$B$43)</f>
        <v>410.005825</v>
      </c>
      <c r="F4" s="250">
        <f t="shared" ref="F4:F11" si="1">E4*C4/C15</f>
        <v>99511.3959</v>
      </c>
      <c r="G4" s="249">
        <f t="shared" ref="G4:G11" si="2">IF(ROUNDUP(C4/$B$43)=0,1,ROUNDUP(C4/$B$43))</f>
        <v>16</v>
      </c>
      <c r="H4" s="250">
        <f>'Sourcing_costs_LT_and stdv'!C4*IF(ROUNDUP(C4/$B$43)=0,1,ROUNDUP(C4/$B$43))</f>
        <v>15026784</v>
      </c>
      <c r="I4" s="250">
        <f t="shared" ref="I4:I11" si="3">C15*E4*$B$38/2</f>
        <v>105427.0077</v>
      </c>
      <c r="J4" s="250">
        <f>C4*(E4*$B$38)*'Sourcing_costs_LT_and stdv'!C3/(24*30)</f>
        <v>364864.5226</v>
      </c>
      <c r="K4" s="250">
        <f>C4*'Sourcing_costs_LT_and stdv'!C6</f>
        <v>241521395.8</v>
      </c>
      <c r="L4" s="250">
        <f>5%*'Incomes and Costs'!$B15*C4</f>
        <v>11693816.94</v>
      </c>
      <c r="M4" s="250">
        <f>1.64*D4*SQRT('Sourcing_costs_LT_and stdv'!C3)*D36</f>
        <v>561648.668</v>
      </c>
      <c r="N4" s="251">
        <f>-EOQ_ReorderPt!H4*(1-_xlfn.norm.dist(EOQ_ReorderPt!H4/'Sourcing_costs_LT_and stdv'!C5,0,1,1))+'Sourcing_costs_LT_and stdv'!C5*_xlfn.norm.dist(EOQ_ReorderPt!H4/'Sourcing_costs_LT_and stdv'!C5,0,1,0)</f>
        <v>0</v>
      </c>
      <c r="O4" s="249">
        <f>EOQ!E4*$B$24</f>
        <v>487137.9875</v>
      </c>
      <c r="P4" s="252">
        <f>SQRT($B$24)*EOQ!F4</f>
        <v>699.9961745</v>
      </c>
      <c r="Q4" s="250">
        <f>'Sourcing_costs_LT_and stdv'!D6+T4/O4</f>
        <v>436.1788693</v>
      </c>
      <c r="R4" s="250">
        <f t="shared" ref="R4:R9" si="4">Q4*O4/E15</f>
        <v>96139.73892</v>
      </c>
      <c r="S4" s="253">
        <f t="shared" ref="S4:S11" si="5">IF(ROUNDUP(O4/$B$43)=0,1,ROUNDUP(O4/$B$43))</f>
        <v>12</v>
      </c>
      <c r="T4" s="250">
        <f>'Sourcing_costs_LT_and stdv'!D4*IF(ROUNDUP(O4/$B$43)=0,1,ROUNDUP(O4/$B$43))</f>
        <v>574272</v>
      </c>
      <c r="U4" s="254">
        <f t="shared" ref="U4:U11" si="6">E15*$B$38*Q4/2</f>
        <v>96400.28187</v>
      </c>
      <c r="V4" s="255">
        <f>O4*$B$38*Q4*'Sourcing_costs_LT_and stdv'!D3/(24*30)</f>
        <v>29511.01341</v>
      </c>
      <c r="W4" s="256">
        <f>O4*'Sourcing_costs_LT_and stdv'!D6</f>
        <v>211905024.5</v>
      </c>
      <c r="X4" s="250">
        <f>5%*'Incomes and Costs'!$B15*O4</f>
        <v>9127748.04</v>
      </c>
      <c r="Y4" s="250">
        <f>1.64*P4*SQRT('Sourcing_costs_LT_and stdv'!D3)*D36</f>
        <v>60840.97343</v>
      </c>
      <c r="Z4" s="257">
        <f>-EOQ_ReorderPt!N4*(1-_xlfn.norm.dist(EOQ_ReorderPt!N4/'Sourcing_costs_LT_and stdv'!D5,0,1,1))+'Sourcing_costs_LT_and stdv'!D5*_xlfn.norm.dist(EOQ_ReorderPt!N4/'Sourcing_costs_LT_and stdv'!D5,0,1,0)</f>
        <v>0</v>
      </c>
      <c r="AA4" s="249">
        <f>$B$24*EOQ!G4</f>
        <v>508540.6492</v>
      </c>
      <c r="AB4" s="252">
        <f>SQRT($B$24)*EOQ!H4</f>
        <v>711.6006332</v>
      </c>
      <c r="AC4" s="250">
        <f>'Sourcing_costs_LT_and stdv'!E6+AF4/AA4</f>
        <v>529.2233594</v>
      </c>
      <c r="AD4" s="250">
        <f t="shared" ref="AD4:AD7" si="7">AC4*AA4/G15</f>
        <v>119206.3253</v>
      </c>
      <c r="AE4" s="253">
        <f t="shared" ref="AE4:AE11" si="8">IF(ROUNDUP(AA4/$B$43)=0,1,ROUNDUP(AA4/$B$43))</f>
        <v>13</v>
      </c>
      <c r="AF4" s="250">
        <f>'Sourcing_costs_LT_and stdv'!E4*IF(ROUNDUP(AA4/$B$43)=0,1,ROUNDUP(AA4/$B$43))</f>
        <v>622128</v>
      </c>
      <c r="AG4" s="250">
        <f t="shared" ref="AG4:AG11" si="9">E15*$B$38*AC4/2</f>
        <v>116964.1278</v>
      </c>
      <c r="AH4" s="255">
        <f>AA4*$B$38*AC4*'Sourcing_costs_LT_and stdv'!E3/(24*30)</f>
        <v>37379.38761</v>
      </c>
      <c r="AI4" s="250">
        <f>AA4*'Sourcing_costs_LT_and stdv'!E6</f>
        <v>268509462.8</v>
      </c>
      <c r="AJ4" s="250">
        <f>5%*AA4*'Incomes and Costs'!B15</f>
        <v>9528780.414</v>
      </c>
      <c r="AK4" s="255">
        <f>1.64*AB4*SQRT('Sourcing_costs_LT_and stdv'!E3)*D36</f>
        <v>61849.58832</v>
      </c>
      <c r="AL4" s="257">
        <f>-EOQ_ReorderPt!T4*(1-_xlfn.norm.dist(EOQ_ReorderPt!T4/'Sourcing_costs_LT_and stdv'!E5,0,1,1))+'Sourcing_costs_LT_and stdv'!E5*_xlfn.norm.dist(EOQ_ReorderPt!T4/'Sourcing_costs_LT_and stdv'!E5,0,1,0)</f>
        <v>0</v>
      </c>
      <c r="AM4" s="249">
        <f>$B$24*EOQ!I4</f>
        <v>450825.2835</v>
      </c>
      <c r="AN4" s="252">
        <f>SQRT($B$24)*EOQ!J4</f>
        <v>673.529882</v>
      </c>
      <c r="AO4" s="250">
        <f>'Sourcing_costs_LT_and stdv'!F6+AR4/AM4</f>
        <v>405.2738239</v>
      </c>
      <c r="AP4" s="250">
        <f t="shared" ref="AP4:AP7" si="10">AO4*AM4/I15</f>
        <v>85915.01927</v>
      </c>
      <c r="AQ4" s="253">
        <f t="shared" ref="AQ4:AQ11" si="11">IF(ROUNDUP(AM4/$B$43)=0,1,ROUNDUP(AM4/$B$43))</f>
        <v>12</v>
      </c>
      <c r="AR4" s="250">
        <f>'Sourcing_costs_LT_and stdv'!F4*IF(ROUNDUP(AM4/$B$43)=0,1,ROUNDUP(AM4/$B$43))</f>
        <v>574272</v>
      </c>
      <c r="AS4" s="250">
        <f t="shared" ref="AS4:AS11" si="12">I15*$B$38*AO4/2</f>
        <v>86185.91185</v>
      </c>
      <c r="AT4" s="255">
        <f>AM4*$B$38*AO4*'Sourcing_costs_LT_and stdv'!F3/(24*30)</f>
        <v>25376.06758</v>
      </c>
      <c r="AU4" s="250">
        <f>AM4*'Sourcing_costs_LT_and stdv'!F6</f>
        <v>182133414.5</v>
      </c>
      <c r="AV4" s="250">
        <f>5%*'Incomes and Costs'!$B15*AM4</f>
        <v>8447338.75</v>
      </c>
      <c r="AW4" s="255">
        <f>1.64*AN4*SQRT('Sourcing_costs_LT_and stdv'!F3)*D36</f>
        <v>58540.62515</v>
      </c>
      <c r="AX4" s="251">
        <f>-EOQ_ReorderPt!Z4*(1-_xlfn.norm.dist(EOQ_ReorderPt!Z4/'Sourcing_costs_LT_and stdv'!F5,0,1,1))+'Sourcing_costs_LT_and stdv'!F5*_xlfn.norm.dist(EOQ_ReorderPt!Z4/'Sourcing_costs_LT_and stdv'!F5,0,1,0)</f>
        <v>0</v>
      </c>
      <c r="AY4" s="249">
        <f>$B$24*EOQ!K4</f>
        <v>430677.0955</v>
      </c>
      <c r="AZ4" s="252">
        <f>SQRT($B$24)*EOQ!L4</f>
        <v>656.4491052</v>
      </c>
      <c r="BA4" s="250">
        <f>'Sourcing_costs_LT_and stdv'!G6+BD4/AY4</f>
        <v>409.2222986</v>
      </c>
      <c r="BB4" s="250">
        <f t="shared" ref="BB4:BB7" si="13">BA4*AY4/K15</f>
        <v>84798.00101</v>
      </c>
      <c r="BC4" s="253">
        <f t="shared" ref="BC4:BC11" si="14">IF(ROUNDUP(AY4/$B$43)=0,1,ROUNDUP(AY4/$B$43))</f>
        <v>11</v>
      </c>
      <c r="BD4" s="250">
        <f>'Sourcing_costs_LT_and stdv'!G4*IF(ROUNDUP(AY4/$B$43)=0,1,ROUNDUP(AY4/$B$43))</f>
        <v>526416</v>
      </c>
      <c r="BE4" s="250">
        <f t="shared" ref="BE4:BE11" si="15">K15*$B$38*BA4/2</f>
        <v>85052.04139</v>
      </c>
      <c r="BF4" s="250">
        <f>AY4*$B$38*BA4*'Sourcing_costs_LT_and stdv'!G3/(24*30)</f>
        <v>24478.14874</v>
      </c>
      <c r="BG4" s="250">
        <f>AY4*'Sourcing_costs_LT_and stdv'!G6</f>
        <v>175716255</v>
      </c>
      <c r="BH4" s="250">
        <f>5%*'Incomes and Costs'!$B15*AY4</f>
        <v>8069812.077</v>
      </c>
      <c r="BI4" s="255">
        <f>1.64*AZ4*SQRT('Sourcing_costs_LT_and stdv'!G3)*D36</f>
        <v>57056.02976</v>
      </c>
      <c r="BJ4" s="257">
        <f>-EOQ_ReorderPt!AF4*(1-_xlfn.norm.dist(EOQ_ReorderPt!AF4/'Sourcing_costs_LT_and stdv'!G5,0,1,1))+'Sourcing_costs_LT_and stdv'!G5*_xlfn.norm.dist(EOQ_ReorderPt!AF4/'Sourcing_costs_LT_and stdv'!G5,0,1,0)</f>
        <v>0</v>
      </c>
      <c r="BK4" s="249">
        <f>$B$24*EOQ!M4</f>
        <v>368508.8271</v>
      </c>
      <c r="BL4" s="252">
        <f>SQRT($B$24)*EOQ!N4</f>
        <v>616.5624595</v>
      </c>
      <c r="BM4" s="250">
        <f>'Sourcing_costs_LT_and stdv'!H6+BP4/BK4</f>
        <v>366.1687753</v>
      </c>
      <c r="BN4" s="250">
        <f t="shared" ref="BN4:BN9" si="16">BM4*BK4/M15</f>
        <v>70179.62343</v>
      </c>
      <c r="BO4" s="253">
        <f t="shared" ref="BO4:BO11" si="17">IF(ROUNDUP(BK4/$B$43)=0,1,ROUNDUP(BK4/$B$43))</f>
        <v>10</v>
      </c>
      <c r="BP4" s="250">
        <f>'Sourcing_costs_LT_and stdv'!H4*IF(INT(BK4/$B$43)=0,1,INT(BK4/$B$43))</f>
        <v>430704</v>
      </c>
      <c r="BQ4" s="250">
        <f t="shared" ref="BQ4:BQ9" si="18">M15*$B$38*BM4/2</f>
        <v>70404.34729</v>
      </c>
      <c r="BR4" s="250">
        <f>BK4*$B$38*BM4*'Sourcing_costs_LT_and stdv'!H3/(24*30)</f>
        <v>18741.17026</v>
      </c>
      <c r="BS4" s="250">
        <f>BK4*'Sourcing_costs_LT_and stdv'!H6</f>
        <v>134505721.9</v>
      </c>
      <c r="BT4" s="250">
        <f>5%*'Incomes and Costs'!$B15*BK4</f>
        <v>6904934.147</v>
      </c>
      <c r="BU4" s="255">
        <f>1.64*BL4*SQRT('Sourcing_costs_LT_and stdv'!H3)*D36</f>
        <v>53589.23604</v>
      </c>
      <c r="BV4" s="258">
        <f>-EOQ_ReorderPt!AL4*(1-_xlfn.norm.dist(EOQ_ReorderPt!AL4/'Sourcing_costs_LT_and stdv'!H5,0,1,1))+'Sourcing_costs_LT_and stdv'!H5*_xlfn.norm.dist(EOQ_ReorderPt!AL4/'Sourcing_costs_LT_and stdv'!H5,0,1,0)</f>
        <v>0</v>
      </c>
      <c r="BW4" s="249">
        <f>$B$24*EOQ!O4</f>
        <v>377701.9167</v>
      </c>
      <c r="BX4" s="252">
        <f>SQRT($B$24)*EOQ!P4</f>
        <v>622.0924671</v>
      </c>
      <c r="BY4" s="250">
        <f>'Sourcing_costs_LT_and stdv'!I6+CB4/BW4</f>
        <v>291.2670309</v>
      </c>
      <c r="BZ4" s="250">
        <f t="shared" ref="BZ4:BZ9" si="19">BY4*BW4/O15</f>
        <v>56483.19537</v>
      </c>
      <c r="CA4" s="253">
        <f t="shared" ref="CA4:CA11" si="20">IF(ROUNDUP(BW4/$B$43)=0,1,ROUNDUP(BW4/$B$43))</f>
        <v>10</v>
      </c>
      <c r="CB4" s="250">
        <f>'Sourcing_costs_LT_and stdv'!I4*IF(ROUNDUP(BW4/$B$43)=0,1,ROUNDUP(BW4/$B$43))</f>
        <v>478560</v>
      </c>
      <c r="CC4" s="250">
        <f t="shared" ref="CC4:CC11" si="21">O15*$B$38*BY4/2</f>
        <v>56729.97452</v>
      </c>
      <c r="CD4" s="250">
        <f>BW4*$B$38*BY4*'Sourcing_costs_LT_and stdv'!I3/(24*30)</f>
        <v>15279.46053</v>
      </c>
      <c r="CE4" s="250">
        <f>BW4*'Sourcing_costs_LT_and stdv'!I6</f>
        <v>109533555.8</v>
      </c>
      <c r="CF4" s="250">
        <f>5%*'Incomes and Costs'!$B15*BW4</f>
        <v>7077189.664</v>
      </c>
      <c r="CG4" s="250">
        <f>1.64*BX4*SQRT('Sourcing_costs_LT_and stdv'!I3)*D36</f>
        <v>54069.88301</v>
      </c>
      <c r="CH4" s="258">
        <f>-EOQ_ReorderPt!AR4*(1-_xlfn.norm.dist(EOQ_ReorderPt!AR4/'Sourcing_costs_LT_and stdv'!I5,0,1,1))+'Sourcing_costs_LT_and stdv'!I5*_xlfn.norm.dist(EOQ_ReorderPt!AR4/'Sourcing_costs_LT_and stdv'!I5,0,1,0)</f>
        <v>0</v>
      </c>
      <c r="CI4" s="249">
        <f>$B$24*EOQ!Q4</f>
        <v>378716.987</v>
      </c>
      <c r="CJ4" s="252">
        <f>SQRT($B$24)*EOQ!R4</f>
        <v>616.7488248</v>
      </c>
      <c r="CK4" s="250">
        <f>'Sourcing_costs_LT_and stdv'!J6+CN4/CI4</f>
        <v>324.2636349</v>
      </c>
      <c r="CL4" s="250">
        <f t="shared" ref="CL4:CL11" si="22">CK4*CI4/Q15</f>
        <v>62980.74262</v>
      </c>
      <c r="CM4" s="253">
        <f t="shared" ref="CM4:CM11" si="23">IF(ROUNDUP(CI4/$B$43)=0,1,ROUNDUP(CI4/$B$43))</f>
        <v>10</v>
      </c>
      <c r="CN4" s="250">
        <f>'Sourcing_costs_LT_and stdv'!J4*IF(ROUNDUP(CI4/$B$43)=0,1,ROUNDUP(CI4/$B$43))</f>
        <v>478560</v>
      </c>
      <c r="CO4" s="250">
        <f t="shared" ref="CO4:CO11" si="24">Q15*$B$38*CK4/2</f>
        <v>63227.13477</v>
      </c>
      <c r="CP4" s="250">
        <f>CI4*$B$38*CK4*'Sourcing_costs_LT_and stdv'!J3/(24*30)</f>
        <v>17056.1315</v>
      </c>
      <c r="CQ4" s="250">
        <f>CI4*'Sourcing_costs_LT_and stdv'!J6</f>
        <v>122325586.8</v>
      </c>
      <c r="CR4" s="250">
        <f>5%*'Incomes and Costs'!$B15*CI4</f>
        <v>7096209.544</v>
      </c>
      <c r="CS4" s="250">
        <f>1.64*CJ4*SQRT('Sourcing_costs_LT_and stdv'!J3)*D36</f>
        <v>53605.43419</v>
      </c>
      <c r="CT4" s="258">
        <f>-EOQ_ReorderPt!AX4*(1-_xlfn.norm.dist(EOQ_ReorderPt!AX4/'Sourcing_costs_LT_and stdv'!J5,0,1,1))+'Sourcing_costs_LT_and stdv'!J5*_xlfn.norm.dist(EOQ_ReorderPt!AX4/'Sourcing_costs_LT_and stdv'!J5,0,1,0)</f>
        <v>0</v>
      </c>
      <c r="CU4" s="249">
        <f>$B$24*EOQ!S4</f>
        <v>322706.1734</v>
      </c>
      <c r="CV4" s="252">
        <f>SQRT($B$24)*EOQ!T4</f>
        <v>563.704175</v>
      </c>
      <c r="CW4" s="250">
        <f>'Sourcing_costs_LT_and stdv'!K6+CZ4/CU4</f>
        <v>508.2824551</v>
      </c>
      <c r="CX4" s="250">
        <f t="shared" ref="CX4:CX11" si="25">CW4*CU4/S15</f>
        <v>89192.23887</v>
      </c>
      <c r="CY4" s="253">
        <f t="shared" ref="CY4:CY11" si="26">IF(ROUNDUP(CU4/$B$43)=0,1,ROUNDUP(CU4/$B$43))</f>
        <v>8</v>
      </c>
      <c r="CZ4" s="250">
        <f>'Sourcing_costs_LT_and stdv'!K4*IF(ROUNDUP(CU4/$B$43)=0,1,ROUNDUP(CU4/$B$43))</f>
        <v>7513392</v>
      </c>
      <c r="DA4" s="250">
        <f t="shared" ref="DA4:DA11" si="27">S15*$B$38*CW4/2</f>
        <v>93473.91784</v>
      </c>
      <c r="DB4" s="250">
        <f>CU4*$B$38*CW4*'Sourcing_costs_LT_and stdv'!K3/(24*30)</f>
        <v>233888.7635</v>
      </c>
      <c r="DC4" s="250">
        <f>CU4*'Sourcing_costs_LT_and stdv'!K6</f>
        <v>156512494.1</v>
      </c>
      <c r="DD4" s="250">
        <f>5%*'Incomes and Costs'!$B15*CU4</f>
        <v>6046706.923</v>
      </c>
      <c r="DE4" s="250">
        <f>1.64*CV4*SQRT('Sourcing_costs_LT_and stdv'!K3)*D36</f>
        <v>156988.0047</v>
      </c>
      <c r="DF4" s="258">
        <f>-EOQ_ReorderPt!BD4*(1-_xlfn.norm.dist(EOQ_ReorderPt!BD4/'Sourcing_costs_LT_and stdv'!K5,0,1,1))+'Sourcing_costs_LT_and stdv'!K5*_xlfn.norm.dist(EOQ_ReorderPt!BD4/'Sourcing_costs_LT_and stdv'!K5,0,1,0)</f>
        <v>0</v>
      </c>
      <c r="DG4" s="249">
        <f>$B$24*EOQ!U4</f>
        <v>345353.7326</v>
      </c>
      <c r="DH4" s="252">
        <f>SQRT($B$24)*EOQ!V4</f>
        <v>581.3341321</v>
      </c>
      <c r="DI4" s="250">
        <f>'Sourcing_costs_LT_and stdv'!L6+DL4/DG4</f>
        <v>267.2471387</v>
      </c>
      <c r="DJ4" s="250">
        <f t="shared" ref="DJ4:DJ6" si="28">DI4*DG4/U15</f>
        <v>49548.37633</v>
      </c>
      <c r="DK4" s="259">
        <f t="shared" ref="DK4:DK11" si="29">IF(ROUNDUP(DG4/$B$43)=0,1,ROUNDUP(DG4/$B$43))</f>
        <v>9</v>
      </c>
      <c r="DL4" s="250">
        <f>'Sourcing_costs_LT_and stdv'!L4*IF(ROUNDUP(DG4/$B$43)=0,1,ROUNDUP(DG4/$B$43))</f>
        <v>430704</v>
      </c>
      <c r="DM4" s="250">
        <f t="shared" ref="DM4:DM11" si="30">U15*$B$38*DI4/2</f>
        <v>49780.68346</v>
      </c>
      <c r="DN4" s="250">
        <f>DG4*$B$38*DI4*'Sourcing_costs_LT_and stdv'!L3/(24*30)</f>
        <v>12818.72179</v>
      </c>
      <c r="DO4" s="250">
        <f>DG4*'Sourcing_costs_LT_and stdv'!L6</f>
        <v>91864092.88</v>
      </c>
      <c r="DP4" s="250">
        <f>5%*'Incomes and Costs'!$B15*DG4</f>
        <v>6471065.565</v>
      </c>
      <c r="DQ4" s="250">
        <f>1.64*DH4*SQRT('Sourcing_costs_LT_and stdv'!L3)*$D$36</f>
        <v>50527.3254</v>
      </c>
      <c r="DR4" s="258">
        <f>-EOQ_ReorderPt!BJ4*(1-_xlfn.norm.dist(EOQ_ReorderPt!BJ4/'Sourcing_costs_LT_and stdv'!L5,0,1,1))+'Sourcing_costs_LT_and stdv'!L5*_xlfn.norm.dist(EOQ_ReorderPt!BJ4/'Sourcing_costs_LT_and stdv'!L5,0,1,0)</f>
        <v>0</v>
      </c>
      <c r="DS4" s="249">
        <f>$B$24*EOQ!W4</f>
        <v>422556.533</v>
      </c>
      <c r="DT4" s="252">
        <f>SQRT($B$24)*EOQ!X4</f>
        <v>645.4576807</v>
      </c>
      <c r="DU4" s="250">
        <f>'Sourcing_costs_LT_and stdv'!M6+DX4/DS4</f>
        <v>269.2457883</v>
      </c>
      <c r="DV4" s="250">
        <f t="shared" ref="DV4:DV6" si="31">DU4*DS4/W15</f>
        <v>55218.45698</v>
      </c>
      <c r="DW4" s="259">
        <f t="shared" ref="DW4:DW11" si="32">IF(ROUNDUP(DS4/$B$43)=0,1,ROUNDUP(DS4/$B$43))</f>
        <v>11</v>
      </c>
      <c r="DX4" s="250">
        <f>'Sourcing_costs_LT_and stdv'!M4*IF(ROUNDUP(DS4/$B$43)=0,1,ROUNDUP(DS4/$B$43))</f>
        <v>526416</v>
      </c>
      <c r="DY4" s="250">
        <f t="shared" ref="DY4:DY11" si="33">W15*$B$38*DU4/2</f>
        <v>55475.13799</v>
      </c>
      <c r="DZ4" s="250">
        <f>DS4*$B$38*DU4*'Sourcing_costs_LT_and stdv'!M3/(24*30)</f>
        <v>15801.60651</v>
      </c>
      <c r="EA4" s="250">
        <f>DS4*'Sourcing_costs_LT_and stdv'!M6</f>
        <v>113245150.8</v>
      </c>
      <c r="EB4" s="250">
        <f>5%*DS4*'Incomes and Costs'!B15</f>
        <v>7917653.037</v>
      </c>
      <c r="EC4" s="250">
        <f>DT4*1.64*SQRT('Sourcing_costs_LT_and stdv'!M3)*D36</f>
        <v>56100.69745</v>
      </c>
      <c r="ED4" s="258">
        <f>-EOQ_ReorderPt!BO4*(1-_xlfn.norm.dist(EOQ_ReorderPt!BO4/'Sourcing_costs_LT_and stdv'!M5,0,1,1))+'Sourcing_costs_LT_and stdv'!M5*_xlfn.norm.dist(EOQ_ReorderPt!BO4/'Sourcing_costs_LT_and stdv'!M5,0,1,0)</f>
        <v>0</v>
      </c>
      <c r="EE4" s="249">
        <f>$B$24*EOQ!Y4</f>
        <v>415642.5635</v>
      </c>
      <c r="EF4" s="252">
        <f>SQRT($B$24)*EOQ!Z4</f>
        <v>649.2716726</v>
      </c>
      <c r="EG4" s="250">
        <f>'Sourcing_costs_LT_and stdv'!N6+EJ4/EE4</f>
        <v>362.8552841</v>
      </c>
      <c r="EH4" s="250">
        <f t="shared" ref="EH4:EH6" si="34">EG4*EE4/Y15</f>
        <v>2416453.069</v>
      </c>
      <c r="EI4" s="259">
        <f t="shared" ref="EI4:EI11" si="35">IF(ROUNDUP(EE4/$B$43)=0,1,ROUNDUP(EE4/$B$43))</f>
        <v>11</v>
      </c>
      <c r="EJ4" s="250">
        <f>'Sourcing_costs_LT_and stdv'!N4*IF(ROUNDUP(EE4/$B$43)=0,1,ROUNDUP(EE4/$B$43))</f>
        <v>10330914</v>
      </c>
      <c r="EK4" s="250">
        <f t="shared" ref="EK4:EK11" si="36">Y15*$B$38*EG4/2</f>
        <v>2264.688911</v>
      </c>
      <c r="EL4" s="250">
        <f>EE4*$B$38*EG4*'Sourcing_costs_LT_and stdv'!N3/(24*30)</f>
        <v>215055.4396</v>
      </c>
      <c r="EM4" s="250">
        <f>EE4*'Sourcing_costs_LT_and stdv'!N6</f>
        <v>140487186.5</v>
      </c>
      <c r="EN4" s="250">
        <f>5%*'Incomes and Costs'!$B15*EE4</f>
        <v>7788102.534</v>
      </c>
      <c r="EO4" s="250">
        <f>EF4*1.64*SQRT('Sourcing_costs_LT_and stdv'!N3)*D36</f>
        <v>180818.0051</v>
      </c>
      <c r="EP4" s="257">
        <f>-EOQ_ReorderPt!BT4*(1-_xlfn.norm.dist(EOQ_ReorderPt!BT4/'Sourcing_costs_LT_and stdv'!N5,0,1,1))+'Sourcing_costs_LT_and stdv'!N5*_xlfn.norm.dist(EOQ_ReorderPt!BT4/'Sourcing_costs_LT_and stdv'!N5,0,1,0)</f>
        <v>0</v>
      </c>
    </row>
    <row r="5" ht="14.25" customHeight="1">
      <c r="A5" s="77">
        <v>2.0</v>
      </c>
      <c r="B5" s="260" t="s">
        <v>23</v>
      </c>
      <c r="C5" s="249">
        <f>EOQ!C5*$B$24</f>
        <v>251114.9881</v>
      </c>
      <c r="D5" s="249">
        <f>SQRT($B$24)*EOQ!D5</f>
        <v>502.5394733</v>
      </c>
      <c r="E5" s="250">
        <f>('Sourcing_costs_LT_and stdv'!C10+H5/C5)</f>
        <v>443.9725675</v>
      </c>
      <c r="F5" s="250">
        <f t="shared" si="1"/>
        <v>41666.19703</v>
      </c>
      <c r="G5" s="249">
        <f t="shared" si="2"/>
        <v>7</v>
      </c>
      <c r="H5" s="250">
        <f>'Sourcing_costs_LT_and stdv'!C8*IF(ROUNDUP(C5/$B$43)=0,1,ROUNDUP(C5/$B$43))</f>
        <v>27364645</v>
      </c>
      <c r="I5" s="250">
        <f t="shared" si="3"/>
        <v>118795.7885</v>
      </c>
      <c r="J5" s="250">
        <f>C5*(E5*$B$38)*'Sourcing_costs_LT_and stdv'!C7/(24*30)</f>
        <v>3437551.785</v>
      </c>
      <c r="K5" s="250">
        <f>C5*'Sourcing_costs_LT_and stdv'!C10</f>
        <v>84123521.02</v>
      </c>
      <c r="L5" s="250">
        <f>5%*'Incomes and Costs'!$B16*C5</f>
        <v>5343517.684</v>
      </c>
      <c r="M5" s="250">
        <f>1.64*D5*SQRT('Sourcing_costs_LT_and stdv'!C7)*D37</f>
        <v>739077.7451</v>
      </c>
      <c r="N5" s="251">
        <f>-EOQ_ReorderPt!H5*(1-_xlfn.norm.dist(EOQ_ReorderPt!H5/'Sourcing_costs_LT_and stdv'!C9,0,1,1))+'Sourcing_costs_LT_and stdv'!C9*_xlfn.norm.dist(EOQ_ReorderPt!H5/'Sourcing_costs_LT_and stdv'!C9,0,1,0)</f>
        <v>0</v>
      </c>
      <c r="O5" s="249">
        <f>EOQ!E5*$B$24</f>
        <v>225192.3907</v>
      </c>
      <c r="P5" s="252">
        <f>SQRT($B$24)*EOQ!F5</f>
        <v>475.3889204</v>
      </c>
      <c r="Q5" s="250">
        <f>'Sourcing_costs_LT_and stdv'!D10+T5/O5</f>
        <v>507.157205</v>
      </c>
      <c r="R5" s="250">
        <f t="shared" si="4"/>
        <v>39265.85331</v>
      </c>
      <c r="S5" s="253">
        <f t="shared" si="5"/>
        <v>6</v>
      </c>
      <c r="T5" s="250">
        <f>'Sourcing_costs_LT_and stdv'!E8*IF(ROUNDUP(O5/$B$43)=0,1,ROUNDUP(O5/$B$43))</f>
        <v>23455410</v>
      </c>
      <c r="U5" s="254">
        <f t="shared" si="6"/>
        <v>147510.8179</v>
      </c>
      <c r="V5" s="255">
        <f>O5*$B$38*Q5*'Sourcing_costs_LT_and stdv'!D4/(24*30)</f>
        <v>1518204261</v>
      </c>
      <c r="W5" s="256">
        <f>O5*'Sourcing_costs_LT_and stdv'!D10</f>
        <v>90752533.44</v>
      </c>
      <c r="X5" s="250">
        <f>5%*'Incomes and Costs'!$B16*O5</f>
        <v>4791906.413</v>
      </c>
      <c r="Y5" s="250">
        <f>1.64*P5*SQRT('Sourcing_costs_LT_and stdv'!D7)*D37</f>
        <v>771035.5375</v>
      </c>
      <c r="Z5" s="257">
        <f>-EOQ_ReorderPt!N5*(1-_xlfn.norm.dist(EOQ_ReorderPt!N5/'Sourcing_costs_LT_and stdv'!D9,0,1,1))+'Sourcing_costs_LT_and stdv'!D9*_xlfn.norm.dist(EOQ_ReorderPt!N5/'Sourcing_costs_LT_and stdv'!D9,0,1,0)</f>
        <v>0</v>
      </c>
      <c r="AA5" s="249">
        <f>$B$24*EOQ!G5</f>
        <v>296180.2794</v>
      </c>
      <c r="AB5" s="252">
        <f>SQRT($B$24)*EOQ!H5</f>
        <v>544.0810134</v>
      </c>
      <c r="AC5" s="250">
        <f>'Sourcing_costs_LT_and stdv'!E10+AF5/AA5</f>
        <v>491.5906898</v>
      </c>
      <c r="AD5" s="250">
        <f t="shared" si="7"/>
        <v>40201.41904</v>
      </c>
      <c r="AE5" s="253">
        <f t="shared" si="8"/>
        <v>8</v>
      </c>
      <c r="AF5" s="250">
        <f>'Sourcing_costs_LT_and stdv'!E8*IF(ROUNDUP(AA5/$B$43)=0,1,ROUNDUP(AA5/$B$43))</f>
        <v>31273880</v>
      </c>
      <c r="AG5" s="250">
        <f t="shared" si="9"/>
        <v>142983.1697</v>
      </c>
      <c r="AH5" s="255">
        <f>AA5*$B$38*AC5*'Sourcing_costs_LT_and stdv'!E7/(24*30)</f>
        <v>4489316.926</v>
      </c>
      <c r="AI5" s="250">
        <f>AA5*'Sourcing_costs_LT_and stdv'!E10</f>
        <v>114325587.9</v>
      </c>
      <c r="AJ5" s="250">
        <f>5%*'Incomes and Costs'!$B16*AA5</f>
        <v>6302469.529</v>
      </c>
      <c r="AK5" s="255">
        <f>1.64*AB5*SQRT('Sourcing_costs_LT_and stdv'!E7)*D37</f>
        <v>800172.3047</v>
      </c>
      <c r="AL5" s="257">
        <f>-EOQ_ReorderPt!T5*(1-_xlfn.norm.dist(EOQ_ReorderPt!T5/'Sourcing_costs_LT_and stdv'!E9,0,1,1))+'Sourcing_costs_LT_and stdv'!E9*_xlfn.norm.dist(EOQ_ReorderPt!T5/'Sourcing_costs_LT_and stdv'!E9,0,1,0)</f>
        <v>0</v>
      </c>
      <c r="AM5" s="249">
        <f>$B$24*EOQ!I5</f>
        <v>282179.97</v>
      </c>
      <c r="AN5" s="252">
        <f>SQRT($B$24)*EOQ!J5</f>
        <v>531.3106135</v>
      </c>
      <c r="AO5" s="250">
        <f>'Sourcing_costs_LT_and stdv'!F10+AR5/AM5</f>
        <v>482.975859</v>
      </c>
      <c r="AP5" s="250">
        <f t="shared" si="10"/>
        <v>38894.41938</v>
      </c>
      <c r="AQ5" s="253">
        <f t="shared" si="11"/>
        <v>7</v>
      </c>
      <c r="AR5" s="250">
        <f>'Sourcing_costs_LT_and stdv'!F8*IF(ROUNDUP(AM5/$B$43)=0,1,ROUNDUP(AM5/$B$43))</f>
        <v>27364645</v>
      </c>
      <c r="AS5" s="250">
        <f t="shared" si="12"/>
        <v>169234.8253</v>
      </c>
      <c r="AT5" s="255">
        <f>AM5*$B$38*AO5*'Sourcing_costs_LT_and stdv'!F7/(24*30)</f>
        <v>4202155.164</v>
      </c>
      <c r="AU5" s="250">
        <f>AM5*'Sourcing_costs_LT_and stdv'!F10</f>
        <v>108921468.4</v>
      </c>
      <c r="AV5" s="250">
        <f>5%*'Incomes and Costs'!$B16*AM5</f>
        <v>6004554.613</v>
      </c>
      <c r="AW5" s="255">
        <f>1.64*AN5*SQRT('Sourcing_costs_LT_and stdv'!F7)*D37</f>
        <v>781391.0569</v>
      </c>
      <c r="AX5" s="251">
        <f>-EOQ_ReorderPt!Z5*(1-_xlfn.norm.dist(EOQ_ReorderPt!Z5/'Sourcing_costs_LT_and stdv'!F9,0,1,1))+'Sourcing_costs_LT_and stdv'!F9*_xlfn.norm.dist(EOQ_ReorderPt!Z5/'Sourcing_costs_LT_and stdv'!F9,0,1,0)</f>
        <v>0</v>
      </c>
      <c r="AY5" s="249">
        <f>$B$24*EOQ!K5</f>
        <v>326661.1171</v>
      </c>
      <c r="AZ5" s="252">
        <f>SQRT($B$24)*EOQ!L5</f>
        <v>565.2344525</v>
      </c>
      <c r="BA5" s="250">
        <f>'Sourcing_costs_LT_and stdv'!G10+BD5/AY5</f>
        <v>502.705243</v>
      </c>
      <c r="BB5" s="250">
        <f t="shared" si="13"/>
        <v>42694.00713</v>
      </c>
      <c r="BC5" s="253">
        <f t="shared" si="14"/>
        <v>9</v>
      </c>
      <c r="BD5" s="250">
        <f>'Sourcing_costs_LT_and stdv'!G8*IF(ROUNDUP(AY5/$B$43)=0,1,ROUNDUP(AY5/$B$43))</f>
        <v>35183115</v>
      </c>
      <c r="BE5" s="250">
        <f t="shared" si="15"/>
        <v>193355.8669</v>
      </c>
      <c r="BF5" s="250">
        <f>AY5*$B$38*BA5*'Sourcing_costs_LT_and stdv'!G4/(24*30)</f>
        <v>2182954847</v>
      </c>
      <c r="BG5" s="250">
        <f>AY5*'Sourcing_costs_LT_and stdv'!G10</f>
        <v>129031141.3</v>
      </c>
      <c r="BH5" s="250">
        <f>5%*'Incomes and Costs'!$B16*AY5</f>
        <v>6951076.355</v>
      </c>
      <c r="BI5" s="255">
        <f>1.64*AZ5*SQRT('Sourcing_costs_LT_and stdv'!G7)*D37</f>
        <v>831282.3705</v>
      </c>
      <c r="BJ5" s="257">
        <f>-EOQ_ReorderPt!AF5*(1-_xlfn.norm.dist(EOQ_ReorderPt!AF5/'Sourcing_costs_LT_and stdv'!G9,0,1,1))+'Sourcing_costs_LT_and stdv'!G9*_xlfn.norm.dist(EOQ_ReorderPt!AF5/'Sourcing_costs_LT_and stdv'!G9,0,1,0)</f>
        <v>0</v>
      </c>
      <c r="BK5" s="249">
        <f>$B$24*EOQ!M5</f>
        <v>270477.9331</v>
      </c>
      <c r="BL5" s="252">
        <f>SQRT($B$24)*EOQ!N5</f>
        <v>520.0749072</v>
      </c>
      <c r="BM5" s="250">
        <f>'Sourcing_costs_LT_and stdv'!H10+BP5/BK5</f>
        <v>443.582363</v>
      </c>
      <c r="BN5" s="250">
        <f t="shared" si="16"/>
        <v>34289.89004</v>
      </c>
      <c r="BO5" s="253">
        <f t="shared" si="17"/>
        <v>7</v>
      </c>
      <c r="BP5" s="250">
        <f>'Sourcing_costs_LT_and stdv'!H8*IF(INT(BK5/$B$43)=0,1,INT(BK5/$B$43))</f>
        <v>1509906</v>
      </c>
      <c r="BQ5" s="250">
        <f t="shared" si="18"/>
        <v>155208.0658</v>
      </c>
      <c r="BR5" s="250">
        <f>BK5*$B$38*BM5*'Sourcing_costs_LT_and stdv'!H7/(24*30)</f>
        <v>3266101.552</v>
      </c>
      <c r="BS5" s="250">
        <f>BK5*'Sourcing_costs_LT_and stdv'!H10</f>
        <v>118469334.7</v>
      </c>
      <c r="BT5" s="250">
        <f>5%*'Incomes and Costs'!$B16*BK5</f>
        <v>5755545.018</v>
      </c>
      <c r="BU5" s="255">
        <f>1.64*BL5*SQRT('Sourcing_costs_LT_and stdv'!H7)*D37</f>
        <v>718683.0358</v>
      </c>
      <c r="BV5" s="258">
        <f>-EOQ_ReorderPt!AL5*(1-_xlfn.norm.dist(EOQ_ReorderPt!AL5/'Sourcing_costs_LT_and stdv'!H9,0,1,1))+'Sourcing_costs_LT_and stdv'!H9*_xlfn.norm.dist(EOQ_ReorderPt!AL5/'Sourcing_costs_LT_and stdv'!H9,0,1,0)</f>
        <v>0</v>
      </c>
      <c r="BW5" s="249">
        <f>$B$24*EOQ!O5</f>
        <v>220471.3561</v>
      </c>
      <c r="BX5" s="252">
        <f>SQRT($B$24)*EOQ!P5</f>
        <v>466.7838989</v>
      </c>
      <c r="BY5" s="250">
        <f>'Sourcing_costs_LT_and stdv'!I10+CB5/BW5</f>
        <v>864.8485359</v>
      </c>
      <c r="BZ5" s="250">
        <f t="shared" si="19"/>
        <v>52762.157</v>
      </c>
      <c r="CA5" s="253">
        <f t="shared" si="20"/>
        <v>6</v>
      </c>
      <c r="CB5" s="261">
        <f>'Sourcing_costs_LT_and stdv'!I8*IF(ROUNDUP(BW5/$B$43)=0,1,ROUNDUP(BW5/$B$43))</f>
        <v>1509906</v>
      </c>
      <c r="CC5" s="250">
        <f t="shared" si="21"/>
        <v>312542.9742</v>
      </c>
      <c r="CD5" s="250">
        <f>BW5*$B$38*BY5*'Sourcing_costs_LT_and stdv'!I7/(24*30)</f>
        <v>7732903.365</v>
      </c>
      <c r="CE5" s="250">
        <f>BW5*'Sourcing_costs_LT_and stdv'!I10</f>
        <v>189164423.5</v>
      </c>
      <c r="CF5" s="250">
        <f>5%*'Incomes and Costs'!$B16*BW5</f>
        <v>4691446.732</v>
      </c>
      <c r="CG5" s="250">
        <f>1.64*BX5*SQRT('Sourcing_costs_LT_and stdv'!I7)*D37</f>
        <v>787319.0335</v>
      </c>
      <c r="CH5" s="258">
        <f>-EOQ_ReorderPt!AR5*(1-_xlfn.norm.dist(EOQ_ReorderPt!AR5/'Sourcing_costs_LT_and stdv'!I9,0,1,1))+'Sourcing_costs_LT_and stdv'!I9*_xlfn.norm.dist(EOQ_ReorderPt!AR5/'Sourcing_costs_LT_and stdv'!I9,0,1,0)</f>
        <v>0</v>
      </c>
      <c r="CI5" s="249">
        <f>$B$24*EOQ!Q5</f>
        <v>340000.6732</v>
      </c>
      <c r="CJ5" s="252">
        <f>SQRT($B$24)*EOQ!R5</f>
        <v>592.5889255</v>
      </c>
      <c r="CK5" s="250">
        <f>'Sourcing_costs_LT_and stdv'!J10+CN5/CI5</f>
        <v>515.4795451</v>
      </c>
      <c r="CL5" s="250">
        <f t="shared" si="22"/>
        <v>44106.95699</v>
      </c>
      <c r="CM5" s="253">
        <f t="shared" si="23"/>
        <v>9</v>
      </c>
      <c r="CN5" s="250">
        <f>'Sourcing_costs_LT_and stdv'!J8*IF(ROUNDUP(CI5/$B$43)=0,1,ROUNDUP(CI5/$B$43))</f>
        <v>35183115</v>
      </c>
      <c r="CO5" s="250">
        <f t="shared" si="24"/>
        <v>204830.9381</v>
      </c>
      <c r="CP5" s="250">
        <f>CI5*$B$38*CK5*'Sourcing_costs_LT_and stdv'!J7/(24*30)</f>
        <v>5403954.597</v>
      </c>
      <c r="CQ5" s="250">
        <f>CI5*'Sourcing_costs_LT_and stdv'!J10</f>
        <v>140080277.3</v>
      </c>
      <c r="CR5" s="250">
        <f>5%*'Incomes and Costs'!$B16*CI5</f>
        <v>7234930.991</v>
      </c>
      <c r="CS5" s="250">
        <f>1.64*CJ5*SQRT('Sourcing_costs_LT_and stdv'!J7)*D37</f>
        <v>871512.2097</v>
      </c>
      <c r="CT5" s="258">
        <f>-EOQ_ReorderPt!AX5*(1-_xlfn.norm.dist(EOQ_ReorderPt!AX5/'Sourcing_costs_LT_and stdv'!J9,0,1,1))+'Sourcing_costs_LT_and stdv'!J9*_xlfn.norm.dist(EOQ_ReorderPt!AX5/'Sourcing_costs_LT_and stdv'!J9,0,1,0)</f>
        <v>0</v>
      </c>
      <c r="CU5" s="249">
        <f>$B$24*EOQ!S5</f>
        <v>274988.2927</v>
      </c>
      <c r="CV5" s="252">
        <f>SQRT($B$24)*EOQ!T5</f>
        <v>531.1172147</v>
      </c>
      <c r="CW5" s="250">
        <f>'Sourcing_costs_LT_and stdv'!K10+CZ5/CU5</f>
        <v>477.5120364</v>
      </c>
      <c r="CX5" s="250">
        <f t="shared" si="25"/>
        <v>38177.78723</v>
      </c>
      <c r="CY5" s="253">
        <f t="shared" si="26"/>
        <v>7</v>
      </c>
      <c r="CZ5" s="250">
        <f>'Sourcing_costs_LT_and stdv'!K8*IF(ROUNDUP(CU5/$B$43)=0,1,ROUNDUP(CU5/$B$43))</f>
        <v>27364645</v>
      </c>
      <c r="DA5" s="250">
        <f t="shared" si="27"/>
        <v>164237.4138</v>
      </c>
      <c r="DB5" s="250">
        <f>CU5*$B$38*CW5*'Sourcing_costs_LT_and stdv'!K7/(24*30)</f>
        <v>4048731.772</v>
      </c>
      <c r="DC5" s="250">
        <f>CU5*'Sourcing_costs_LT_and stdv'!K10</f>
        <v>103945574.6</v>
      </c>
      <c r="DD5" s="250">
        <f>5%*'Incomes and Costs'!$B16*CU5</f>
        <v>5851521.711</v>
      </c>
      <c r="DE5" s="250">
        <f>1.64*CV5*SQRT('Sourcing_costs_LT_and stdv'!K7)*D37</f>
        <v>781106.628</v>
      </c>
      <c r="DF5" s="258">
        <f>-EOQ_ReorderPt!BD5*(1-_xlfn.norm.dist(EOQ_ReorderPt!BD5/'Sourcing_costs_LT_and stdv'!K9,0,1,1))+'Sourcing_costs_LT_and stdv'!K9*_xlfn.norm.dist(EOQ_ReorderPt!BD5/'Sourcing_costs_LT_and stdv'!K9,0,1,0)</f>
        <v>0</v>
      </c>
      <c r="DG5" s="249">
        <f>$B$24*EOQ!U5</f>
        <v>262941.5148</v>
      </c>
      <c r="DH5" s="252">
        <f>SQRT($B$24)*EOQ!V5</f>
        <v>513.7840482</v>
      </c>
      <c r="DI5" s="250">
        <f>'Sourcing_costs_LT_and stdv'!L10+DL5/DG5</f>
        <v>375.6482845</v>
      </c>
      <c r="DJ5" s="250">
        <f t="shared" si="28"/>
        <v>40977.43272</v>
      </c>
      <c r="DK5" s="259">
        <f t="shared" si="29"/>
        <v>7</v>
      </c>
      <c r="DL5" s="250">
        <f>'Sourcing_costs_LT_and stdv'!L8*IF(ROUNDUP(DG5/$B$43)=0,1,ROUNDUP(DG5/$B$43))</f>
        <v>1748110</v>
      </c>
      <c r="DM5" s="250">
        <f t="shared" si="30"/>
        <v>90547.66062</v>
      </c>
      <c r="DN5" s="250">
        <f>DG5*$B$38*DI5*'Sourcing_costs_LT_and stdv'!L7/(24*30)</f>
        <v>4664305.535</v>
      </c>
      <c r="DO5" s="250">
        <f>DG5*'Sourcing_costs_LT_and stdv'!L10</f>
        <v>97025418.97</v>
      </c>
      <c r="DP5" s="250">
        <f>5%*'Incomes and Costs'!$B16*DG5</f>
        <v>5595176.318</v>
      </c>
      <c r="DQ5" s="250">
        <f>1.64*DH5*SQRT('Sourcing_costs_LT_and stdv'!L7)*D37</f>
        <v>935111.7897</v>
      </c>
      <c r="DR5" s="258">
        <f>-EOQ_ReorderPt!BJ5*(1-_xlfn.norm.dist(EOQ_ReorderPt!BJ5/'Sourcing_costs_LT_and stdv'!L9,0,1,1))+'Sourcing_costs_LT_and stdv'!L9*_xlfn.norm.dist(EOQ_ReorderPt!BJ5/'Sourcing_costs_LT_and stdv'!L9,0,1,0)</f>
        <v>0</v>
      </c>
      <c r="DS5" s="249">
        <f>$B$24*EOQ!W5</f>
        <v>266599.5984</v>
      </c>
      <c r="DT5" s="252">
        <f>SQRT($B$24)*EOQ!X5</f>
        <v>521.2928125</v>
      </c>
      <c r="DU5" s="250">
        <f>'Sourcing_costs_LT_and stdv'!M10+DX5/DS5</f>
        <v>497.6432341</v>
      </c>
      <c r="DV5" s="250">
        <f t="shared" si="31"/>
        <v>38375.16773</v>
      </c>
      <c r="DW5" s="259">
        <f t="shared" si="32"/>
        <v>7</v>
      </c>
      <c r="DX5" s="250">
        <f>'Sourcing_costs_LT_and stdv'!M8*IF(ROUNDUP(DS5/$B$43)=0,1,ROUNDUP(DS5/$B$43))</f>
        <v>27364645</v>
      </c>
      <c r="DY5" s="250">
        <f t="shared" si="33"/>
        <v>172046.3296</v>
      </c>
      <c r="DZ5" s="250">
        <f>DS5*$B$38*DU5*'Sourcing_costs_LT_and stdv'!M7/(24*30)</f>
        <v>4090704.163</v>
      </c>
      <c r="EA5" s="250">
        <f>DS5*'Sourcing_costs_LT_and stdv'!M10</f>
        <v>105306841.4</v>
      </c>
      <c r="EB5" s="250">
        <f>5%*DS5*'Incomes and Costs'!B16</f>
        <v>5673017.288</v>
      </c>
      <c r="EC5" s="250">
        <f>DT5*1.64*SQRT('Sourcing_costs_LT_and stdv'!M7)*D37</f>
        <v>766658.0178</v>
      </c>
      <c r="ED5" s="258">
        <f>-EOQ_ReorderPt!BO5*(1-_xlfn.norm.dist(EOQ_ReorderPt!BO5/'Sourcing_costs_LT_and stdv'!M9,0,1,1))+'Sourcing_costs_LT_and stdv'!M9*_xlfn.norm.dist(EOQ_ReorderPt!BO5/'Sourcing_costs_LT_and stdv'!M9,0,1,0)</f>
        <v>0</v>
      </c>
      <c r="EE5" s="249">
        <f>$B$24*EOQ!Y5</f>
        <v>307623.7607</v>
      </c>
      <c r="EF5" s="252">
        <f>SQRT($B$24)*EOQ!Z5</f>
        <v>551.7029394</v>
      </c>
      <c r="EG5" s="250">
        <f>'Sourcing_costs_LT_and stdv'!N10+EJ5/EE5</f>
        <v>453.6627582</v>
      </c>
      <c r="EH5" s="250">
        <f t="shared" si="34"/>
        <v>1024899.701</v>
      </c>
      <c r="EI5" s="259">
        <f t="shared" si="35"/>
        <v>8</v>
      </c>
      <c r="EJ5" s="262">
        <f>'Sourcing_costs_LT_and stdv'!N8*IF(ROUNDUP(EE5/$B$43)=0,1,ROUNDUP(EE5/$B$43))</f>
        <v>31273880</v>
      </c>
      <c r="EK5" s="250">
        <f t="shared" si="36"/>
        <v>6177.386411</v>
      </c>
      <c r="EL5" s="250">
        <f>EE5*$B$38*EG5*'Sourcing_costs_LT_and stdv'!N7/(24*30)</f>
        <v>4303021.183</v>
      </c>
      <c r="EM5" s="250">
        <f>EE5*'Sourcing_costs_LT_and stdv'!N10</f>
        <v>108283563.8</v>
      </c>
      <c r="EN5" s="250">
        <f>5%*'Incomes and Costs'!$B16*EE5</f>
        <v>6545977.275</v>
      </c>
      <c r="EO5" s="250">
        <f>EF5*1.64*SQRT('Sourcing_costs_LT_and stdv'!N7)*D37</f>
        <v>811381.7642</v>
      </c>
      <c r="EP5" s="257">
        <f>-EOQ_ReorderPt!BT5*(1-_xlfn.norm.dist(EOQ_ReorderPt!BT5/'Sourcing_costs_LT_and stdv'!N9,0,1,1))+'Sourcing_costs_LT_and stdv'!N9*_xlfn.norm.dist(EOQ_ReorderPt!BT5/'Sourcing_costs_LT_and stdv'!N9,0,1,0)</f>
        <v>0</v>
      </c>
    </row>
    <row r="6" ht="14.25" customHeight="1">
      <c r="A6" s="77">
        <v>3.0</v>
      </c>
      <c r="B6" s="260" t="s">
        <v>25</v>
      </c>
      <c r="C6" s="249">
        <f>EOQ!C6*$B$24</f>
        <v>30231.8582</v>
      </c>
      <c r="D6" s="249">
        <f>SQRT($B$24)*EOQ!D6</f>
        <v>171.6931929</v>
      </c>
      <c r="E6" s="250">
        <f>'Sourcing_costs_LT_and stdv'!C14+H6/C6</f>
        <v>1261.582966</v>
      </c>
      <c r="F6" s="250">
        <f t="shared" si="1"/>
        <v>7139.173261</v>
      </c>
      <c r="G6" s="249">
        <f t="shared" si="2"/>
        <v>1</v>
      </c>
      <c r="H6" s="263">
        <f>'Sourcing_costs_LT_and stdv'!C12*IF(ROUNDUP(C6/$B$43)=0,1,ROUNDUP(C6/$B$43))</f>
        <v>47856</v>
      </c>
      <c r="I6" s="250">
        <f t="shared" si="3"/>
        <v>673982.3953</v>
      </c>
      <c r="J6" s="250">
        <f>C6*(E6*$B$38)*'Sourcing_costs_LT_and stdv'!C11/(24*30)</f>
        <v>5297.221851</v>
      </c>
      <c r="K6" s="250">
        <f>C6*'Sourcing_costs_LT_and stdv'!C14</f>
        <v>38092141.33</v>
      </c>
      <c r="L6" s="250">
        <f>5%*'Incomes and Costs'!$B17*C6</f>
        <v>1400616.797</v>
      </c>
      <c r="M6" s="250">
        <f>1.64*D6*SQRT('Sourcing_costs_LT_and stdv'!C11)*D38</f>
        <v>36897.45461</v>
      </c>
      <c r="N6" s="251">
        <f>-EOQ_ReorderPt!H6*(1-_xlfn.norm.dist(EOQ_ReorderPt!H6/'Sourcing_costs_LT_and stdv'!C13,0,1,1))+'Sourcing_costs_LT_and stdv'!C13*_xlfn.norm.dist(EOQ_ReorderPt!H6/'Sourcing_costs_LT_and stdv'!C13,0,1,0)</f>
        <v>0</v>
      </c>
      <c r="O6" s="249">
        <f>EOQ!E6*$B$24</f>
        <v>23729.66253</v>
      </c>
      <c r="P6" s="252">
        <f>SQRT($B$24)*EOQ!F6</f>
        <v>152.8571422</v>
      </c>
      <c r="Q6" s="250">
        <f>'Sourcing_costs_LT_and stdv'!D14+T6/O6</f>
        <v>1198.68806</v>
      </c>
      <c r="R6" s="250">
        <f t="shared" si="4"/>
        <v>2697830.533</v>
      </c>
      <c r="S6" s="253">
        <f t="shared" si="5"/>
        <v>1</v>
      </c>
      <c r="T6" s="250">
        <f>'Sourcing_costs_LT_and stdv'!E12*IF(ROUNDUP(O6/$B$43)=0,1,ROUNDUP(O6/$B$43))</f>
        <v>538380</v>
      </c>
      <c r="U6" s="254">
        <f t="shared" si="6"/>
        <v>1263.831731</v>
      </c>
      <c r="V6" s="255">
        <f>O6*$B$38*Q6*'Sourcing_costs_LT_and stdv'!D5/(24*30)</f>
        <v>197.530994</v>
      </c>
      <c r="W6" s="256">
        <f>O6*'Sourcing_costs_LT_and stdv'!D14</f>
        <v>27906083.14</v>
      </c>
      <c r="X6" s="250">
        <f>5%*'Incomes and Costs'!$B17*O6</f>
        <v>1099375.49</v>
      </c>
      <c r="Y6" s="250">
        <f>1.64*P6*SQRT('Sourcing_costs_LT_and stdv'!D11)*D38</f>
        <v>32849.52286</v>
      </c>
      <c r="Z6" s="257">
        <f>-EOQ_ReorderPt!N6*(1-_xlfn.norm.dist(EOQ_ReorderPt!N6/'Sourcing_costs_LT_and stdv'!D13,0,1,1))+'Sourcing_costs_LT_and stdv'!D13*_xlfn.norm.dist(EOQ_ReorderPt!N6/'Sourcing_costs_LT_and stdv'!D13,0,1,0)</f>
        <v>0</v>
      </c>
      <c r="AA6" s="249">
        <f>$B$24*EOQ!G6</f>
        <v>34924.16435</v>
      </c>
      <c r="AB6" s="252">
        <f>SQRT($B$24)*EOQ!H6</f>
        <v>189.1197532</v>
      </c>
      <c r="AC6" s="250">
        <f>'Sourcing_costs_LT_and stdv'!E14+AF6/AA6</f>
        <v>1023.415687</v>
      </c>
      <c r="AD6" s="250">
        <f t="shared" si="7"/>
        <v>3737962.462</v>
      </c>
      <c r="AE6" s="253">
        <f t="shared" si="8"/>
        <v>1</v>
      </c>
      <c r="AF6" s="250">
        <f>'Sourcing_costs_LT_and stdv'!E12*IF(ROUNDUP(AA6/$B$43)=0,1,ROUNDUP(AA6/$B$43))</f>
        <v>538380</v>
      </c>
      <c r="AG6" s="250">
        <f t="shared" si="9"/>
        <v>1079.03404</v>
      </c>
      <c r="AH6" s="255">
        <f>AA6*$B$38*AC6*'Sourcing_costs_LT_and stdv'!E11/(24*30)</f>
        <v>29784.94805</v>
      </c>
      <c r="AI6" s="250">
        <f>AA6*'Sourcing_costs_LT_and stdv'!E14</f>
        <v>35203557.66</v>
      </c>
      <c r="AJ6" s="250">
        <f>5%*'Incomes and Costs'!$B17*AA6</f>
        <v>1618007.431</v>
      </c>
      <c r="AK6" s="255">
        <f>1.64*AB6*SQRT('Sourcing_costs_LT_and stdv'!E11)*D38</f>
        <v>99553.34287</v>
      </c>
      <c r="AL6" s="257">
        <f>-EOQ_ReorderPt!T6*(1-_xlfn.norm.dist(EOQ_ReorderPt!T6/'Sourcing_costs_LT_and stdv'!E13,0,1,1))+'Sourcing_costs_LT_and stdv'!E13*_xlfn.norm.dist(EOQ_ReorderPt!T6/'Sourcing_costs_LT_and stdv'!E13,0,1,0)</f>
        <v>0</v>
      </c>
      <c r="AM6" s="249">
        <f>$B$24*EOQ!I6</f>
        <v>38065.13663</v>
      </c>
      <c r="AN6" s="252">
        <f>SQRT($B$24)*EOQ!J6</f>
        <v>195.5426003</v>
      </c>
      <c r="AO6" s="250">
        <f>'Sourcing_costs_LT_and stdv'!F14+AR6/AM6</f>
        <v>1106.143651</v>
      </c>
      <c r="AP6" s="250">
        <f t="shared" si="10"/>
        <v>4057096.625</v>
      </c>
      <c r="AQ6" s="253">
        <f t="shared" si="11"/>
        <v>1</v>
      </c>
      <c r="AR6" s="250">
        <f>'Sourcing_costs_LT_and stdv'!F12*IF(ROUNDUP(AM6/$B$43)=0,1,ROUNDUP(AM6/$B$43))</f>
        <v>538380</v>
      </c>
      <c r="AS6" s="250">
        <f t="shared" si="12"/>
        <v>1147.982066</v>
      </c>
      <c r="AT6" s="255">
        <f>AM6*$B$38*AO6*'Sourcing_costs_LT_and stdv'!F11/(24*30)</f>
        <v>35087.92433</v>
      </c>
      <c r="AU6" s="250">
        <f>AM6*'Sourcing_costs_LT_and stdv'!F14</f>
        <v>41567129.19</v>
      </c>
      <c r="AV6" s="250">
        <f>5%*'Incomes and Costs'!$B17*AM6</f>
        <v>1763526.059</v>
      </c>
      <c r="AW6" s="255">
        <f>1.64*AN6*SQRT('Sourcing_costs_LT_and stdv'!F11)*D38</f>
        <v>102934.3536</v>
      </c>
      <c r="AX6" s="251">
        <f>-EOQ_ReorderPt!Z6*(1-_xlfn.norm.dist(EOQ_ReorderPt!Z6/'Sourcing_costs_LT_and stdv'!F13,0,1,1))+'Sourcing_costs_LT_and stdv'!F13*_xlfn.norm.dist(EOQ_ReorderPt!Z6/'Sourcing_costs_LT_and stdv'!F13,0,1,0)</f>
        <v>0</v>
      </c>
      <c r="AY6" s="249">
        <f>$B$24*EOQ!K6</f>
        <v>44864.19248</v>
      </c>
      <c r="AZ6" s="252">
        <f>SQRT($B$24)*EOQ!L6</f>
        <v>210.5210083</v>
      </c>
      <c r="BA6" s="250">
        <f>'Sourcing_costs_LT_and stdv'!G14+BD6/AY6</f>
        <v>1080.000432</v>
      </c>
      <c r="BB6" s="250">
        <f t="shared" si="13"/>
        <v>4352189.345</v>
      </c>
      <c r="BC6" s="253">
        <f t="shared" si="14"/>
        <v>2</v>
      </c>
      <c r="BD6" s="250">
        <f>'Sourcing_costs_LT_and stdv'!G12*IF(ROUNDUP(AY6/$B$43)=0,1,ROUNDUP(AY6/$B$43))</f>
        <v>1076760</v>
      </c>
      <c r="BE6" s="250">
        <f t="shared" si="15"/>
        <v>1202.374985</v>
      </c>
      <c r="BF6" s="250">
        <f>AY6*$B$38*BA6*'Sourcing_costs_LT_and stdv'!G5/(24*30)</f>
        <v>336.4815782</v>
      </c>
      <c r="BG6" s="250">
        <f>AY6*'Sourcing_costs_LT_and stdv'!G14</f>
        <v>47376587.25</v>
      </c>
      <c r="BH6" s="250">
        <f>5%*'Incomes and Costs'!$B17*AY6</f>
        <v>2078520.651</v>
      </c>
      <c r="BI6" s="255">
        <f>1.64*AZ6*SQRT('Sourcing_costs_LT_and stdv'!G11)*D38</f>
        <v>110819.0433</v>
      </c>
      <c r="BJ6" s="257">
        <f>-EOQ_ReorderPt!AF6*(1-_xlfn.norm.dist(EOQ_ReorderPt!AF6/'Sourcing_costs_LT_and stdv'!G13,0,1,1))+'Sourcing_costs_LT_and stdv'!G13*_xlfn.norm.dist(EOQ_ReorderPt!AF6/'Sourcing_costs_LT_and stdv'!G13,0,1,0)</f>
        <v>0</v>
      </c>
      <c r="BK6" s="249">
        <f>$B$24*EOQ!M6</f>
        <v>43226.67339</v>
      </c>
      <c r="BL6" s="252">
        <f>SQRT($B$24)*EOQ!N6</f>
        <v>209.387652</v>
      </c>
      <c r="BM6" s="250">
        <f>'Sourcing_costs_LT_and stdv'!H14+BP6/BK6</f>
        <v>516.4548099</v>
      </c>
      <c r="BN6" s="250">
        <f t="shared" si="16"/>
        <v>749534.1087</v>
      </c>
      <c r="BO6" s="253">
        <f t="shared" si="17"/>
        <v>2</v>
      </c>
      <c r="BP6" s="250">
        <f>'Sourcing_costs_LT_and stdv'!H12*IF(INT(BK6/$B$43)=0,1,INT(BK6/$B$43))</f>
        <v>538380</v>
      </c>
      <c r="BQ6" s="250">
        <f t="shared" si="18"/>
        <v>1538.243423</v>
      </c>
      <c r="BR6" s="250">
        <f>BK6*$B$38*BM6*'Sourcing_costs_LT_and stdv'!H11/(24*30)</f>
        <v>18603.85282</v>
      </c>
      <c r="BS6" s="250">
        <f>BK6*'Sourcing_costs_LT_and stdv'!H14</f>
        <v>21786243.39</v>
      </c>
      <c r="BT6" s="250">
        <f>5%*'Incomes and Costs'!$B17*BK6</f>
        <v>2002655.756</v>
      </c>
      <c r="BU6" s="255">
        <f>1.64*BL6*SQRT('Sourcing_costs_LT_and stdv'!H11)*D38</f>
        <v>110222.4403</v>
      </c>
      <c r="BV6" s="258">
        <f>-EOQ_ReorderPt!AL6*(1-_xlfn.norm.dist(EOQ_ReorderPt!AL6/'Sourcing_costs_LT_and stdv'!H13,0,1,1))+'Sourcing_costs_LT_and stdv'!H13*_xlfn.norm.dist(EOQ_ReorderPt!AL6/'Sourcing_costs_LT_and stdv'!H13,0,1,0)</f>
        <v>0</v>
      </c>
      <c r="BW6" s="249">
        <f>$B$24*EOQ!O6</f>
        <v>45046.13904</v>
      </c>
      <c r="BX6" s="252">
        <f>SQRT($B$24)*EOQ!P6</f>
        <v>214.1103482</v>
      </c>
      <c r="BY6" s="250">
        <f>'Sourcing_costs_LT_and stdv'!I14+CB6/BW6</f>
        <v>945.5931675</v>
      </c>
      <c r="BZ6" s="250">
        <f t="shared" si="19"/>
        <v>1035333.531</v>
      </c>
      <c r="CA6" s="253">
        <f t="shared" si="20"/>
        <v>2</v>
      </c>
      <c r="CB6" s="261">
        <f>'Sourcing_costs_LT_and stdv'!I12</f>
        <v>3945734</v>
      </c>
      <c r="CC6" s="250">
        <f t="shared" si="21"/>
        <v>3890.325541</v>
      </c>
      <c r="CD6" s="250">
        <f>BW6*$B$38*BY6*'Sourcing_costs_LT_and stdv'!I11/(24*30)</f>
        <v>485113.3814</v>
      </c>
      <c r="CE6" s="250">
        <f>BW6*'Sourcing_costs_LT_and stdv'!I14</f>
        <v>38649587.3</v>
      </c>
      <c r="CF6" s="250">
        <f>5%*'Incomes and Costs'!$B17*BW6</f>
        <v>2086950.083</v>
      </c>
      <c r="CG6" s="250">
        <f>1.64*BX6*SQRT('Sourcing_costs_LT_and stdv'!I11)*D38</f>
        <v>416665.8566</v>
      </c>
      <c r="CH6" s="258">
        <f>-EOQ_ReorderPt!AR6*(1-_xlfn.norm.dist(EOQ_ReorderPt!AR6/'Sourcing_costs_LT_and stdv'!I13,0,1,1))+'Sourcing_costs_LT_and stdv'!I13*_xlfn.norm.dist(EOQ_ReorderPt!AR6/'Sourcing_costs_LT_and stdv'!I13,0,1,0)</f>
        <v>0</v>
      </c>
      <c r="CI6" s="249">
        <f>$B$24*EOQ!Q6</f>
        <v>39779.26479</v>
      </c>
      <c r="CJ6" s="252">
        <f>SQRT($B$24)*EOQ!R6</f>
        <v>197.624849</v>
      </c>
      <c r="CK6" s="262">
        <f>'Sourcing_costs_LT_and stdv'!J14+CN6/CI6</f>
        <v>817.5341868</v>
      </c>
      <c r="CL6" s="250">
        <f t="shared" si="22"/>
        <v>3565555.711</v>
      </c>
      <c r="CM6" s="253">
        <f t="shared" si="23"/>
        <v>1</v>
      </c>
      <c r="CN6" s="250">
        <f>'Sourcing_costs_LT_and stdv'!J12*IF(ROUNDUP(CI6/$B$43)=0,1,ROUNDUP(CI6/$B$43))</f>
        <v>538380</v>
      </c>
      <c r="CO6" s="250">
        <f t="shared" si="24"/>
        <v>745.6609</v>
      </c>
      <c r="CP6" s="262">
        <f>CI6*$B$38*CK6*'Sourcing_costs_LT_and stdv'!J11/(24*30)</f>
        <v>27100.75741</v>
      </c>
      <c r="CQ6" s="250">
        <f>CI6*'Sourcing_costs_LT_and stdv'!J14</f>
        <v>31982528.89</v>
      </c>
      <c r="CR6" s="250">
        <f>5%*'Incomes and Costs'!$B17*CI6</f>
        <v>1842940.188</v>
      </c>
      <c r="CS6" s="250">
        <f>1.64*CJ6*SQRT('Sourcing_costs_LT_and stdv'!J11)*D38</f>
        <v>104030.457</v>
      </c>
      <c r="CT6" s="258">
        <f>-EOQ_ReorderPt!AX6*(1-_xlfn.norm.dist(EOQ_ReorderPt!AX6/'Sourcing_costs_LT_and stdv'!J13,0,1,1))+'Sourcing_costs_LT_and stdv'!J13*_xlfn.norm.dist(EOQ_ReorderPt!AX6/'Sourcing_costs_LT_and stdv'!J13,0,1,0)</f>
        <v>0</v>
      </c>
      <c r="CU6" s="249">
        <f>$B$24*EOQ!S6</f>
        <v>34272.98717</v>
      </c>
      <c r="CV6" s="252">
        <f>SQRT($B$24)*EOQ!T6</f>
        <v>186.5999831</v>
      </c>
      <c r="CW6" s="250">
        <f>'Sourcing_costs_LT_and stdv'!K14+CZ6/CU6</f>
        <v>435.7085811</v>
      </c>
      <c r="CX6" s="250">
        <f t="shared" si="25"/>
        <v>2416127.926</v>
      </c>
      <c r="CY6" s="253">
        <f t="shared" si="26"/>
        <v>1</v>
      </c>
      <c r="CZ6" s="250">
        <f>'Sourcing_costs_LT_and stdv'!K12*IF(ROUNDUP(CU6/$B$43)=0,1,ROUNDUP(CU6/$B$43))</f>
        <v>538380</v>
      </c>
      <c r="DA6" s="250">
        <f t="shared" si="27"/>
        <v>269.2925011</v>
      </c>
      <c r="DB6" s="250">
        <f>CU6*$B$38*CW6*'Sourcing_costs_LT_and stdv'!K11/(24*30)</f>
        <v>12444.19551</v>
      </c>
      <c r="DC6" s="250">
        <f>CU6*'Sourcing_costs_LT_and stdv'!K14</f>
        <v>14394654.61</v>
      </c>
      <c r="DD6" s="250">
        <f>5%*'Incomes and Costs'!$B17*CU6</f>
        <v>1587838.935</v>
      </c>
      <c r="DE6" s="250">
        <f>1.64*CV6*SQRT('Sourcing_costs_LT_and stdv'!K11)*D38</f>
        <v>98226.92651</v>
      </c>
      <c r="DF6" s="258">
        <f>-EOQ_ReorderPt!BD6*(1-_xlfn.norm.dist(EOQ_ReorderPt!BD6/'Sourcing_costs_LT_and stdv'!K13,0,1,1))+'Sourcing_costs_LT_and stdv'!K13*_xlfn.norm.dist(EOQ_ReorderPt!BD6/'Sourcing_costs_LT_and stdv'!K13,0,1,0)</f>
        <v>0</v>
      </c>
      <c r="DG6" s="249">
        <f>$B$24*EOQ!U6</f>
        <v>45965.448</v>
      </c>
      <c r="DH6" s="252">
        <f>SQRT($B$24)*EOQ!V6</f>
        <v>216.9706885</v>
      </c>
      <c r="DI6" s="250">
        <f>'Sourcing_costs_LT_and stdv'!L14+DL6/DG6</f>
        <v>863.4254216</v>
      </c>
      <c r="DJ6" s="250">
        <f t="shared" si="28"/>
        <v>995551.0229</v>
      </c>
      <c r="DK6" s="259">
        <f t="shared" si="29"/>
        <v>2</v>
      </c>
      <c r="DL6" s="250">
        <f>'Sourcing_costs_LT_and stdv'!L12*IF(ROUNDUP(DG6/$B$43)=0,1,ROUNDUP(DG6/$B$43))</f>
        <v>1076760</v>
      </c>
      <c r="DM6" s="250">
        <f t="shared" si="30"/>
        <v>3442.053665</v>
      </c>
      <c r="DN6" s="250">
        <f>DG6*$B$38*DI6*'Sourcing_costs_LT_and stdv'!L11/(24*30)</f>
        <v>33073.1136</v>
      </c>
      <c r="DO6" s="250">
        <f>DG6*'Sourcing_costs_LT_and stdv'!L14</f>
        <v>38610976.32</v>
      </c>
      <c r="DP6" s="250">
        <f>5%*'Incomes and Costs'!$B17*DG6</f>
        <v>2129540.901</v>
      </c>
      <c r="DQ6" s="250">
        <f>1.64*DH6*SQRT('Sourcing_costs_LT_and stdv'!L11)*D38</f>
        <v>114214.179</v>
      </c>
      <c r="DR6" s="258">
        <f>-EOQ_ReorderPt!BJ6*(1-_xlfn.norm.dist(EOQ_ReorderPt!BJ6/'Sourcing_costs_LT_and stdv'!L13,0,1,1))+'Sourcing_costs_LT_and stdv'!L13*_xlfn.norm.dist(EOQ_ReorderPt!BJ6/'Sourcing_costs_LT_and stdv'!L13,0,1,0)</f>
        <v>0</v>
      </c>
      <c r="DS6" s="249">
        <f>$B$24*EOQ!W6</f>
        <v>43485.22904</v>
      </c>
      <c r="DT6" s="252">
        <f>SQRT($B$24)*EOQ!X6</f>
        <v>207.7474147</v>
      </c>
      <c r="DU6" s="250">
        <f>'Sourcing_costs_LT_and stdv'!M14+DX6/DS6</f>
        <v>864.7615115</v>
      </c>
      <c r="DV6" s="250">
        <f t="shared" si="31"/>
        <v>3834113.333</v>
      </c>
      <c r="DW6" s="259">
        <f t="shared" si="32"/>
        <v>2</v>
      </c>
      <c r="DX6" s="261">
        <f>'Sourcing_costs_LT_and stdv'!M12*IF(ROUNDUP(DS6/$B$43)=0,1,ROUNDUP(DS6/$B$43))</f>
        <v>1076760</v>
      </c>
      <c r="DY6" s="250">
        <f t="shared" si="33"/>
        <v>848.1438546</v>
      </c>
      <c r="DZ6" s="250">
        <f>DS6*$B$38*DU6*'Sourcing_costs_LT_and stdv'!M11/(24*30)</f>
        <v>31336.96032</v>
      </c>
      <c r="EA6" s="250">
        <f>DS6*'Sourcing_costs_LT_and stdv'!M14</f>
        <v>36527592.39</v>
      </c>
      <c r="EB6" s="250">
        <f>5%*DS6*'Incomes and Costs'!B17</f>
        <v>2014634.424</v>
      </c>
      <c r="EC6" s="250">
        <f>DT6*1.64*SQRT('Sourcing_costs_LT_and stdv'!M11)*D38</f>
        <v>109359.0133</v>
      </c>
      <c r="ED6" s="258">
        <f>-EOQ_ReorderPt!BO6*(1-_xlfn.norm.dist(EOQ_ReorderPt!BO6/'Sourcing_costs_LT_and stdv'!M13,0,1,1))+'Sourcing_costs_LT_and stdv'!M13*_xlfn.norm.dist(EOQ_ReorderPt!BO6/'Sourcing_costs_LT_and stdv'!M13,0,1,0)</f>
        <v>0</v>
      </c>
      <c r="EE6" s="249">
        <f>$B$24*EOQ!Y6</f>
        <v>36858.54362</v>
      </c>
      <c r="EF6" s="264">
        <f>SQRT($B$24)*EOQ!Z6</f>
        <v>191.5993322</v>
      </c>
      <c r="EG6" s="250">
        <f>'Sourcing_costs_LT_and stdv'!N14+EJ6/EE6</f>
        <v>1275.606654</v>
      </c>
      <c r="EH6" s="250">
        <f t="shared" si="34"/>
        <v>23045389.9</v>
      </c>
      <c r="EI6" s="259">
        <f t="shared" si="35"/>
        <v>1</v>
      </c>
      <c r="EJ6" s="250">
        <f>'Sourcing_costs_LT_and stdv'!N12*IF(ROUNDUP(EE6/$B$43)=0,1,ROUNDUP(EE6/$B$43))</f>
        <v>538380</v>
      </c>
      <c r="EK6" s="250">
        <f t="shared" si="36"/>
        <v>260.2481572</v>
      </c>
      <c r="EL6" s="250">
        <f>EE6*$B$38*EG6*'Sourcing_costs_LT_and stdv'!N11/(24*30)</f>
        <v>39180.83625</v>
      </c>
      <c r="EM6" s="250">
        <f>EE6*'Sourcing_costs_LT_and stdv'!N14</f>
        <v>46478623.5</v>
      </c>
      <c r="EN6" s="250">
        <f>5%*'Incomes and Costs'!$B17*EE6</f>
        <v>1707625.61</v>
      </c>
      <c r="EO6" s="250">
        <f>EF6*1.64*SQRT('Sourcing_costs_LT_and stdv'!N11)*D38</f>
        <v>100858.6025</v>
      </c>
      <c r="EP6" s="257">
        <f>-EOQ_ReorderPt!BT6*(1-_xlfn.norm.dist(EOQ_ReorderPt!BT6/'Sourcing_costs_LT_and stdv'!N13,0,1,1))+'Sourcing_costs_LT_and stdv'!N13*_xlfn.norm.dist(EOQ_ReorderPt!BT6/'Sourcing_costs_LT_and stdv'!N13,0,1,0)</f>
        <v>0</v>
      </c>
    </row>
    <row r="7" ht="14.25" customHeight="1">
      <c r="A7" s="77">
        <v>4.0</v>
      </c>
      <c r="B7" s="260" t="s">
        <v>27</v>
      </c>
      <c r="C7" s="249">
        <f>EOQ!C7*$B$24</f>
        <v>101382.5412</v>
      </c>
      <c r="D7" s="249">
        <f>SQRT($B$24)*EOQ!D7</f>
        <v>320.1689395</v>
      </c>
      <c r="E7" s="250">
        <f>'Sourcing_costs_LT_and stdv'!C18+H7/C7</f>
        <v>260.4161018</v>
      </c>
      <c r="F7" s="250">
        <f t="shared" si="1"/>
        <v>5883158.623</v>
      </c>
      <c r="G7" s="249">
        <f t="shared" si="2"/>
        <v>3</v>
      </c>
      <c r="H7" s="263">
        <f>'Sourcing_costs_LT_and stdv'!$C$16*IF(ROUNDUP(C7/$B$43)=0,1,ROUNDUP(C7/$B$43))</f>
        <v>143568</v>
      </c>
      <c r="I7" s="250">
        <f t="shared" si="3"/>
        <v>116.8660276</v>
      </c>
      <c r="J7" s="250">
        <f>C7*(E7*$B$38)*'Sourcing_costs_LT_and stdv'!C15/(24*30)</f>
        <v>3666.895303</v>
      </c>
      <c r="K7" s="250">
        <f>C7*'Sourcing_costs_LT_and stdv'!C18</f>
        <v>26258078.18</v>
      </c>
      <c r="L7" s="250">
        <f>5%*'Incomes and Costs'!$B18*C7</f>
        <v>1424002.277</v>
      </c>
      <c r="M7" s="250">
        <f>1.64*D7*SQRT('Sourcing_costs_LT_and stdv'!C15)*D39</f>
        <v>20860.05984</v>
      </c>
      <c r="N7" s="251">
        <f>-EOQ_ReorderPt!H7*(1-_xlfn.norm.dist(EOQ_ReorderPt!H7/'Sourcing_costs_LT_and stdv'!C17,0,1,1))+'Sourcing_costs_LT_and stdv'!C17*_xlfn.norm.dist(EOQ_ReorderPt!H7/'Sourcing_costs_LT_and stdv'!C17,0,1,0)</f>
        <v>0</v>
      </c>
      <c r="O7" s="249">
        <f>EOQ!E7*$B$24</f>
        <v>75967.47896</v>
      </c>
      <c r="P7" s="252">
        <f>SQRT($B$24)*EOQ!F7</f>
        <v>275.7045087</v>
      </c>
      <c r="Q7" s="250">
        <f>'Sourcing_costs_LT_and stdv'!D18+T7/O7</f>
        <v>413.918645</v>
      </c>
      <c r="R7" s="250">
        <f t="shared" si="4"/>
        <v>6331.78915</v>
      </c>
      <c r="S7" s="253">
        <f t="shared" si="5"/>
        <v>2</v>
      </c>
      <c r="T7" s="250">
        <f>'Sourcing_costs_LT_and stdv'!E16*IF(ROUNDUP(O7/$B$43)=0,1,ROUNDUP(O7/$B$43))</f>
        <v>7818470</v>
      </c>
      <c r="U7" s="254">
        <f t="shared" si="6"/>
        <v>205556.5165</v>
      </c>
      <c r="V7" s="255">
        <f>O7*$B$38*Q7*'Sourcing_costs_LT_and stdv'!D6/(24*30)</f>
        <v>3799526.345</v>
      </c>
      <c r="W7" s="256">
        <f>O7*'Sourcing_costs_LT_and stdv'!D18</f>
        <v>23625885.96</v>
      </c>
      <c r="X7" s="250">
        <f>5%*'Incomes and Costs'!$B18*O7</f>
        <v>1067026.548</v>
      </c>
      <c r="Y7" s="250">
        <f>1.64*P7*SQRT('Sourcing_costs_LT_and stdv'!D15)*D39</f>
        <v>17963.05587</v>
      </c>
      <c r="Z7" s="257">
        <f>-EOQ_ReorderPt!N7*(1-_xlfn.norm.dist(EOQ_ReorderPt!N7/'Sourcing_costs_LT_and stdv'!D17,0,1,1))+'Sourcing_costs_LT_and stdv'!D17*_xlfn.norm.dist(EOQ_ReorderPt!N7/'Sourcing_costs_LT_and stdv'!D17,0,1,0)</f>
        <v>0</v>
      </c>
      <c r="AA7" s="249">
        <f>$B$24*EOQ!G7</f>
        <v>99189.60633</v>
      </c>
      <c r="AB7" s="252">
        <f>SQRT($B$24)*EOQ!H7</f>
        <v>317.9274494</v>
      </c>
      <c r="AC7" s="250">
        <f>'Sourcing_costs_LT_and stdv'!E18+AF7/AA7</f>
        <v>518.2352207</v>
      </c>
      <c r="AD7" s="250">
        <f t="shared" si="7"/>
        <v>7294.016157</v>
      </c>
      <c r="AE7" s="253">
        <f t="shared" si="8"/>
        <v>3</v>
      </c>
      <c r="AF7" s="250">
        <f>'Sourcing_costs_LT_and stdv'!E16*IF(ROUNDUP(AA7/$B$43)=0,1,ROUNDUP(AA7/$B$43))</f>
        <v>11727705</v>
      </c>
      <c r="AG7" s="250">
        <f t="shared" si="9"/>
        <v>257361.2665</v>
      </c>
      <c r="AH7" s="255">
        <f>AA7*$B$38*AC7*'Sourcing_costs_LT_and stdv'!E15/(24*30)</f>
        <v>320082.2751</v>
      </c>
      <c r="AI7" s="250">
        <f>AA7*'Sourcing_costs_LT_and stdv'!E18</f>
        <v>39675842.53</v>
      </c>
      <c r="AJ7" s="250">
        <f>5%*'Incomes and Costs'!$B18*AA7</f>
        <v>1393200.679</v>
      </c>
      <c r="AK7" s="255">
        <f>1.64*AB7*SQRT('Sourcing_costs_LT_and stdv'!E15)*D39</f>
        <v>138696.3056</v>
      </c>
      <c r="AL7" s="257">
        <f>-EOQ_ReorderPt!T7*(1-_xlfn.norm.dist(EOQ_ReorderPt!T7/'Sourcing_costs_LT_and stdv'!E17,0,1,1))+'Sourcing_costs_LT_and stdv'!E17*_xlfn.norm.dist(EOQ_ReorderPt!T7/'Sourcing_costs_LT_and stdv'!E17,0,1,0)</f>
        <v>0</v>
      </c>
      <c r="AM7" s="249">
        <f>$B$24*EOQ!I7</f>
        <v>106630.2632</v>
      </c>
      <c r="AN7" s="252">
        <f>SQRT($B$24)*EOQ!J7</f>
        <v>329.4504725</v>
      </c>
      <c r="AO7" s="250">
        <f>'Sourcing_costs_LT_and stdv'!F18+AR7/AM7</f>
        <v>499.9847702</v>
      </c>
      <c r="AP7" s="250">
        <f t="shared" si="10"/>
        <v>7428.289199</v>
      </c>
      <c r="AQ7" s="253">
        <f t="shared" si="11"/>
        <v>3</v>
      </c>
      <c r="AR7" s="250">
        <f>'Sourcing_costs_LT_and stdv'!F16*IF(ROUNDUP(AM7/$B$43)=0,1,ROUNDUP(AM7/$B$43))</f>
        <v>11727705</v>
      </c>
      <c r="AS7" s="250">
        <f t="shared" si="12"/>
        <v>358843.6201</v>
      </c>
      <c r="AT7" s="255">
        <f>AM7*$B$38*AO7*'Sourcing_costs_LT_and stdv'!F15/(24*30)</f>
        <v>331975.3139</v>
      </c>
      <c r="AU7" s="250">
        <f>AM7*'Sourcing_costs_LT_and stdv'!F18</f>
        <v>41585802.66</v>
      </c>
      <c r="AV7" s="250">
        <f>5%*'Incomes and Costs'!$B18*AM7</f>
        <v>1497710.906</v>
      </c>
      <c r="AW7" s="255">
        <f>1.64*AN7*SQRT('Sourcing_costs_LT_and stdv'!F15)*D39</f>
        <v>143723.241</v>
      </c>
      <c r="AX7" s="251">
        <f>-EOQ_ReorderPt!Z7*(1-_xlfn.norm.dist(EOQ_ReorderPt!Z7/'Sourcing_costs_LT_and stdv'!F17,0,1,1))+'Sourcing_costs_LT_and stdv'!F17*_xlfn.norm.dist(EOQ_ReorderPt!Z7/'Sourcing_costs_LT_and stdv'!F17,0,1,0)</f>
        <v>0</v>
      </c>
      <c r="AY7" s="249">
        <f>$B$24*EOQ!K7</f>
        <v>115660.5585</v>
      </c>
      <c r="AZ7" s="252">
        <f>SQRT($B$24)*EOQ!L7</f>
        <v>342.0010931</v>
      </c>
      <c r="BA7" s="250">
        <f>'Sourcing_costs_LT_and stdv'!G18+BD7/AY7</f>
        <v>601.3976169</v>
      </c>
      <c r="BB7" s="250">
        <f t="shared" si="13"/>
        <v>8484.840229</v>
      </c>
      <c r="BC7" s="253">
        <f t="shared" si="14"/>
        <v>3</v>
      </c>
      <c r="BD7" s="265">
        <f>'Sourcing_costs_LT_and stdv'!G16*IF(ROUNDUP(AY7/$B$43)=0,1,ROUNDUP(AY7/$B$43))</f>
        <v>11727705</v>
      </c>
      <c r="BE7" s="250">
        <f t="shared" si="15"/>
        <v>493020.5501</v>
      </c>
      <c r="BF7" s="250">
        <f>AY7*$B$38*BA7*'Sourcing_costs_LT_and stdv'!G6/(24*30)</f>
        <v>7883238.217</v>
      </c>
      <c r="BG7" s="250">
        <f>AY7*'Sourcing_costs_LT_and stdv'!G18</f>
        <v>57830279.27</v>
      </c>
      <c r="BH7" s="250">
        <f>5%*'Incomes and Costs'!$B18*AY7</f>
        <v>1624548.928</v>
      </c>
      <c r="BI7" s="255">
        <f>1.64*AZ7*SQRT('Sourcing_costs_LT_and stdv'!G15)*D39</f>
        <v>149198.4672</v>
      </c>
      <c r="BJ7" s="257">
        <f>-EOQ_ReorderPt!AF7*(1-_xlfn.norm.dist(EOQ_ReorderPt!AF7/'Sourcing_costs_LT_and stdv'!G17,0,1,1))+'Sourcing_costs_LT_and stdv'!G17*_xlfn.norm.dist(EOQ_ReorderPt!AF7/'Sourcing_costs_LT_and stdv'!G17,0,1,0)</f>
        <v>0</v>
      </c>
      <c r="BK7" s="249">
        <f>$B$24*EOQ!M7</f>
        <v>108938.1118</v>
      </c>
      <c r="BL7" s="252">
        <f>SQRT($B$24)*EOQ!N7</f>
        <v>330.2123807</v>
      </c>
      <c r="BM7" s="250">
        <f>'Sourcing_costs_LT_and stdv'!H18+BP7/BK7</f>
        <v>501.7698322</v>
      </c>
      <c r="BN7" s="250">
        <f t="shared" si="16"/>
        <v>12568.72188</v>
      </c>
      <c r="BO7" s="253">
        <f t="shared" si="17"/>
        <v>3</v>
      </c>
      <c r="BP7" s="265">
        <f>'Sourcing_costs_LT_and stdv'!H16*IF(INT(BK7/$B$43)=0,1,INT(BK7/$B$43))</f>
        <v>7818470</v>
      </c>
      <c r="BQ7" s="250">
        <f t="shared" si="18"/>
        <v>218221.6426</v>
      </c>
      <c r="BR7" s="250">
        <f>BK7*$B$38*BM7*'Sourcing_costs_LT_and stdv'!H15/(24*30)</f>
        <v>340371.2921</v>
      </c>
      <c r="BS7" s="250">
        <f>BK7*'Sourcing_costs_LT_and stdv'!H18</f>
        <v>46843388.06</v>
      </c>
      <c r="BT7" s="250">
        <f>5%*'Incomes and Costs'!$B18*BK7</f>
        <v>1530126.561</v>
      </c>
      <c r="BU7" s="255">
        <f>1.64*BL7*SQRT('Sourcing_costs_LT_and stdv'!H15)*D39</f>
        <v>144055.6245</v>
      </c>
      <c r="BV7" s="258">
        <f>-EOQ_ReorderPt!AL7*(1-_xlfn.norm.dist(EOQ_ReorderPt!AL7/'Sourcing_costs_LT_and stdv'!H17,0,1,1))+'Sourcing_costs_LT_and stdv'!H17*_xlfn.norm.dist(EOQ_ReorderPt!AL7/'Sourcing_costs_LT_and stdv'!H17,0,1,0)</f>
        <v>0</v>
      </c>
      <c r="BW7" s="249">
        <f>$B$24*EOQ!O7</f>
        <v>109474.3753</v>
      </c>
      <c r="BX7" s="252">
        <f>SQRT($B$24)*EOQ!P7</f>
        <v>330.216371</v>
      </c>
      <c r="BY7" s="250">
        <f>'Sourcing_costs_LT_and stdv'!I18+CB7/BW7</f>
        <v>467.1273982</v>
      </c>
      <c r="BZ7" s="250">
        <f t="shared" si="19"/>
        <v>8611.085656</v>
      </c>
      <c r="CA7" s="253">
        <f t="shared" si="20"/>
        <v>3</v>
      </c>
      <c r="CB7" s="266">
        <f>'Sourcing_costs_LT_and stdv'!I16*IF(ROUNDUP(BW7/$B$43)=0,1,ROUNDUP(BW7/$B$43))</f>
        <v>11727705</v>
      </c>
      <c r="CC7" s="250">
        <f t="shared" si="21"/>
        <v>277412.0026</v>
      </c>
      <c r="CD7" s="250">
        <f>BW7*$B$38*BY7*'Sourcing_costs_LT_and stdv'!I15/(24*30)</f>
        <v>318431.7396</v>
      </c>
      <c r="CE7" s="250">
        <f>BW7*'Sourcing_costs_LT_and stdv'!I18</f>
        <v>39410775.12</v>
      </c>
      <c r="CF7" s="250">
        <f>5%*'Incomes and Costs'!$B18*BW7</f>
        <v>1537658.83</v>
      </c>
      <c r="CG7" s="250">
        <f>1.64*BX7*SQRT('Sourcing_costs_LT_and stdv'!I15)*D39</f>
        <v>144057.3653</v>
      </c>
      <c r="CH7" s="258">
        <f>-EOQ_ReorderPt!AR7*(1-_xlfn.norm.dist(EOQ_ReorderPt!AR7/'Sourcing_costs_LT_and stdv'!I17,0,1,1))+'Sourcing_costs_LT_and stdv'!I17*_xlfn.norm.dist(EOQ_ReorderPt!AR7/'Sourcing_costs_LT_and stdv'!I17,0,1,0)</f>
        <v>0</v>
      </c>
      <c r="CI7" s="249">
        <f>$B$24*EOQ!Q7</f>
        <v>113256.9486</v>
      </c>
      <c r="CJ7" s="264">
        <f>SQRT($B$24)*EOQ!R7</f>
        <v>334.7421976</v>
      </c>
      <c r="CK7" s="250">
        <f>'Sourcing_costs_LT_and stdv'!J18+CN7/CI7</f>
        <v>423.5495406</v>
      </c>
      <c r="CL7" s="250">
        <f t="shared" si="22"/>
        <v>7046.195858</v>
      </c>
      <c r="CM7" s="253">
        <f t="shared" si="23"/>
        <v>3</v>
      </c>
      <c r="CN7" s="250">
        <f>'Sourcing_costs_LT_and stdv'!J16*IF(ROUNDUP(CI7/$B$43)=0,1,ROUNDUP(CI7/$B$43))</f>
        <v>11727705</v>
      </c>
      <c r="CO7" s="250">
        <f t="shared" si="24"/>
        <v>288349.0839</v>
      </c>
      <c r="CP7" s="250">
        <f>CI7*$B$38*CK7*'Sourcing_costs_LT_and stdv'!J15/(24*30)</f>
        <v>298701.6385</v>
      </c>
      <c r="CQ7" s="250">
        <f>CI7*'Sourcing_costs_LT_and stdv'!J18</f>
        <v>36242223.57</v>
      </c>
      <c r="CR7" s="250">
        <f>5%*'Incomes and Costs'!$B18*CI7</f>
        <v>1590788.225</v>
      </c>
      <c r="CS7" s="250">
        <f>1.64*CJ7*SQRT('Sourcing_costs_LT_and stdv'!J15)*D39</f>
        <v>146031.7636</v>
      </c>
      <c r="CT7" s="258">
        <f>-EOQ_ReorderPt!AX7*(1-_xlfn.norm.dist(EOQ_ReorderPt!AX7/'Sourcing_costs_LT_and stdv'!J17,0,1,1))+'Sourcing_costs_LT_and stdv'!J17*_xlfn.norm.dist(EOQ_ReorderPt!AX7/'Sourcing_costs_LT_and stdv'!J17,0,1,0)</f>
        <v>0</v>
      </c>
      <c r="CU7" s="249">
        <f>$B$24*EOQ!S7</f>
        <v>88646.2817</v>
      </c>
      <c r="CV7" s="252">
        <f>SQRT($B$24)*EOQ!T7</f>
        <v>298.1658518</v>
      </c>
      <c r="CW7" s="262">
        <f>'Sourcing_costs_LT_and stdv'!K18+CZ7/CU7</f>
        <v>533.2977656</v>
      </c>
      <c r="CX7" s="250">
        <f t="shared" si="25"/>
        <v>6994.961344</v>
      </c>
      <c r="CY7" s="253">
        <f t="shared" si="26"/>
        <v>3</v>
      </c>
      <c r="CZ7" s="261">
        <f>'Sourcing_costs_LT_and stdv'!K16*IF(ROUNDUP(CU7/$B$43)=0,1,ROUNDUP(CU7/$B$43))</f>
        <v>11727705</v>
      </c>
      <c r="DA7" s="250">
        <f t="shared" si="27"/>
        <v>360424.8556</v>
      </c>
      <c r="DB7" s="262">
        <f>CU7*$B$38*CW7*'Sourcing_costs_LT_and stdv'!K15/(24*30)</f>
        <v>294373.5742</v>
      </c>
      <c r="DC7" s="250">
        <f>CU7*'Sourcing_costs_LT_and stdv'!K18</f>
        <v>35547158.96</v>
      </c>
      <c r="DD7" s="250">
        <f>5%*'Incomes and Costs'!$B18*CU7</f>
        <v>1245110.898</v>
      </c>
      <c r="DE7" s="250">
        <f>1.64*CV7*SQRT('Sourcing_costs_LT_and stdv'!K15)*D39</f>
        <v>130075.2803</v>
      </c>
      <c r="DF7" s="258">
        <f>-EOQ_ReorderPt!BD7*(1-_xlfn.norm.dist(EOQ_ReorderPt!BD7/'Sourcing_costs_LT_and stdv'!K17,0,1,1))+'Sourcing_costs_LT_and stdv'!K17*_xlfn.norm.dist(EOQ_ReorderPt!BD7/'Sourcing_costs_LT_and stdv'!K17,0,1,0)</f>
        <v>0</v>
      </c>
      <c r="DG7" s="249">
        <f>$B$24*EOQ!U7</f>
        <v>103901.0648</v>
      </c>
      <c r="DH7" s="264">
        <f>SQRT($B$24)*EOQ!V7</f>
        <v>319.0784751</v>
      </c>
      <c r="DI7" s="250">
        <f>'Sourcing_costs_LT_and stdv'!L18+DL7/DG7</f>
        <v>0</v>
      </c>
      <c r="DJ7" s="250">
        <v>0.0</v>
      </c>
      <c r="DK7" s="259">
        <f t="shared" si="29"/>
        <v>3</v>
      </c>
      <c r="DL7" s="250">
        <f>'Sourcing_costs_LT_and stdv'!L16*IF(ROUNDUP(DG7/$B$43)=0,1,ROUNDUP(DG7/$B$43))</f>
        <v>0</v>
      </c>
      <c r="DM7" s="250">
        <f t="shared" si="30"/>
        <v>0</v>
      </c>
      <c r="DN7" s="250">
        <f>DG7*$B$38*DI7*'Sourcing_costs_LT_and stdv'!L15/(24*30)</f>
        <v>0</v>
      </c>
      <c r="DO7" s="250">
        <f>DG7*'Sourcing_costs_LT_and stdv'!L18</f>
        <v>0</v>
      </c>
      <c r="DP7" s="250">
        <f>5%*'Incomes and Costs'!$B18*DG7</f>
        <v>1459377.039</v>
      </c>
      <c r="DQ7" s="250">
        <f>1.64*DH7*SQRT('Sourcing_costs_LT_and stdv'!L15)*D39</f>
        <v>0</v>
      </c>
      <c r="DR7" s="258">
        <v>0.0</v>
      </c>
      <c r="DS7" s="249">
        <f>$B$24*EOQ!W7</f>
        <v>107013.3086</v>
      </c>
      <c r="DT7" s="264">
        <f>SQRT($B$24)*EOQ!X7</f>
        <v>326.4539905</v>
      </c>
      <c r="DU7" s="250">
        <f>'Sourcing_costs_LT_and stdv'!M18+DX7/DS7</f>
        <v>0</v>
      </c>
      <c r="DV7" s="250">
        <v>0.0</v>
      </c>
      <c r="DW7" s="259">
        <f t="shared" si="32"/>
        <v>3</v>
      </c>
      <c r="DX7" s="266">
        <f>'Sourcing_costs_LT_and stdv'!M16*IF(ROUNDUP(DS7/$B$43)=0,1,ROUNDUP(DS7/$B$43))</f>
        <v>0</v>
      </c>
      <c r="DY7" s="250">
        <f t="shared" si="33"/>
        <v>0</v>
      </c>
      <c r="DZ7" s="250">
        <f>DS7*$B$38*DU7*'Sourcing_costs_LT_and stdv'!M15/(24*30)</f>
        <v>0</v>
      </c>
      <c r="EA7" s="250">
        <f>DS7*'Sourcing_costs_LT_and stdv'!M18</f>
        <v>0</v>
      </c>
      <c r="EB7" s="250">
        <f>5%*DS7*'Incomes and Costs'!B18</f>
        <v>1503091.097</v>
      </c>
      <c r="EC7" s="250">
        <f>DT7*1.64*SQRT('Sourcing_costs_LT_and stdv'!M15)*D39</f>
        <v>0</v>
      </c>
      <c r="ED7" s="258">
        <v>0.0</v>
      </c>
      <c r="EE7" s="249">
        <f>$B$24*EOQ!Y7</f>
        <v>92151.14711</v>
      </c>
      <c r="EF7" s="264">
        <f>SQRT($B$24)*EOQ!Z7</f>
        <v>301.3444034</v>
      </c>
      <c r="EG7" s="250">
        <f>'Sourcing_costs_LT_and stdv'!N18+EJ7/EE7</f>
        <v>0</v>
      </c>
      <c r="EH7" s="250">
        <v>0.0</v>
      </c>
      <c r="EI7" s="259">
        <f t="shared" si="35"/>
        <v>3</v>
      </c>
      <c r="EJ7" s="250">
        <f>'Sourcing_costs_LT_and stdv'!N16*IF(ROUNDUP(EE7/$B$43)=0,1,ROUNDUP(EE7/$B$43))</f>
        <v>0</v>
      </c>
      <c r="EK7" s="250">
        <f t="shared" si="36"/>
        <v>0</v>
      </c>
      <c r="EL7" s="250">
        <f>EE7*$B$38*EG7*'Sourcing_costs_LT_and stdv'!N15/(24*30)</f>
        <v>0</v>
      </c>
      <c r="EM7" s="250">
        <f>EE7*'Sourcing_costs_LT_and stdv'!N18</f>
        <v>0</v>
      </c>
      <c r="EN7" s="250">
        <f>5%*'Incomes and Costs'!$B18*EE7</f>
        <v>1294339.654</v>
      </c>
      <c r="EO7" s="250">
        <f>EF7*1.64*SQRT('Sourcing_costs_LT_and stdv'!N15)*D39</f>
        <v>0</v>
      </c>
      <c r="EP7" s="257">
        <v>0.0</v>
      </c>
    </row>
    <row r="8" ht="14.25" customHeight="1">
      <c r="A8" s="77">
        <v>5.0</v>
      </c>
      <c r="B8" s="260" t="s">
        <v>29</v>
      </c>
      <c r="C8" s="249">
        <f>EOQ!C8*$B$24</f>
        <v>73573.44521</v>
      </c>
      <c r="D8" s="249">
        <f>SQRT($B$24)*EOQ!D8</f>
        <v>275.015929</v>
      </c>
      <c r="E8" s="250">
        <f>'Sourcing_costs_LT_and stdv'!C22+H8/C8</f>
        <v>141.3009041</v>
      </c>
      <c r="F8" s="250">
        <f t="shared" si="1"/>
        <v>2794.358687</v>
      </c>
      <c r="G8" s="249">
        <f t="shared" si="2"/>
        <v>2</v>
      </c>
      <c r="H8" s="263">
        <f>'Sourcing_costs_LT_and stdv'!$C$16*IF(ROUNDUP(C8/$B$43)=0,1,ROUNDUP(C8/$B$43))</f>
        <v>95712</v>
      </c>
      <c r="I8" s="250">
        <f t="shared" si="3"/>
        <v>52568.89192</v>
      </c>
      <c r="J8" s="250">
        <f>C8*(E8*$B$38)*'Sourcing_costs_LT_and stdv'!C19/(24*30)</f>
        <v>1443.888101</v>
      </c>
      <c r="K8" s="250">
        <f>C8*'Sourcing_costs_LT_and stdv'!C22</f>
        <v>10300282.33</v>
      </c>
      <c r="L8" s="250">
        <f>5%*'Incomes and Costs'!$B19*C8</f>
        <v>972395.7008</v>
      </c>
      <c r="M8" s="250">
        <f>1.64*D8*SQRT('Sourcing_costs_LT_and stdv'!C19)*D40</f>
        <v>16860.42926</v>
      </c>
      <c r="N8" s="251">
        <f>-EOQ_ReorderPt!H8*(1-_xlfn.norm.dist(EOQ_ReorderPt!H8/'Sourcing_costs_LT_and stdv'!C21,0,1,1))+'Sourcing_costs_LT_and stdv'!C21*_xlfn.norm.dist(EOQ_ReorderPt!H8/'Sourcing_costs_LT_and stdv'!C21,0,1,0)</f>
        <v>0</v>
      </c>
      <c r="O8" s="249">
        <f>EOQ!E8*$B$24</f>
        <v>53348.64809</v>
      </c>
      <c r="P8" s="252">
        <f>SQRT($B$24)*EOQ!F8</f>
        <v>233.086261</v>
      </c>
      <c r="Q8" s="250">
        <f>'Sourcing_costs_LT_and stdv'!C22+T8/O8</f>
        <v>140</v>
      </c>
      <c r="R8" s="250">
        <f t="shared" si="4"/>
        <v>17349.15192</v>
      </c>
      <c r="S8" s="253">
        <f t="shared" si="5"/>
        <v>2</v>
      </c>
      <c r="T8" s="267">
        <f>'Sourcing_costs_LT_and stdv'!E20*IF(ROUNDUP(O8/$B$43)=0,1,ROUNDUP(O8/$B$43))</f>
        <v>0</v>
      </c>
      <c r="U8" s="254">
        <f t="shared" si="6"/>
        <v>6027.000669</v>
      </c>
      <c r="V8" s="255">
        <f>O8*$B$38*Q8*'Sourcing_costs_LT_and stdv'!D7/(24*30)</f>
        <v>280080.4024</v>
      </c>
      <c r="W8" s="256">
        <f>O8*'Sourcing_costs_LT_and stdv'!D22</f>
        <v>19899045.74</v>
      </c>
      <c r="X8" s="250">
        <f>5%*'Incomes and Costs'!$B19*O8</f>
        <v>705091.2989</v>
      </c>
      <c r="Y8" s="250">
        <f>1.64*P8*SQRT('Sourcing_costs_LT_and stdv'!D19)*D40</f>
        <v>23625.10528</v>
      </c>
      <c r="Z8" s="257">
        <f>-EOQ_ReorderPt!N8*(1-_xlfn.norm.dist(EOQ_ReorderPt!N8/'Sourcing_costs_LT_and stdv'!D21,0,1,1))+'Sourcing_costs_LT_and stdv'!D21*_xlfn.norm.dist(EOQ_ReorderPt!N8/'Sourcing_costs_LT_and stdv'!D21,0,1,0)</f>
        <v>0</v>
      </c>
      <c r="AA8" s="249">
        <f>$B$24*EOQ!G8</f>
        <v>75479.09607</v>
      </c>
      <c r="AB8" s="252">
        <f>SQRT($B$24)*EOQ!H8</f>
        <v>274.1659841</v>
      </c>
      <c r="AC8" s="250">
        <f>'Sourcing_costs_LT_and stdv'!E22+AF8/AA8</f>
        <v>0</v>
      </c>
      <c r="AD8" s="250">
        <v>0.0</v>
      </c>
      <c r="AE8" s="253">
        <f t="shared" si="8"/>
        <v>2</v>
      </c>
      <c r="AF8" s="250">
        <f>'Sourcing_costs_LT_and stdv'!E20*IF(ROUNDUP(AA8/$B$43)=0,1,ROUNDUP(AA8/$B$43))</f>
        <v>0</v>
      </c>
      <c r="AG8" s="250">
        <f t="shared" si="9"/>
        <v>0</v>
      </c>
      <c r="AH8" s="255">
        <f>AA8*$B$38*AC8*'Sourcing_costs_LT_and stdv'!E19/(24*30)</f>
        <v>0</v>
      </c>
      <c r="AI8" s="250">
        <f>AA8*'Sourcing_costs_LT_and stdv'!E22</f>
        <v>0</v>
      </c>
      <c r="AJ8" s="250">
        <f>5%*'Incomes and Costs'!$B19*AA8</f>
        <v>997582.0531</v>
      </c>
      <c r="AK8" s="255">
        <f>1.64*AB8*SQRT('Sourcing_costs_LT_and stdv'!E19)*D40</f>
        <v>0</v>
      </c>
      <c r="AL8" s="257">
        <v>0.0</v>
      </c>
      <c r="AM8" s="249">
        <f>$B$24*EOQ!I8</f>
        <v>64897.4669</v>
      </c>
      <c r="AN8" s="252">
        <f>SQRT($B$24)*EOQ!J8</f>
        <v>255.3360566</v>
      </c>
      <c r="AO8" s="250">
        <f>'Sourcing_costs_LT_and stdv'!F22+AR8/AM8</f>
        <v>0</v>
      </c>
      <c r="AP8" s="250">
        <v>0.0</v>
      </c>
      <c r="AQ8" s="253">
        <f t="shared" si="11"/>
        <v>2</v>
      </c>
      <c r="AR8" s="250">
        <f>'Sourcing_costs_LT_and stdv'!F20*IF(ROUNDUP(AM8/$B$43)=0,1,ROUNDUP(AM8/$B$43))</f>
        <v>0</v>
      </c>
      <c r="AS8" s="250">
        <f t="shared" si="12"/>
        <v>0</v>
      </c>
      <c r="AT8" s="255">
        <f>AM8*$B$38*AO8*'Sourcing_costs_LT_and stdv'!F19/(24*30)</f>
        <v>0</v>
      </c>
      <c r="AU8" s="250">
        <f>AM8*'Sourcing_costs_LT_and stdv'!F22</f>
        <v>0</v>
      </c>
      <c r="AV8" s="250">
        <f>5%*'Incomes and Costs'!$B19*AM8</f>
        <v>857728.1875</v>
      </c>
      <c r="AW8" s="255">
        <f>1.64*AN8*SQRT('Sourcing_costs_LT_and stdv'!F19)*D40</f>
        <v>0</v>
      </c>
      <c r="AX8" s="251">
        <v>0.0</v>
      </c>
      <c r="AY8" s="249">
        <f>$B$24*EOQ!K8</f>
        <v>66965.91206</v>
      </c>
      <c r="AZ8" s="252">
        <f>SQRT($B$24)*EOQ!L8</f>
        <v>259.4022716</v>
      </c>
      <c r="BA8" s="250">
        <f>0</f>
        <v>0</v>
      </c>
      <c r="BB8" s="250">
        <v>0.0</v>
      </c>
      <c r="BC8" s="253">
        <f t="shared" si="14"/>
        <v>2</v>
      </c>
      <c r="BD8" s="250">
        <f>'Sourcing_costs_LT_and stdv'!G20*IF(ROUNDUP(AY8/$B$43)=0,1,ROUNDUP(AY8/$B$43))</f>
        <v>568616</v>
      </c>
      <c r="BE8" s="250">
        <f t="shared" si="15"/>
        <v>0</v>
      </c>
      <c r="BF8" s="250">
        <f>AY8*$B$38*BA8*'Sourcing_costs_LT_and stdv'!G7/(24*30)</f>
        <v>0</v>
      </c>
      <c r="BG8" s="250">
        <f>AY8*'Sourcing_costs_LT_and stdv'!G22</f>
        <v>0</v>
      </c>
      <c r="BH8" s="250">
        <f>5%*'Incomes and Costs'!$B19*AY8</f>
        <v>885066.1377</v>
      </c>
      <c r="BI8" s="255">
        <f>1.64*AZ8*SQRT('Sourcing_costs_LT_and stdv'!G19)*D40</f>
        <v>91356.93554</v>
      </c>
      <c r="BJ8" s="257">
        <f>-EOQ_ReorderPt!AF8*(1-_xlfn.norm.dist(EOQ_ReorderPt!AF8/'Sourcing_costs_LT_and stdv'!G21,0,1,1))+'Sourcing_costs_LT_and stdv'!G21*_xlfn.norm.dist(EOQ_ReorderPt!AF8/'Sourcing_costs_LT_and stdv'!G21,0,1,0)</f>
        <v>0</v>
      </c>
      <c r="BK8" s="249">
        <f>$B$24*EOQ!M8</f>
        <v>57744.09405</v>
      </c>
      <c r="BL8" s="252">
        <f>SQRT($B$24)*EOQ!N8</f>
        <v>240.2583608</v>
      </c>
      <c r="BM8" s="250">
        <f>'Sourcing_costs_LT_and stdv'!H22+BP8/BK8</f>
        <v>497.3313864</v>
      </c>
      <c r="BN8" s="250">
        <f t="shared" si="16"/>
        <v>35466.12786</v>
      </c>
      <c r="BO8" s="253">
        <f t="shared" si="17"/>
        <v>2</v>
      </c>
      <c r="BP8" s="250">
        <f>'Sourcing_costs_LT_and stdv'!H20*IF(INT(BK8/$B$43)=0,1,INT(BK8/$B$43))</f>
        <v>3945734</v>
      </c>
      <c r="BQ8" s="250">
        <f t="shared" si="18"/>
        <v>40270.36195</v>
      </c>
      <c r="BR8" s="250">
        <f>BK8*$B$38*BM8*'Sourcing_costs_LT_and stdv'!H19/(24*30)</f>
        <v>327065.5456</v>
      </c>
      <c r="BS8" s="250">
        <f>BK8*'Sourcing_costs_LT_and stdv'!H22</f>
        <v>24772216.35</v>
      </c>
      <c r="BT8" s="250">
        <f>5%*'Incomes and Costs'!$B19*BK8</f>
        <v>763184.443</v>
      </c>
      <c r="BU8" s="255">
        <f>1.64*BL8*SQRT('Sourcing_costs_LT_and stdv'!H19)*D40</f>
        <v>133381.6896</v>
      </c>
      <c r="BV8" s="258">
        <f>-EOQ_ReorderPt!AL8*(1-_xlfn.norm.dist(EOQ_ReorderPt!AL8/'Sourcing_costs_LT_and stdv'!H21,0,1,1))+'Sourcing_costs_LT_and stdv'!H21*_xlfn.norm.dist(EOQ_ReorderPt!AL8/'Sourcing_costs_LT_and stdv'!H21,0,1,0)</f>
        <v>0</v>
      </c>
      <c r="BW8" s="249">
        <f>$B$24*EOQ!O8</f>
        <v>58136.71559</v>
      </c>
      <c r="BX8" s="252">
        <f>SQRT($B$24)*EOQ!P8</f>
        <v>242.1518288</v>
      </c>
      <c r="BY8" s="250">
        <f>'Sourcing_costs_LT_and stdv'!I22+CB8/BW8</f>
        <v>496.8699159</v>
      </c>
      <c r="BZ8" s="250">
        <f t="shared" si="19"/>
        <v>49784.05198</v>
      </c>
      <c r="CA8" s="253">
        <f t="shared" si="20"/>
        <v>2</v>
      </c>
      <c r="CB8" s="250">
        <f>'Sourcing_costs_LT_and stdv'!I20</f>
        <v>3945734</v>
      </c>
      <c r="CC8" s="250">
        <f t="shared" si="21"/>
        <v>28830.06728</v>
      </c>
      <c r="CD8" s="250">
        <f>BW8*$B$38*BY8*'Sourcing_costs_LT_and stdv'!I19/(24*30)</f>
        <v>328983.829</v>
      </c>
      <c r="CE8" s="250">
        <f>BW8*'Sourcing_costs_LT_and stdv'!I22</f>
        <v>24940650.99</v>
      </c>
      <c r="CF8" s="250">
        <f>5%*'Incomes and Costs'!$B19*BW8</f>
        <v>768373.591</v>
      </c>
      <c r="CG8" s="250">
        <f>1.64*BX8*SQRT('Sourcing_costs_LT_and stdv'!I19)*D40</f>
        <v>134432.8661</v>
      </c>
      <c r="CH8" s="258">
        <f>-EOQ_ReorderPt!AR8*(1-_xlfn.norm.dist(EOQ_ReorderPt!AR8/'Sourcing_costs_LT_and stdv'!I21,0,1,1))+'Sourcing_costs_LT_and stdv'!I21*_xlfn.norm.dist(EOQ_ReorderPt!AR8/'Sourcing_costs_LT_and stdv'!I21,0,1,0)</f>
        <v>0</v>
      </c>
      <c r="CI8" s="249">
        <f>$B$24*EOQ!Q8</f>
        <v>61114.89357</v>
      </c>
      <c r="CJ8" s="264">
        <f>SQRT($B$24)*EOQ!R8</f>
        <v>247.2725111</v>
      </c>
      <c r="CK8" s="250">
        <f>'Sourcing_costs_LT_and stdv'!J22+CN8/CI8</f>
        <v>558.1251206</v>
      </c>
      <c r="CL8" s="250">
        <f t="shared" si="22"/>
        <v>37487.62466</v>
      </c>
      <c r="CM8" s="253">
        <f t="shared" si="23"/>
        <v>2</v>
      </c>
      <c r="CN8" s="250">
        <f>'Sourcing_costs_LT_and stdv'!J20*IF(ROUNDUP(CI8/$B$43)=0,1,ROUNDUP(CI8/$B$43))</f>
        <v>7891468</v>
      </c>
      <c r="CO8" s="250">
        <f t="shared" si="24"/>
        <v>50783.45881</v>
      </c>
      <c r="CP8" s="250">
        <f>CI8*$B$38*CK8*'Sourcing_costs_LT_and stdv'!J19/(24*30)</f>
        <v>388472.2364</v>
      </c>
      <c r="CQ8" s="250">
        <f>CI8*'Sourcing_costs_LT_and stdv'!J22</f>
        <v>26218289.34</v>
      </c>
      <c r="CR8" s="250">
        <f>5%*'Incomes and Costs'!$B19*CI8</f>
        <v>807735.1767</v>
      </c>
      <c r="CS8" s="250">
        <f>1.64*CJ8*SQRT('Sourcing_costs_LT_and stdv'!J19)*D40</f>
        <v>137275.6611</v>
      </c>
      <c r="CT8" s="258">
        <f>-EOQ_ReorderPt!AX8*(1-_xlfn.norm.dist(EOQ_ReorderPt!AX8/'Sourcing_costs_LT_and stdv'!J21,0,1,1))+'Sourcing_costs_LT_and stdv'!J21*_xlfn.norm.dist(EOQ_ReorderPt!AX8/'Sourcing_costs_LT_and stdv'!J21,0,1,0)</f>
        <v>0</v>
      </c>
      <c r="CU8" s="249">
        <f>$B$24*EOQ!S8</f>
        <v>52879.41747</v>
      </c>
      <c r="CV8" s="264">
        <f>SQRT($B$24)*EOQ!T8</f>
        <v>231.630537</v>
      </c>
      <c r="CW8" s="250">
        <f>'Sourcing_costs_LT_and stdv'!K22+CZ8/CU8</f>
        <v>492.2351538</v>
      </c>
      <c r="CX8" s="250">
        <f t="shared" si="25"/>
        <v>31367.18492</v>
      </c>
      <c r="CY8" s="253">
        <f t="shared" si="26"/>
        <v>2</v>
      </c>
      <c r="CZ8" s="250">
        <f>'Sourcing_costs_LT_and stdv'!K20*IF(ROUNDUP(CU8/$B$43)=0,1,ROUNDUP(CU8/$B$43))</f>
        <v>7891468</v>
      </c>
      <c r="DA8" s="250">
        <f t="shared" si="27"/>
        <v>40846.6431</v>
      </c>
      <c r="DB8" s="250">
        <f>CU8*$B$38*CW8*'Sourcing_costs_LT_and stdv'!K19/(24*30)</f>
        <v>296442.6211</v>
      </c>
      <c r="DC8" s="250">
        <f>CU8*'Sourcing_costs_LT_and stdv'!K22</f>
        <v>18137640.19</v>
      </c>
      <c r="DD8" s="250">
        <f>5%*'Incomes and Costs'!$B19*CU8</f>
        <v>698889.6342</v>
      </c>
      <c r="DE8" s="250">
        <f>1.64*CV8*SQRT('Sourcing_costs_LT_and stdv'!K19)*D40</f>
        <v>128591.872</v>
      </c>
      <c r="DF8" s="258">
        <f>-EOQ_ReorderPt!BD8*(1-_xlfn.norm.dist(EOQ_ReorderPt!BD8/'Sourcing_costs_LT_and stdv'!K21,0,1,1))+'Sourcing_costs_LT_and stdv'!K21*_xlfn.norm.dist(EOQ_ReorderPt!BD8/'Sourcing_costs_LT_and stdv'!K21,0,1,0)</f>
        <v>0</v>
      </c>
      <c r="DG8" s="249">
        <f>$B$24*EOQ!U8</f>
        <v>60444.56412</v>
      </c>
      <c r="DH8" s="264">
        <f>SQRT($B$24)*EOQ!V8</f>
        <v>245.8131909</v>
      </c>
      <c r="DI8" s="250">
        <f>'Sourcing_costs_LT_and stdv'!L22+DL8/DG8</f>
        <v>473.5571165</v>
      </c>
      <c r="DJ8" s="250">
        <f t="shared" ref="DJ8:DJ11" si="37">DI8*DG8/U19</f>
        <v>32499.59821</v>
      </c>
      <c r="DK8" s="259">
        <f t="shared" si="29"/>
        <v>2</v>
      </c>
      <c r="DL8" s="250">
        <f>'Sourcing_costs_LT_and stdv'!L20*IF(ROUNDUP(DG8/$B$43)=0,1,ROUNDUP(DG8/$B$43))</f>
        <v>7891468</v>
      </c>
      <c r="DM8" s="250">
        <f t="shared" si="30"/>
        <v>41708.44449</v>
      </c>
      <c r="DN8" s="250">
        <f>DG8*$B$38*DI8*'Sourcing_costs_LT_and stdv'!L19/(24*30)</f>
        <v>325995.0259</v>
      </c>
      <c r="DO8" s="250">
        <f>DG8*'Sourcing_costs_LT_and stdv'!L22</f>
        <v>20732485.49</v>
      </c>
      <c r="DP8" s="250">
        <f>5%*'Incomes and Costs'!$B19*DG8</f>
        <v>798875.6558</v>
      </c>
      <c r="DQ8" s="250">
        <f>1.64*DH8*SQRT('Sourcing_costs_LT_and stdv'!L19)*D40</f>
        <v>136465.5058</v>
      </c>
      <c r="DR8" s="258">
        <f>-EOQ_ReorderPt!BJ8*(1-_xlfn.norm.dist(EOQ_ReorderPt!BJ8/'Sourcing_costs_LT_and stdv'!L21,0,1,1))+'Sourcing_costs_LT_and stdv'!L21*_xlfn.norm.dist(EOQ_ReorderPt!BJ8/'Sourcing_costs_LT_and stdv'!L21,0,1,0)</f>
        <v>0</v>
      </c>
      <c r="DS8" s="249">
        <f>$B$24*EOQ!W8</f>
        <v>57533.41908</v>
      </c>
      <c r="DT8" s="264">
        <f>SQRT($B$24)*EOQ!X8</f>
        <v>237.98536</v>
      </c>
      <c r="DU8" s="250">
        <f>'Sourcing_costs_LT_and stdv'!M22+DX8/DS8</f>
        <v>566.1632023</v>
      </c>
      <c r="DV8" s="250">
        <f t="shared" ref="DV8:DV11" si="38">DU8*DS8/W19</f>
        <v>35869.84164</v>
      </c>
      <c r="DW8" s="259">
        <f t="shared" si="32"/>
        <v>2</v>
      </c>
      <c r="DX8" s="250">
        <f>'Sourcing_costs_LT_and stdv'!M20*IF(ROUNDUP(DS8/$B$43)=0,1,ROUNDUP(DS8/$B$43))</f>
        <v>7891468</v>
      </c>
      <c r="DY8" s="250">
        <f t="shared" si="33"/>
        <v>51413.12508</v>
      </c>
      <c r="DZ8" s="250">
        <f>DS8*$B$38*DU8*'Sourcing_costs_LT_and stdv'!M19/(24*30)</f>
        <v>370973.7489</v>
      </c>
      <c r="EA8" s="250">
        <f>DS8*'Sourcing_costs_LT_and stdv'!M22</f>
        <v>24681836.79</v>
      </c>
      <c r="EB8" s="250">
        <f>5%*DS8*'Incomes and Costs'!B19</f>
        <v>760400.0222</v>
      </c>
      <c r="EC8" s="250">
        <f>DT8*1.64*SQRT('Sourcing_costs_LT_and stdv'!M19)*D40</f>
        <v>132119.8118</v>
      </c>
      <c r="ED8" s="258">
        <f>-EOQ_ReorderPt!BO8*(1-_xlfn.norm.dist(EOQ_ReorderPt!BO8/'Sourcing_costs_LT_and stdv'!M21,0,1,1))+'Sourcing_costs_LT_and stdv'!M21*_xlfn.norm.dist(EOQ_ReorderPt!BO8/'Sourcing_costs_LT_and stdv'!M21,0,1,0)</f>
        <v>0</v>
      </c>
      <c r="EE8" s="249">
        <f>$B$24*EOQ!Y8</f>
        <v>57255.71117</v>
      </c>
      <c r="EF8" s="264">
        <f>SQRT($B$24)*EOQ!Z8</f>
        <v>241.376673</v>
      </c>
      <c r="EG8" s="250">
        <f>'Sourcing_costs_LT_and stdv'!N22+EJ8/EE8</f>
        <v>394.8284863</v>
      </c>
      <c r="EH8" s="250">
        <f t="shared" ref="EH8:EH11" si="39">EG8*EE8/Y19</f>
        <v>339695.7748</v>
      </c>
      <c r="EI8" s="259">
        <f t="shared" si="35"/>
        <v>2</v>
      </c>
      <c r="EJ8" s="250">
        <f>'Sourcing_costs_LT_and stdv'!N20*IF(ROUNDUP(EE8/$B$43)=0,1,ROUNDUP(EE8/$B$43))</f>
        <v>7891468</v>
      </c>
      <c r="EK8" s="250">
        <f t="shared" si="36"/>
        <v>2627.517552</v>
      </c>
      <c r="EL8" s="250">
        <f>EE8*$B$38*EG8*'Sourcing_costs_LT_and stdv'!N19/(24*30)</f>
        <v>257459.3379</v>
      </c>
      <c r="EM8" s="250">
        <f>EE8*'Sourcing_costs_LT_and stdv'!N22</f>
        <v>14714717.77</v>
      </c>
      <c r="EN8" s="250">
        <f>5%*'Incomes and Costs'!$B19*EE8</f>
        <v>756729.6492</v>
      </c>
      <c r="EO8" s="250">
        <f>EF8*1.64*SQRT('Sourcing_costs_LT_and stdv'!N19)*D40</f>
        <v>134002.5311</v>
      </c>
      <c r="EP8" s="257">
        <f>-EOQ_ReorderPt!BT8*(1-_xlfn.norm.dist(EOQ_ReorderPt!BT8/'Sourcing_costs_LT_and stdv'!N21,0,1,1))+'Sourcing_costs_LT_and stdv'!N21*_xlfn.norm.dist(EOQ_ReorderPt!BT8/'Sourcing_costs_LT_and stdv'!N21,0,1,0)</f>
        <v>0</v>
      </c>
    </row>
    <row r="9" ht="14.25" customHeight="1">
      <c r="A9" s="77">
        <v>6.0</v>
      </c>
      <c r="B9" s="260" t="s">
        <v>31</v>
      </c>
      <c r="C9" s="249">
        <f>EOQ!C9*$B$24</f>
        <v>13933.27643</v>
      </c>
      <c r="D9" s="249">
        <f>SQRT($B$24)*EOQ!D9</f>
        <v>118.4562648</v>
      </c>
      <c r="E9" s="250">
        <f>'Sourcing_costs_LT_and stdv'!C26+H9/C9</f>
        <v>375.4346552</v>
      </c>
      <c r="F9" s="250">
        <f t="shared" si="1"/>
        <v>5760.793255</v>
      </c>
      <c r="G9" s="249">
        <f t="shared" si="2"/>
        <v>1</v>
      </c>
      <c r="H9" s="263">
        <f>'Sourcing_costs_LT_and stdv'!$C$16*IF(ROUNDUP(C9/$B$43)=0,1,ROUNDUP(C9/$B$43))</f>
        <v>47856</v>
      </c>
      <c r="I9" s="250">
        <f t="shared" si="3"/>
        <v>34090.9953</v>
      </c>
      <c r="J9" s="250">
        <f>C9*(E9*$B$38)*'Sourcing_costs_LT_and stdv'!C23/(24*30)</f>
        <v>726.5326153</v>
      </c>
      <c r="K9" s="250">
        <f>C9*'Sourcing_costs_LT_and stdv'!C26</f>
        <v>5183178.83</v>
      </c>
      <c r="L9" s="250">
        <f>5%*'Incomes and Costs'!$B20*C9</f>
        <v>260436.1585</v>
      </c>
      <c r="M9" s="250">
        <f>1.64*D9*SQRT('Sourcing_costs_LT_and stdv'!C23)*D41</f>
        <v>10270.57843</v>
      </c>
      <c r="N9" s="251">
        <f>-EOQ_ReorderPt!H9*(1-_xlfn.norm.dist(EOQ_ReorderPt!H9/'Sourcing_costs_LT_and stdv'!C25,0,1,1))+'Sourcing_costs_LT_and stdv'!C25*_xlfn.norm.dist(EOQ_ReorderPt!H9/'Sourcing_costs_LT_and stdv'!C25,0,1,0)</f>
        <v>0</v>
      </c>
      <c r="O9" s="249">
        <f>EOQ!E9*$B$24</f>
        <v>11816.95059</v>
      </c>
      <c r="P9" s="252">
        <f>SQRT($B$24)*EOQ!F9</f>
        <v>108.0751846</v>
      </c>
      <c r="Q9" s="250">
        <f>'Sourcing_costs_LT_and stdv'!D26+T9/O9</f>
        <v>728.8158878</v>
      </c>
      <c r="R9" s="250">
        <f t="shared" si="4"/>
        <v>656.2157166</v>
      </c>
      <c r="S9" s="253">
        <f t="shared" si="5"/>
        <v>1</v>
      </c>
      <c r="T9" s="250">
        <f>'Sourcing_costs_LT_and stdv'!E24*IF(ROUNDUP(O9/$B$43)=0,1,ROUNDUP(O9/$B$43))</f>
        <v>3909235</v>
      </c>
      <c r="U9" s="254">
        <f t="shared" si="6"/>
        <v>956520.8801</v>
      </c>
      <c r="V9" s="255">
        <f>O9*$B$38*Q9*'Sourcing_costs_LT_and stdv'!D8/(24*30)</f>
        <v>6121422281</v>
      </c>
      <c r="W9" s="256">
        <f>O9*'Sourcing_costs_LT_and stdv'!D26</f>
        <v>4703146.335</v>
      </c>
      <c r="X9" s="250">
        <f>5%*'Incomes and Costs'!$B20*O9</f>
        <v>220878.5014</v>
      </c>
      <c r="Y9" s="250">
        <f>1.64*P9*SQRT('Sourcing_costs_LT_and stdv'!D23)*D41</f>
        <v>9370.50194</v>
      </c>
      <c r="Z9" s="257">
        <f>-EOQ_ReorderPt!N9*(1-_xlfn.norm.dist(EOQ_ReorderPt!N9/'Sourcing_costs_LT_and stdv'!D25,0,1,1))+'Sourcing_costs_LT_and stdv'!D25*_xlfn.norm.dist(EOQ_ReorderPt!N9/'Sourcing_costs_LT_and stdv'!D25,0,1,0)</f>
        <v>0</v>
      </c>
      <c r="AA9" s="249">
        <f>$B$24*EOQ!G9</f>
        <v>15934.68864</v>
      </c>
      <c r="AB9" s="252">
        <f>SQRT($B$24)*EOQ!H9</f>
        <v>126.9554741</v>
      </c>
      <c r="AC9" s="250">
        <f>'Sourcing_costs_LT_and stdv'!E26+AF9/AA9</f>
        <v>725.3286091</v>
      </c>
      <c r="AD9" s="250">
        <f>AC9*AA9/G20</f>
        <v>1862.086374</v>
      </c>
      <c r="AE9" s="253">
        <f t="shared" si="8"/>
        <v>1</v>
      </c>
      <c r="AF9" s="250">
        <f>'Sourcing_costs_LT_and stdv'!E24*IF(ROUNDUP(AA9/$B$43)=0,1,ROUNDUP(AA9/$B$43))</f>
        <v>3909235</v>
      </c>
      <c r="AG9" s="250">
        <f t="shared" si="9"/>
        <v>951944.066</v>
      </c>
      <c r="AH9" s="255">
        <f>AA9*$B$38*AC9*'Sourcing_costs_LT_and stdv'!E23/(24*30)</f>
        <v>356368.1377</v>
      </c>
      <c r="AI9" s="250">
        <f>AA9*'Sourcing_costs_LT_and stdv'!E26</f>
        <v>7648650.547</v>
      </c>
      <c r="AJ9" s="250">
        <f>5%*'Incomes and Costs'!$B20*AA9</f>
        <v>297845.8885</v>
      </c>
      <c r="AK9" s="255">
        <f>1.64*AB9*SQRT('Sourcing_costs_LT_and stdv'!E23)*D41</f>
        <v>164007.9076</v>
      </c>
      <c r="AL9" s="257">
        <f>-EOQ_ReorderPt!T9*(1-_xlfn.norm.dist(EOQ_ReorderPt!T9/'Sourcing_costs_LT_and stdv'!E25,0,1,1))+'Sourcing_costs_LT_and stdv'!E25*_xlfn.norm.dist(EOQ_ReorderPt!T9/'Sourcing_costs_LT_and stdv'!E25,0,1,0)</f>
        <v>0</v>
      </c>
      <c r="AM9" s="249">
        <f>$B$24*EOQ!I9</f>
        <v>17514.75092</v>
      </c>
      <c r="AN9" s="252">
        <f>SQRT($B$24)*EOQ!J9</f>
        <v>131.6714154</v>
      </c>
      <c r="AO9" s="250">
        <f>'Sourcing_costs_LT_and stdv'!F26+AR9/AM9</f>
        <v>558.1967225</v>
      </c>
      <c r="AP9" s="250">
        <f t="shared" ref="AP9:AP11" si="40">AO9*AM9/I20</f>
        <v>1712.601228</v>
      </c>
      <c r="AQ9" s="253">
        <f t="shared" si="11"/>
        <v>1</v>
      </c>
      <c r="AR9" s="250">
        <f>'Sourcing_costs_LT_and stdv'!F24*IF(ROUNDUP(AM9/$B$43)=0,1,ROUNDUP(AM9/$B$43))</f>
        <v>3909235</v>
      </c>
      <c r="AS9" s="250">
        <f t="shared" si="12"/>
        <v>318656.1309</v>
      </c>
      <c r="AT9" s="255">
        <f>AM9*$B$38*AO9*'Sourcing_costs_LT_and stdv'!F23/(24*30)</f>
        <v>301447.5272</v>
      </c>
      <c r="AU9" s="250">
        <f>AM9*'Sourcing_costs_LT_and stdv'!F26</f>
        <v>5867441.557</v>
      </c>
      <c r="AV9" s="250">
        <f>5%*'Incomes and Costs'!$B20*AM9</f>
        <v>327379.8859</v>
      </c>
      <c r="AW9" s="255">
        <f>1.64*AN9*SQRT('Sourcing_costs_LT_and stdv'!F23)*D41</f>
        <v>170100.2141</v>
      </c>
      <c r="AX9" s="251">
        <f>-EOQ_ReorderPt!Z9*(1-_xlfn.norm.dist(EOQ_ReorderPt!Z9/'Sourcing_costs_LT_and stdv'!F25,0,1,1))+'Sourcing_costs_LT_and stdv'!F25*_xlfn.norm.dist(EOQ_ReorderPt!Z9/'Sourcing_costs_LT_and stdv'!F25,0,1,0)</f>
        <v>0</v>
      </c>
      <c r="AY9" s="249">
        <f>$B$24*EOQ!K9</f>
        <v>21565.45602</v>
      </c>
      <c r="AZ9" s="252">
        <f>SQRT($B$24)*EOQ!L9</f>
        <v>147.2701787</v>
      </c>
      <c r="BA9" s="250">
        <f>'Sourcing_costs_LT_and stdv'!G26+BD9/AY9</f>
        <v>516.2730042</v>
      </c>
      <c r="BB9" s="250">
        <f t="shared" ref="BB9:BB11" si="41">BA9*AY9/K20</f>
        <v>1827.593727</v>
      </c>
      <c r="BC9" s="253">
        <f t="shared" si="14"/>
        <v>1</v>
      </c>
      <c r="BD9" s="250">
        <f>'Sourcing_costs_LT_and stdv'!G24*IF(ROUNDUP(AY9/$B$43)=0,1,ROUNDUP(AY9/$B$43))</f>
        <v>3909235</v>
      </c>
      <c r="BE9" s="250">
        <f t="shared" si="15"/>
        <v>314512.4346</v>
      </c>
      <c r="BF9" s="250">
        <f>AY9*$B$38*BA9*'Sourcing_costs_LT_and stdv'!G8/(24*30)</f>
        <v>12090028935</v>
      </c>
      <c r="BG9" s="250">
        <f>AY9*'Sourcing_costs_LT_and stdv'!G26</f>
        <v>7224427.767</v>
      </c>
      <c r="BH9" s="250">
        <f>5%*'Incomes and Costs'!$B20*AY9</f>
        <v>403094.3154</v>
      </c>
      <c r="BI9" s="255">
        <f>1.64*AZ9*SQRT('Sourcing_costs_LT_and stdv'!G23)*D41</f>
        <v>190251.5352</v>
      </c>
      <c r="BJ9" s="257">
        <f>-EOQ_ReorderPt!AF9*(1-_xlfn.norm.dist(EOQ_ReorderPt!AF9/'Sourcing_costs_LT_and stdv'!G25,0,1,1))+'Sourcing_costs_LT_and stdv'!G25*_xlfn.norm.dist(EOQ_ReorderPt!AF9/'Sourcing_costs_LT_and stdv'!G25,0,1,0)</f>
        <v>0</v>
      </c>
      <c r="BK9" s="249">
        <f>$B$24*EOQ!M9</f>
        <v>19276.75976</v>
      </c>
      <c r="BL9" s="252">
        <f>SQRT($B$24)*EOQ!N9</f>
        <v>137.4120124</v>
      </c>
      <c r="BM9" s="250">
        <f>'Sourcing_costs_LT_and stdv'!H26+BP9/BK9</f>
        <v>751.7952337</v>
      </c>
      <c r="BN9" s="250">
        <f t="shared" si="16"/>
        <v>2085.102595</v>
      </c>
      <c r="BO9" s="253">
        <f t="shared" si="17"/>
        <v>1</v>
      </c>
      <c r="BP9" s="250">
        <f>'Sourcing_costs_LT_and stdv'!H24*IF(INT(BK9/$B$43)=0,1,INT(BK9/$B$43))</f>
        <v>3909235</v>
      </c>
      <c r="BQ9" s="250">
        <f t="shared" si="18"/>
        <v>522523.3976</v>
      </c>
      <c r="BR9" s="250">
        <f>BK9*$B$38*BM9*'Sourcing_costs_LT_and stdv'!H23/(24*30)</f>
        <v>446842.0966</v>
      </c>
      <c r="BS9" s="250">
        <f>BK9*'Sourcing_costs_LT_and stdv'!H26</f>
        <v>10582941.11</v>
      </c>
      <c r="BT9" s="250">
        <f>5%*'Incomes and Costs'!$B20*BK9</f>
        <v>360314.7678</v>
      </c>
      <c r="BU9" s="255">
        <f>1.64*BL9*SQRT('Sourcing_costs_LT_and stdv'!H23)*D41</f>
        <v>177516.226</v>
      </c>
      <c r="BV9" s="258">
        <f>-EOQ_ReorderPt!AL9*(1-_xlfn.norm.dist(EOQ_ReorderPt!AL9/'Sourcing_costs_LT_and stdv'!H25,0,1,1))+'Sourcing_costs_LT_and stdv'!H25*_xlfn.norm.dist(EOQ_ReorderPt!AL9/'Sourcing_costs_LT_and stdv'!H25,0,1,0)</f>
        <v>0</v>
      </c>
      <c r="BW9" s="249">
        <f>$B$24*EOQ!O9</f>
        <v>23432.80235</v>
      </c>
      <c r="BX9" s="252">
        <f>SQRT($B$24)*EOQ!P9</f>
        <v>153.6777376</v>
      </c>
      <c r="BY9" s="250">
        <f>'Sourcing_costs_LT_and stdv'!I26+CB9/BW9</f>
        <v>509.8274644</v>
      </c>
      <c r="BZ9" s="250">
        <f t="shared" si="19"/>
        <v>6998.672262</v>
      </c>
      <c r="CA9" s="253">
        <f t="shared" si="20"/>
        <v>1</v>
      </c>
      <c r="CB9" s="250">
        <f>'Sourcing_costs_LT_and stdv'!I24*IF(ROUNDUP(BW9/$B$43)=0,1,ROUNDUP(BW9/$B$43))</f>
        <v>3909235</v>
      </c>
      <c r="CC9" s="250">
        <f t="shared" si="21"/>
        <v>87027.20327</v>
      </c>
      <c r="CD9" s="250">
        <f>BW9*$B$38*BY9*'Sourcing_costs_LT_and stdv'!I23/(24*30)</f>
        <v>368356.158</v>
      </c>
      <c r="CE9" s="250">
        <f>BW9*'Sourcing_costs_LT_and stdv'!I26</f>
        <v>8037451.204</v>
      </c>
      <c r="CF9" s="250">
        <f>5%*'Incomes and Costs'!$B20*BW9</f>
        <v>437998.1305</v>
      </c>
      <c r="CG9" s="250">
        <f>1.64*BX9*SQRT('Sourcing_costs_LT_and stdv'!I23)*D41</f>
        <v>198529.1644</v>
      </c>
      <c r="CH9" s="258">
        <f>-EOQ_ReorderPt!AR9*(1-_xlfn.norm.dist(EOQ_ReorderPt!AR9/'Sourcing_costs_LT_and stdv'!I25,0,1,1))+'Sourcing_costs_LT_and stdv'!I25*_xlfn.norm.dist(EOQ_ReorderPt!AR9/'Sourcing_costs_LT_and stdv'!I25,0,1,0)</f>
        <v>0</v>
      </c>
      <c r="CI9" s="249">
        <f>$B$24*EOQ!Q9</f>
        <v>20234.37326</v>
      </c>
      <c r="CJ9" s="264">
        <f>SQRT($B$24)*EOQ!R9</f>
        <v>143.5717653</v>
      </c>
      <c r="CK9" s="250">
        <f>'Sourcing_costs_LT_and stdv'!J26+CN9/CI9</f>
        <v>545.1977309</v>
      </c>
      <c r="CL9" s="250">
        <f t="shared" si="22"/>
        <v>1819.208706</v>
      </c>
      <c r="CM9" s="253">
        <f t="shared" si="23"/>
        <v>1</v>
      </c>
      <c r="CN9" s="250">
        <f>'Sourcing_costs_LT_and stdv'!J24*IF(ROUNDUP(CI9/$B$43)=0,1,ROUNDUP(CI9/$B$43))</f>
        <v>3909235</v>
      </c>
      <c r="CO9" s="250">
        <f t="shared" si="24"/>
        <v>330609.4862</v>
      </c>
      <c r="CP9" s="250">
        <f>CI9*$B$38*CK9*'Sourcing_costs_LT_and stdv'!J23/(24*30)</f>
        <v>340145.1436</v>
      </c>
      <c r="CQ9" s="250">
        <f>CI9*'Sourcing_costs_LT_and stdv'!J26</f>
        <v>7122499.386</v>
      </c>
      <c r="CR9" s="250">
        <f>5%*'Incomes and Costs'!$B20*CI9</f>
        <v>378214.1601</v>
      </c>
      <c r="CS9" s="250">
        <f>1.64*CJ9*SQRT('Sourcing_costs_LT_and stdv'!J23)*D41</f>
        <v>185473.726</v>
      </c>
      <c r="CT9" s="258">
        <f>-EOQ_ReorderPt!AX9*(1-_xlfn.norm.dist(EOQ_ReorderPt!AX9/'Sourcing_costs_LT_and stdv'!J25,0,1,1))+'Sourcing_costs_LT_and stdv'!J25*_xlfn.norm.dist(EOQ_ReorderPt!AX9/'Sourcing_costs_LT_and stdv'!J25,0,1,0)</f>
        <v>0</v>
      </c>
      <c r="CU9" s="249">
        <f>$B$24*EOQ!S9</f>
        <v>17869.06791</v>
      </c>
      <c r="CV9" s="264">
        <f>SQRT($B$24)*EOQ!T9</f>
        <v>132.8057513</v>
      </c>
      <c r="CW9" s="250">
        <f>'Sourcing_costs_LT_and stdv'!K26+CZ9/CU9</f>
        <v>531.3043678</v>
      </c>
      <c r="CX9" s="250">
        <f t="shared" si="25"/>
        <v>1687.653445</v>
      </c>
      <c r="CY9" s="253">
        <f t="shared" si="26"/>
        <v>1</v>
      </c>
      <c r="CZ9" s="266">
        <f>'Sourcing_costs_LT_and stdv'!K24*IF(ROUNDUP(CU9/$B$43)=0,1,ROUNDUP(CU9/$B$43))</f>
        <v>4276146</v>
      </c>
      <c r="DA9" s="250">
        <f t="shared" si="27"/>
        <v>298885.8822</v>
      </c>
      <c r="DB9" s="250">
        <f>CU9*$B$38*CW9*'Sourcing_costs_LT_and stdv'!K23/(24*30)</f>
        <v>97576.33658</v>
      </c>
      <c r="DC9" s="250">
        <f>CU9*'Sourcing_costs_LT_and stdv'!K26</f>
        <v>5217767.83</v>
      </c>
      <c r="DD9" s="250">
        <f>5%*'Incomes and Costs'!$B20*CU9</f>
        <v>334002.661</v>
      </c>
      <c r="DE9" s="250">
        <f>1.64*CV9*SQRT('Sourcing_costs_LT_and stdv'!K23)*D41</f>
        <v>99053.45126</v>
      </c>
      <c r="DF9" s="258">
        <f>-EOQ_ReorderPt!BD9*(1-_xlfn.norm.dist(EOQ_ReorderPt!BD9/'Sourcing_costs_LT_and stdv'!K25,0,1,1))+'Sourcing_costs_LT_and stdv'!K25*_xlfn.norm.dist(EOQ_ReorderPt!BD9/'Sourcing_costs_LT_and stdv'!K25,0,1,0)</f>
        <v>0</v>
      </c>
      <c r="DG9" s="249">
        <f>$B$24*EOQ!U9</f>
        <v>262941.5148</v>
      </c>
      <c r="DH9" s="264">
        <f>SQRT($B$24)*EOQ!V9</f>
        <v>513.7840482</v>
      </c>
      <c r="DI9" s="250">
        <f>'Sourcing_costs_LT_and stdv'!L26+DL9/DG9</f>
        <v>421.0712229</v>
      </c>
      <c r="DJ9" s="250">
        <f t="shared" si="37"/>
        <v>5763.257027</v>
      </c>
      <c r="DK9" s="259">
        <f t="shared" si="29"/>
        <v>7</v>
      </c>
      <c r="DL9" s="250">
        <f>'Sourcing_costs_LT_and stdv'!L24*IF(ROUNDUP(DG9/$B$43)=0,1,ROUNDUP(DG9/$B$43))</f>
        <v>27364645</v>
      </c>
      <c r="DM9" s="250">
        <f t="shared" si="30"/>
        <v>808913.8948</v>
      </c>
      <c r="DN9" s="250">
        <f>DG9*$B$38*DI9*'Sourcing_costs_LT_and stdv'!L23/(24*30)</f>
        <v>3413777.41</v>
      </c>
      <c r="DO9" s="250">
        <f>DG9*'Sourcing_costs_LT_and stdv'!L26</f>
        <v>83352460.2</v>
      </c>
      <c r="DP9" s="250">
        <f>5%*'Incomes and Costs'!$B20*DG9</f>
        <v>4914815.148</v>
      </c>
      <c r="DQ9" s="250">
        <f>1.64*DH9*SQRT('Sourcing_costs_LT_and stdv'!L23)*D41</f>
        <v>663733.8586</v>
      </c>
      <c r="DR9" s="258">
        <f>-EOQ_ReorderPt!BJ9*(1-_xlfn.norm.dist(EOQ_ReorderPt!BJ9/'Sourcing_costs_LT_and stdv'!L25,0,1,1))+'Sourcing_costs_LT_and stdv'!L25*_xlfn.norm.dist(EOQ_ReorderPt!BJ9/'Sourcing_costs_LT_and stdv'!L25,0,1,0)</f>
        <v>0</v>
      </c>
      <c r="DS9" s="249">
        <f>$B$24*EOQ!W9</f>
        <v>21201.56289</v>
      </c>
      <c r="DT9" s="264">
        <f>SQRT($B$24)*EOQ!X9</f>
        <v>145.338343</v>
      </c>
      <c r="DU9" s="250">
        <f>'Sourcing_costs_LT_and stdv'!M26+DX9/DS9</f>
        <v>286.7788486</v>
      </c>
      <c r="DV9" s="250">
        <f t="shared" si="38"/>
        <v>1350.573189</v>
      </c>
      <c r="DW9" s="259">
        <f t="shared" si="32"/>
        <v>1</v>
      </c>
      <c r="DX9" s="266">
        <f>'Sourcing_costs_LT_and stdv'!M24*IF(ROUNDUP(DS9/$B$43)=0,1,ROUNDUP(DS9/$B$43))</f>
        <v>249730</v>
      </c>
      <c r="DY9" s="250">
        <f t="shared" si="33"/>
        <v>129105.2747</v>
      </c>
      <c r="DZ9" s="250">
        <f>DS9*$B$38*DU9*'Sourcing_costs_LT_and stdv'!M23/(24*30)</f>
        <v>287118.657</v>
      </c>
      <c r="EA9" s="250">
        <f>DS9*'Sourcing_costs_LT_and stdv'!M26</f>
        <v>5830429.795</v>
      </c>
      <c r="EB9" s="250">
        <f>5%*DS9*'Incomes and Costs'!B20</f>
        <v>396292.5464</v>
      </c>
      <c r="EC9" s="250">
        <f>DT9*1.64*SQRT('Sourcing_costs_LT_and stdv'!M23)*D41</f>
        <v>232357.4127</v>
      </c>
      <c r="ED9" s="258">
        <f>-EOQ_ReorderPt!BO9*(1-_xlfn.norm.dist(EOQ_ReorderPt!BO9/'Sourcing_costs_LT_and stdv'!M25,0,1,1))+'Sourcing_costs_LT_and stdv'!M25*_xlfn.norm.dist(EOQ_ReorderPt!BO9/'Sourcing_costs_LT_and stdv'!M25,0,1,0)</f>
        <v>0</v>
      </c>
      <c r="EE9" s="249">
        <f>$B$24*EOQ!Y9</f>
        <v>16413.49539</v>
      </c>
      <c r="EF9" s="264">
        <f>SQRT($B$24)*EOQ!Z9</f>
        <v>128.5710682</v>
      </c>
      <c r="EG9" s="250">
        <f>'Sourcing_costs_LT_and stdv'!N26+EJ9/EE9</f>
        <v>676.1719985</v>
      </c>
      <c r="EH9" s="250">
        <f t="shared" si="39"/>
        <v>8990.041673</v>
      </c>
      <c r="EI9" s="259">
        <f t="shared" si="35"/>
        <v>1</v>
      </c>
      <c r="EJ9" s="250">
        <f>'Sourcing_costs_LT_and stdv'!N24</f>
        <v>3909235</v>
      </c>
      <c r="EK9" s="250">
        <f t="shared" si="36"/>
        <v>83474.48272</v>
      </c>
      <c r="EL9" s="250">
        <f>EE9*$B$38*EG9*'Sourcing_costs_LT_and stdv'!N23/(24*30)</f>
        <v>342199.0011</v>
      </c>
      <c r="EM9" s="250">
        <f>EE9*'Sourcing_costs_LT_and stdv'!N26</f>
        <v>7189110.981</v>
      </c>
      <c r="EN9" s="250">
        <f>5%*'Incomes and Costs'!$B20*EE9</f>
        <v>306795.5847</v>
      </c>
      <c r="EO9" s="250">
        <f>EF9*1.64*SQRT('Sourcing_costs_LT_and stdv'!N23)*D41</f>
        <v>166095.019</v>
      </c>
      <c r="EP9" s="257">
        <f>-EOQ_ReorderPt!BT9*(1-_xlfn.norm.dist(EOQ_ReorderPt!BT9/'Sourcing_costs_LT_and stdv'!N25,0,1,1))+'Sourcing_costs_LT_and stdv'!N25*_xlfn.norm.dist(EOQ_ReorderPt!BT9/'Sourcing_costs_LT_and stdv'!N25,0,1,0)</f>
        <v>0</v>
      </c>
    </row>
    <row r="10" ht="14.25" customHeight="1">
      <c r="A10" s="77">
        <v>7.0</v>
      </c>
      <c r="B10" s="260" t="s">
        <v>33</v>
      </c>
      <c r="C10" s="249">
        <f>EOQ!C10*$B$24</f>
        <v>9.576135</v>
      </c>
      <c r="D10" s="249">
        <f>SQRT($B$24)*EOQ!D10</f>
        <v>3.094378352</v>
      </c>
      <c r="E10" s="250">
        <v>580.0</v>
      </c>
      <c r="F10" s="250">
        <f t="shared" si="1"/>
        <v>0.4368804715</v>
      </c>
      <c r="G10" s="249">
        <f t="shared" si="2"/>
        <v>1</v>
      </c>
      <c r="H10" s="263">
        <f>'Sourcing_costs_LT_and stdv'!C28*IF(ROUNDUP(C10/$B$43)=0,1,ROUNDUP(C10/$B$43))</f>
        <v>538380</v>
      </c>
      <c r="I10" s="250">
        <f t="shared" si="3"/>
        <v>737366.8598</v>
      </c>
      <c r="J10" s="250">
        <f>C10*(E10*$B$38)*'Sourcing_costs_LT_and stdv'!C27/(24*30)</f>
        <v>4.62846525</v>
      </c>
      <c r="K10" s="250">
        <f>C10*'Sourcing_costs_LT_and stdv'!C30</f>
        <v>8666.402175</v>
      </c>
      <c r="L10" s="250">
        <f>5%*'Incomes and Costs'!$B21*C10</f>
        <v>383.0054994</v>
      </c>
      <c r="M10" s="250">
        <f>1.64*D10*SQRT('Sourcing_costs_LT_and stdv'!C27)*D42</f>
        <v>1406.217929</v>
      </c>
      <c r="N10" s="251">
        <f>-EOQ_ReorderPt!H10*(1-_xlfn.norm.dist(EOQ_ReorderPt!H10/'Sourcing_costs_LT_and stdv'!C29,0,1,1))+'Sourcing_costs_LT_and stdv'!C29*_xlfn.norm.dist(EOQ_ReorderPt!H10/'Sourcing_costs_LT_and stdv'!C29,0,1,0)</f>
        <v>0.0008329643103</v>
      </c>
      <c r="O10" s="249">
        <f>EOQ!E10*$B$24</f>
        <v>0</v>
      </c>
      <c r="P10" s="252">
        <f>SQRT($B$24)*EOQ!F10</f>
        <v>0</v>
      </c>
      <c r="Q10" s="250">
        <v>580.0</v>
      </c>
      <c r="R10" s="250">
        <v>0.0</v>
      </c>
      <c r="S10" s="253">
        <f t="shared" si="5"/>
        <v>1</v>
      </c>
      <c r="T10" s="250">
        <f>'Sourcing_costs_LT_and stdv'!E28*IF(ROUNDUP(O10/$B$43)=0,1,ROUNDUP(O10/$B$43))</f>
        <v>538380</v>
      </c>
      <c r="U10" s="254">
        <f t="shared" si="6"/>
        <v>0</v>
      </c>
      <c r="V10" s="255">
        <f>O10*$B$38*Q10*'Sourcing_costs_LT_and stdv'!D9/(24*30)</f>
        <v>0</v>
      </c>
      <c r="W10" s="256">
        <f>O10*'Sourcing_costs_LT_and stdv'!D30</f>
        <v>0</v>
      </c>
      <c r="X10" s="250">
        <f>5%*'Incomes and Costs'!$B21*O10</f>
        <v>0</v>
      </c>
      <c r="Y10" s="250">
        <f>1.64*P10*SQRT('Sourcing_costs_LT_and stdv'!D27)*D42</f>
        <v>0</v>
      </c>
      <c r="Z10" s="257">
        <f>-EOQ_ReorderPt!N10*(1-_xlfn.norm.dist(EOQ_ReorderPt!N10/'Sourcing_costs_LT_and stdv'!D29,0,1,1))+'Sourcing_costs_LT_and stdv'!D29*_xlfn.norm.dist(EOQ_ReorderPt!N10/'Sourcing_costs_LT_and stdv'!D29,0,1,0)</f>
        <v>0.00997355701</v>
      </c>
      <c r="AA10" s="249">
        <f>$B$24*EOQ!G10</f>
        <v>0</v>
      </c>
      <c r="AB10" s="252">
        <f>SQRT($B$24)*EOQ!H10</f>
        <v>0</v>
      </c>
      <c r="AC10" s="250">
        <v>0.0</v>
      </c>
      <c r="AD10" s="250">
        <v>0.0</v>
      </c>
      <c r="AE10" s="253">
        <f t="shared" si="8"/>
        <v>1</v>
      </c>
      <c r="AF10" s="250">
        <f>'Sourcing_costs_LT_and stdv'!E28*IF(ROUNDUP(AA10/$B$43)=0,1,ROUNDUP(AA10/$B$43))</f>
        <v>538380</v>
      </c>
      <c r="AG10" s="250">
        <f t="shared" si="9"/>
        <v>0</v>
      </c>
      <c r="AH10" s="255">
        <f>AA10*$B$38*AC10*'Sourcing_costs_LT_and stdv'!E27/(24*30)</f>
        <v>0</v>
      </c>
      <c r="AI10" s="250">
        <f>AA10*'Sourcing_costs_LT_and stdv'!E30</f>
        <v>0</v>
      </c>
      <c r="AJ10" s="250">
        <f>5%*'Incomes and Costs'!$B21*AA10</f>
        <v>0</v>
      </c>
      <c r="AK10" s="255">
        <f>1.64*AB10*SQRT('Sourcing_costs_LT_and stdv'!E27)*D42</f>
        <v>0</v>
      </c>
      <c r="AL10" s="257">
        <f>-EOQ_ReorderPt!T10*(1-_xlfn.norm.dist(EOQ_ReorderPt!T10/'Sourcing_costs_LT_and stdv'!E29,0,1,1))+'Sourcing_costs_LT_and stdv'!E29*_xlfn.norm.dist(EOQ_ReorderPt!T10/'Sourcing_costs_LT_and stdv'!E29,0,1,0)</f>
        <v>0.05984134206</v>
      </c>
      <c r="AM10" s="249">
        <f>$B$24*EOQ!I10</f>
        <v>28.728405</v>
      </c>
      <c r="AN10" s="252">
        <f>SQRT($B$24)*EOQ!J10</f>
        <v>5.359084481</v>
      </c>
      <c r="AO10" s="250">
        <v>580.0</v>
      </c>
      <c r="AP10" s="250">
        <f t="shared" si="40"/>
        <v>29951.19904</v>
      </c>
      <c r="AQ10" s="253">
        <f t="shared" si="11"/>
        <v>1</v>
      </c>
      <c r="AR10" s="250">
        <f>'Sourcing_costs_LT_and stdv'!F28*IF(ROUNDUP(AM10/$B$43)=0,1,ROUNDUP(AM10/$B$43))</f>
        <v>47856</v>
      </c>
      <c r="AS10" s="250">
        <f t="shared" si="12"/>
        <v>32.26660619</v>
      </c>
      <c r="AT10" s="255">
        <f>AM10*$B$38*AO10*'Sourcing_costs_LT_and stdv'!F27/(24*30)</f>
        <v>2.314232625</v>
      </c>
      <c r="AU10" s="250">
        <f>AM10*'Sourcing_costs_LT_and stdv'!F30</f>
        <v>23413.65008</v>
      </c>
      <c r="AV10" s="250">
        <f>5%*'Incomes and Costs'!$B21*AM10</f>
        <v>1149.016498</v>
      </c>
      <c r="AW10" s="255">
        <f>1.64*AN10*SQRT('Sourcing_costs_LT_and stdv'!F27)*D42</f>
        <v>994.246784</v>
      </c>
      <c r="AX10" s="251">
        <f>-EOQ_ReorderPt!Z10*(1-_xlfn.norm.dist(EOQ_ReorderPt!Z10/'Sourcing_costs_LT_and stdv'!F29,0,1,1))+'Sourcing_costs_LT_and stdv'!F29*_xlfn.norm.dist(EOQ_ReorderPt!Z10/'Sourcing_costs_LT_and stdv'!F29,0,1,0)</f>
        <v>0</v>
      </c>
      <c r="AY10" s="249">
        <f>$B$24*EOQ!K10</f>
        <v>9.576135</v>
      </c>
      <c r="AZ10" s="252">
        <f>SQRT($B$24)*EOQ!L10</f>
        <v>3.094378352</v>
      </c>
      <c r="BA10" s="250">
        <v>580.0</v>
      </c>
      <c r="BB10" s="250">
        <f t="shared" si="41"/>
        <v>17292.33283</v>
      </c>
      <c r="BC10" s="253">
        <f t="shared" si="14"/>
        <v>1</v>
      </c>
      <c r="BD10" s="250">
        <f>'Sourcing_costs_LT_and stdv'!G28*IF(ROUNDUP(AY10/$B$43)=0,1,ROUNDUP(AY10/$B$43))</f>
        <v>47856</v>
      </c>
      <c r="BE10" s="250">
        <f t="shared" si="15"/>
        <v>18.62913377</v>
      </c>
      <c r="BF10" s="250">
        <f>AY10*$B$38*BA10*'Sourcing_costs_LT_and stdv'!G9/(24*30)</f>
        <v>15.96820511</v>
      </c>
      <c r="BG10" s="250">
        <f>AY10*'Sourcing_costs_LT_and stdv'!G30</f>
        <v>7172.525115</v>
      </c>
      <c r="BH10" s="250">
        <f>5%*'Incomes and Costs'!$B21*AY10</f>
        <v>383.0054994</v>
      </c>
      <c r="BI10" s="255">
        <f>1.64*AZ10*SQRT('Sourcing_costs_LT_and stdv'!G27)*D42</f>
        <v>574.0860656</v>
      </c>
      <c r="BJ10" s="257">
        <f>-EOQ_ReorderPt!AF10*(1-_xlfn.norm.dist(EOQ_ReorderPt!AF10/'Sourcing_costs_LT_and stdv'!G29,0,1,1))+'Sourcing_costs_LT_and stdv'!G29*_xlfn.norm.dist(EOQ_ReorderPt!AF10/'Sourcing_costs_LT_and stdv'!G29,0,1,0)</f>
        <v>0.0000000002904194133</v>
      </c>
      <c r="BK10" s="249">
        <f>$B$24*EOQ!M10</f>
        <v>0</v>
      </c>
      <c r="BL10" s="252">
        <f>SQRT($B$24)*EOQ!N10</f>
        <v>0</v>
      </c>
      <c r="BM10" s="250">
        <v>0.0</v>
      </c>
      <c r="BN10" s="250">
        <v>0.0</v>
      </c>
      <c r="BO10" s="253">
        <f t="shared" si="17"/>
        <v>1</v>
      </c>
      <c r="BP10" s="250">
        <f>'Sourcing_costs_LT_and stdv'!H28*IF(INT(BK10/$B$43)=0,1,INT(BK10/$B$43))</f>
        <v>47856</v>
      </c>
      <c r="BQ10" s="250">
        <v>0.0</v>
      </c>
      <c r="BR10" s="250">
        <f>BK10*$B$38*BM10*'Sourcing_costs_LT_and stdv'!H27/(24*30)</f>
        <v>0</v>
      </c>
      <c r="BS10" s="250">
        <f>BK10*'Sourcing_costs_LT_and stdv'!H30</f>
        <v>0</v>
      </c>
      <c r="BT10" s="250">
        <f>5%*'Incomes and Costs'!$B21*BK10</f>
        <v>0</v>
      </c>
      <c r="BU10" s="255">
        <f>1.64*BL10*SQRT('Sourcing_costs_LT_and stdv'!H27)*D42</f>
        <v>0</v>
      </c>
      <c r="BV10" s="258">
        <f>-EOQ_ReorderPt!AL10*(1-_xlfn.norm.dist(EOQ_ReorderPt!AL10/'Sourcing_costs_LT_and stdv'!H29,0,1,1))+'Sourcing_costs_LT_and stdv'!H29*_xlfn.norm.dist(EOQ_ReorderPt!AL10/'Sourcing_costs_LT_and stdv'!H29,0,1,0)</f>
        <v>0.00997355701</v>
      </c>
      <c r="BW10" s="249">
        <f>$B$24*EOQ!O10</f>
        <v>0</v>
      </c>
      <c r="BX10" s="252">
        <f>SQRT($B$24)*EOQ!P10</f>
        <v>0</v>
      </c>
      <c r="BY10" s="250">
        <v>0.0</v>
      </c>
      <c r="BZ10" s="250">
        <v>0.0</v>
      </c>
      <c r="CA10" s="253">
        <f t="shared" si="20"/>
        <v>1</v>
      </c>
      <c r="CB10" s="250">
        <f>'Sourcing_costs_LT_and stdv'!I28*IF(ROUNDUP(BW10/$B$43)=0,1,ROUNDUP(BW10/$B$43))</f>
        <v>47856</v>
      </c>
      <c r="CC10" s="250">
        <f t="shared" si="21"/>
        <v>0</v>
      </c>
      <c r="CD10" s="250">
        <f>BW10*$B$38*BY10*'Sourcing_costs_LT_and stdv'!I27/(24*30)</f>
        <v>0</v>
      </c>
      <c r="CE10" s="250">
        <f>BW10*'Sourcing_costs_LT_and stdv'!I30</f>
        <v>0</v>
      </c>
      <c r="CF10" s="250">
        <f>5%*'Incomes and Costs'!$B21*BW10</f>
        <v>0</v>
      </c>
      <c r="CG10" s="250">
        <f>1.64*BX10*SQRT('Sourcing_costs_LT_and stdv'!I27)*D42</f>
        <v>0</v>
      </c>
      <c r="CH10" s="258">
        <f>-EOQ_ReorderPt!AR10*(1-_xlfn.norm.dist(EOQ_ReorderPt!AR10/'Sourcing_costs_LT_and stdv'!I29,0,1,1))+'Sourcing_costs_LT_and stdv'!I29*_xlfn.norm.dist(EOQ_ReorderPt!AR10/'Sourcing_costs_LT_and stdv'!I29,0,1,0)</f>
        <v>0.00997355701</v>
      </c>
      <c r="CI10" s="249">
        <f>$B$24*EOQ!Q10</f>
        <v>76.60908</v>
      </c>
      <c r="CJ10" s="264">
        <f>SQRT($B$24)*EOQ!R10</f>
        <v>8.749159545</v>
      </c>
      <c r="CK10" s="250">
        <v>580.0</v>
      </c>
      <c r="CL10" s="250">
        <f t="shared" si="22"/>
        <v>48910.10321</v>
      </c>
      <c r="CM10" s="253">
        <f t="shared" si="23"/>
        <v>1</v>
      </c>
      <c r="CN10" s="250">
        <f>'Sourcing_costs_LT_and stdv'!J28*IF(ROUNDUP(CI10/$B$43)=0,1,ROUNDUP(CI10/$B$43))</f>
        <v>47856</v>
      </c>
      <c r="CO10" s="250">
        <f t="shared" si="24"/>
        <v>52.69114726</v>
      </c>
      <c r="CP10" s="250">
        <f>CI10*$B$38*CK10*'Sourcing_costs_LT_and stdv'!J27/(24*30)</f>
        <v>6.171287</v>
      </c>
      <c r="CQ10" s="250">
        <f>CI10*'Sourcing_costs_LT_and stdv'!J30</f>
        <v>61900.13664</v>
      </c>
      <c r="CR10" s="250">
        <f>5%*'Incomes and Costs'!$B21*CI10</f>
        <v>3064.043996</v>
      </c>
      <c r="CS10" s="250">
        <f>1.64*CJ10*SQRT('Sourcing_costs_LT_and stdv'!J27)*D42</f>
        <v>1623.192127</v>
      </c>
      <c r="CT10" s="258">
        <f>-EOQ_ReorderPt!AX10*(1-_xlfn.norm.dist(EOQ_ReorderPt!AX10/'Sourcing_costs_LT_and stdv'!J29,0,1,1))+'Sourcing_costs_LT_and stdv'!J29*_xlfn.norm.dist(EOQ_ReorderPt!AX10/'Sourcing_costs_LT_and stdv'!J29,0,1,0)</f>
        <v>0</v>
      </c>
      <c r="CU10" s="249">
        <f>$B$24*EOQ!S10</f>
        <v>1503.453195</v>
      </c>
      <c r="CV10" s="264">
        <f>SQRT($B$24)*EOQ!T10</f>
        <v>38.96348957</v>
      </c>
      <c r="CW10" s="250">
        <v>580.0</v>
      </c>
      <c r="CX10" s="250">
        <f t="shared" si="25"/>
        <v>216672.3093</v>
      </c>
      <c r="CY10" s="253">
        <f t="shared" si="26"/>
        <v>1</v>
      </c>
      <c r="CZ10" s="266">
        <f>'Sourcing_costs_LT_and stdv'!K28*IF(ROUNDUP(CU10/$B$43)=0,1,ROUNDUP(CU10/$B$43))</f>
        <v>47856</v>
      </c>
      <c r="DA10" s="250">
        <f t="shared" si="27"/>
        <v>233.4223771</v>
      </c>
      <c r="DB10" s="250">
        <f>CU10*$B$38*CW10*'Sourcing_costs_LT_and stdv'!K27/(24*30)</f>
        <v>121.1115074</v>
      </c>
      <c r="DC10" s="250">
        <f>CU10*'Sourcing_costs_LT_and stdv'!K30</f>
        <v>1649288.155</v>
      </c>
      <c r="DD10" s="250">
        <f>5%*'Incomes and Costs'!$B21*CU10</f>
        <v>60131.86341</v>
      </c>
      <c r="DE10" s="250">
        <f>1.64*CV10*SQRT('Sourcing_costs_LT_and stdv'!K27)*D42</f>
        <v>7228.720566</v>
      </c>
      <c r="DF10" s="258">
        <f>-EOQ_ReorderPt!BD10*(1-_xlfn.norm.dist(EOQ_ReorderPt!BD10/'Sourcing_costs_LT_and stdv'!K29,0,1,1))+'Sourcing_costs_LT_and stdv'!K29*_xlfn.norm.dist(EOQ_ReorderPt!BD10/'Sourcing_costs_LT_and stdv'!K29,0,1,0)</f>
        <v>0</v>
      </c>
      <c r="DG10" s="249">
        <f>$B$24*EOQ!U10</f>
        <v>7038.459225</v>
      </c>
      <c r="DH10" s="252">
        <f>SQRT($B$24)*EOQ!V10</f>
        <v>84.0083093</v>
      </c>
      <c r="DI10" s="250">
        <f>'Sourcing_costs_LT_and stdv'!L30+DL10/DG10</f>
        <v>342.7992153</v>
      </c>
      <c r="DJ10" s="250">
        <f t="shared" si="37"/>
        <v>360415.2579</v>
      </c>
      <c r="DK10" s="259">
        <f t="shared" si="29"/>
        <v>1</v>
      </c>
      <c r="DL10" s="250">
        <f>'Sourcing_costs_LT_and stdv'!L28*IF(ROUNDUP(DG10/$B$43)=0,1,ROUNDUP(DG10/$B$43))</f>
        <v>47856</v>
      </c>
      <c r="DM10" s="250">
        <f t="shared" si="30"/>
        <v>229.4848761</v>
      </c>
      <c r="DN10" s="250">
        <f>DG10*$B$38*DI10*'Sourcing_costs_LT_and stdv'!L27/(24*30)</f>
        <v>335.1080972</v>
      </c>
      <c r="DO10" s="250">
        <f>DG10*'Sourcing_costs_LT_and stdv'!L30</f>
        <v>2364922.3</v>
      </c>
      <c r="DP10" s="250">
        <f>5%*'Incomes and Costs'!$B21*DG10</f>
        <v>281509.0421</v>
      </c>
      <c r="DQ10" s="250">
        <f>1.64*DH10*SQRT('Sourcing_costs_LT_and stdv'!L27)*D42</f>
        <v>15585.6829</v>
      </c>
      <c r="DR10" s="258">
        <f>-EOQ_ReorderPt!BJ10*(1-_xlfn.norm.dist(EOQ_ReorderPt!BJ10/'Sourcing_costs_LT_and stdv'!L29,0,1,1))+'Sourcing_costs_LT_and stdv'!L29*_xlfn.norm.dist(EOQ_ReorderPt!BJ10/'Sourcing_costs_LT_and stdv'!L29,0,1,0)</f>
        <v>0</v>
      </c>
      <c r="DS10" s="249">
        <f>$B$24*EOQ!W10</f>
        <v>5975.50824</v>
      </c>
      <c r="DT10" s="252">
        <f>SQRT($B$24)*EOQ!X10</f>
        <v>76.37056871</v>
      </c>
      <c r="DU10" s="250">
        <f>'Sourcing_costs_LT_and stdv'!M30+DX10/DS10</f>
        <v>674.0977755</v>
      </c>
      <c r="DV10" s="250">
        <f t="shared" si="38"/>
        <v>465686.1598</v>
      </c>
      <c r="DW10" s="259">
        <f t="shared" si="32"/>
        <v>1</v>
      </c>
      <c r="DX10" s="261">
        <f>'Sourcing_costs_LT_and stdv'!M28*IF(ROUNDUP(DS10/$B$43)=0,1,ROUNDUP(DS10/$B$43))</f>
        <v>538380</v>
      </c>
      <c r="DY10" s="250">
        <f t="shared" si="33"/>
        <v>583.0788744</v>
      </c>
      <c r="DZ10" s="250">
        <f>DS10*$B$38*DU10*'Sourcing_costs_LT_and stdv'!M27/(24*30)</f>
        <v>3356.730677</v>
      </c>
      <c r="EA10" s="250">
        <f>DS10*'Sourcing_costs_LT_and stdv'!M30</f>
        <v>3489696.812</v>
      </c>
      <c r="EB10" s="250">
        <f>5%*DS10*'Incomes and Costs'!B21</f>
        <v>238995.4316</v>
      </c>
      <c r="EC10" s="250">
        <f>DT10*1.64*SQRT('Sourcing_costs_LT_and stdv'!M27)*D42</f>
        <v>34706.05426</v>
      </c>
      <c r="ED10" s="258">
        <f>-EOQ_ReorderPt!BO10*(1-_xlfn.norm.dist(EOQ_ReorderPt!BO10/'Sourcing_costs_LT_and stdv'!M29,0,1,1))+'Sourcing_costs_LT_and stdv'!M29*_xlfn.norm.dist(EOQ_ReorderPt!BO10/'Sourcing_costs_LT_and stdv'!M29,0,1,0)</f>
        <v>0</v>
      </c>
      <c r="EE10" s="249">
        <f>$B$24*EOQ!Y10</f>
        <v>1790.737245</v>
      </c>
      <c r="EF10" s="252">
        <f>SQRT($B$24)*EOQ!Z10</f>
        <v>41.91957131</v>
      </c>
      <c r="EG10" s="250">
        <f>'Sourcing_costs_LT_and stdv'!N30+EJ10/EE10</f>
        <v>797.7241887</v>
      </c>
      <c r="EH10" s="250">
        <f t="shared" si="39"/>
        <v>415505.0682</v>
      </c>
      <c r="EI10" s="259">
        <f t="shared" si="35"/>
        <v>1</v>
      </c>
      <c r="EJ10" s="268">
        <f>'Sourcing_costs_LT_and stdv'!N28*IF(ROUNDUP(EE10/$B$43)=0,1,ROUNDUP(EE10/$B$43))</f>
        <v>47856</v>
      </c>
      <c r="EK10" s="250">
        <f t="shared" si="36"/>
        <v>274.2591103</v>
      </c>
      <c r="EL10" s="250">
        <f>EE10*$B$38*EG10*'Sourcing_costs_LT_and stdv'!N27/(24*30)</f>
        <v>198.40478</v>
      </c>
      <c r="EM10" s="250">
        <f>EE10*'Sourcing_costs_LT_and stdv'!N30</f>
        <v>1380658.416</v>
      </c>
      <c r="EN10" s="250">
        <f>5%*'Incomes and Costs'!$B21*EE10</f>
        <v>71622.02839</v>
      </c>
      <c r="EO10" s="250">
        <f>EF10*1.64*SQRT('Sourcing_costs_LT_and stdv'!N27)*D42</f>
        <v>7777.149083</v>
      </c>
      <c r="EP10" s="257">
        <f>-EOQ_ReorderPt!BT10*(1-_xlfn.norm.dist(EOQ_ReorderPt!BT10/'Sourcing_costs_LT_and stdv'!N29,0,1,1))+'Sourcing_costs_LT_and stdv'!N29*_xlfn.norm.dist(EOQ_ReorderPt!BT10/'Sourcing_costs_LT_and stdv'!N29,0,1,0)</f>
        <v>0</v>
      </c>
    </row>
    <row r="11" ht="14.25" customHeight="1">
      <c r="A11" s="79">
        <v>8.0</v>
      </c>
      <c r="B11" s="269" t="s">
        <v>35</v>
      </c>
      <c r="C11" s="270">
        <f>EOQ!C11*$B$24</f>
        <v>111073.5899</v>
      </c>
      <c r="D11" s="270">
        <f>SQRT($B$24)*EOQ!D11</f>
        <v>335.6009344</v>
      </c>
      <c r="E11" s="271">
        <v>1070.0</v>
      </c>
      <c r="F11" s="271">
        <f t="shared" si="1"/>
        <v>81222390.09</v>
      </c>
      <c r="G11" s="270">
        <f t="shared" si="2"/>
        <v>3</v>
      </c>
      <c r="H11" s="272">
        <f>'Sourcing_costs_LT_and stdv'!C32*IF(ROUNDUP(C11/$B$43)=0,1,ROUNDUP(C11/$B$43))</f>
        <v>11837202</v>
      </c>
      <c r="I11" s="271">
        <f t="shared" si="3"/>
        <v>156.5678539</v>
      </c>
      <c r="J11" s="271">
        <f>C11*B39*'Sourcing_costs_LT_and stdv'!C31/(24*30)</f>
        <v>956093.2432</v>
      </c>
      <c r="K11" s="271">
        <f>C11*'Sourcing_costs_LT_and stdv'!C34</f>
        <v>352658647.8</v>
      </c>
      <c r="L11" s="271">
        <f>5%*'Incomes and Costs'!$B22*C11</f>
        <v>14442343.52</v>
      </c>
      <c r="M11" s="271">
        <f>1.64*D11*SQRT('Sourcing_costs_LT_and stdv'!C31)*D43</f>
        <v>1832929.629</v>
      </c>
      <c r="N11" s="273">
        <f>-EOQ_ReorderPt!H11*(1-_xlfn.norm.dist(EOQ_ReorderPt!H11/'Sourcing_costs_LT_and stdv'!C33,0,1,1))+'Sourcing_costs_LT_and stdv'!C33*_xlfn.norm.dist(EOQ_ReorderPt!H11/'Sourcing_costs_LT_and stdv'!C33,0,1,0)</f>
        <v>0</v>
      </c>
      <c r="O11" s="270">
        <f>EOQ!E11*$B$24</f>
        <v>108737.0129</v>
      </c>
      <c r="P11" s="274">
        <f>SQRT($B$24)*EOQ!F11</f>
        <v>330.0780126</v>
      </c>
      <c r="Q11" s="271">
        <v>1070.0</v>
      </c>
      <c r="R11" s="271">
        <f>Q11*O11/E22</f>
        <v>539.32505</v>
      </c>
      <c r="S11" s="275">
        <f t="shared" si="5"/>
        <v>3</v>
      </c>
      <c r="T11" s="271">
        <f>'Sourcing_costs_LT_and stdv'!E32*IF(ROUNDUP(O11/$B$43)=0,1,ROUNDUP(O11/$B$43))</f>
        <v>11837202</v>
      </c>
      <c r="U11" s="276">
        <f t="shared" si="6"/>
        <v>23083112.14</v>
      </c>
      <c r="V11" s="277">
        <f>O11*$B$38*Q11*'Sourcing_costs_LT_and stdv'!D10/(24*30)</f>
        <v>13024579.82</v>
      </c>
      <c r="W11" s="278">
        <f>O11*'Sourcing_costs_LT_and stdv'!D34</f>
        <v>345240016</v>
      </c>
      <c r="X11" s="271">
        <f>5%*'Incomes and Costs'!$B22*O11</f>
        <v>14138530.11</v>
      </c>
      <c r="Y11" s="271">
        <f>1.64*P11*SQRT('Sourcing_costs_LT_and stdv'!D31)*D43</f>
        <v>1802765.449</v>
      </c>
      <c r="Z11" s="279">
        <f>-EOQ_ReorderPt!N11*(1-_xlfn.norm.dist(EOQ_ReorderPt!N11/'Sourcing_costs_LT_and stdv'!D33,0,1,1))+'Sourcing_costs_LT_and stdv'!D33*_xlfn.norm.dist(EOQ_ReorderPt!N11/'Sourcing_costs_LT_and stdv'!D33,0,1,0)</f>
        <v>0</v>
      </c>
      <c r="AA11" s="270">
        <f>$B$24*EOQ!G11</f>
        <v>135521.4625</v>
      </c>
      <c r="AB11" s="274">
        <f>SQRT($B$24)*EOQ!H11</f>
        <v>368.9390748</v>
      </c>
      <c r="AC11" s="271">
        <v>1070.0</v>
      </c>
      <c r="AD11" s="271">
        <f>AC11*AA11/G22</f>
        <v>1474.828625</v>
      </c>
      <c r="AE11" s="275">
        <f t="shared" si="8"/>
        <v>4</v>
      </c>
      <c r="AF11" s="271">
        <f>'Sourcing_costs_LT_and stdv'!E32*IF(ROUNDUP(AA11/$B$43)=0,1,ROUNDUP(AA11/$B$43))</f>
        <v>15782936</v>
      </c>
      <c r="AG11" s="271">
        <f t="shared" si="9"/>
        <v>23083112.14</v>
      </c>
      <c r="AH11" s="277">
        <f>AA11*$B$38*AC11*'Sourcing_costs_LT_and stdv'!E31/(24*30)</f>
        <v>1651479.6</v>
      </c>
      <c r="AI11" s="271">
        <f>AA11*'Sourcing_costs_LT_and stdv'!E34</f>
        <v>638306088.5</v>
      </c>
      <c r="AJ11" s="271">
        <f>5%*'Incomes and Costs'!$B22*AA11</f>
        <v>17621178.16</v>
      </c>
      <c r="AK11" s="277">
        <f>1.64*AB11*SQRT('Sourcing_costs_LT_and stdv'!E31)*D43</f>
        <v>2015010.365</v>
      </c>
      <c r="AL11" s="279">
        <f>-EOQ_ReorderPt!T11*(1-_xlfn.norm.dist(EOQ_ReorderPt!T11/'Sourcing_costs_LT_and stdv'!E33,0,1,1))+'Sourcing_costs_LT_and stdv'!E33*_xlfn.norm.dist(EOQ_ReorderPt!T11/'Sourcing_costs_LT_and stdv'!E33,0,1,0)</f>
        <v>0</v>
      </c>
      <c r="AM11" s="270">
        <f>$B$24*EOQ!I11</f>
        <v>122670.2894</v>
      </c>
      <c r="AN11" s="274">
        <f>SQRT($B$24)*EOQ!J11</f>
        <v>347.8341908</v>
      </c>
      <c r="AO11" s="271">
        <v>1070.0</v>
      </c>
      <c r="AP11" s="271">
        <f t="shared" si="40"/>
        <v>1403.160056</v>
      </c>
      <c r="AQ11" s="275">
        <f t="shared" si="11"/>
        <v>4</v>
      </c>
      <c r="AR11" s="271">
        <f>'Sourcing_costs_LT_and stdv'!F32*IF(ROUNDUP(AM11/$B$43)=0,1,ROUNDUP(AM11/$B$43))</f>
        <v>15782936</v>
      </c>
      <c r="AS11" s="271">
        <f t="shared" si="12"/>
        <v>10009208.4</v>
      </c>
      <c r="AT11" s="277">
        <f>AM11*$B$38*AO11*'Sourcing_costs_LT_and stdv'!F31/(24*30)</f>
        <v>1494873.776</v>
      </c>
      <c r="AU11" s="271">
        <f>AM11*'Sourcing_costs_LT_and stdv'!F34</f>
        <v>356847871.7</v>
      </c>
      <c r="AV11" s="271">
        <f>5%*'Incomes and Costs'!$B22*AM11</f>
        <v>15950204.37</v>
      </c>
      <c r="AW11" s="277">
        <f>1.64*AN11*SQRT('Sourcing_costs_LT_and stdv'!F31)*D43</f>
        <v>1899743.204</v>
      </c>
      <c r="AX11" s="273">
        <f>-EOQ_ReorderPt!Z11*(1-_xlfn.norm.dist(EOQ_ReorderPt!Z11/'Sourcing_costs_LT_and stdv'!F33,0,1,1))+'Sourcing_costs_LT_and stdv'!F33*_xlfn.norm.dist(EOQ_ReorderPt!Z11/'Sourcing_costs_LT_and stdv'!F33,0,1,0)</f>
        <v>0</v>
      </c>
      <c r="AY11" s="270">
        <f>$B$24*EOQ!K11</f>
        <v>131691.0085</v>
      </c>
      <c r="AZ11" s="274">
        <f>SQRT($B$24)*EOQ!L11</f>
        <v>361.600522</v>
      </c>
      <c r="BA11" s="271">
        <v>1070.0</v>
      </c>
      <c r="BB11" s="271">
        <f t="shared" si="41"/>
        <v>593.5262823</v>
      </c>
      <c r="BC11" s="275">
        <f t="shared" si="14"/>
        <v>4</v>
      </c>
      <c r="BD11" s="271">
        <f>'Sourcing_costs_LT_and stdv'!G32*IF(ROUNDUP(AY11/$B$43)=0,1,ROUNDUP(AY11/$B$43))</f>
        <v>15782936</v>
      </c>
      <c r="BE11" s="271">
        <f t="shared" si="15"/>
        <v>25402924.88</v>
      </c>
      <c r="BF11" s="271">
        <f>AY11*$B$38*BA11*'Sourcing_costs_LT_and stdv'!G10/(24*30)</f>
        <v>15460890.21</v>
      </c>
      <c r="BG11" s="271">
        <f>AY11*'Sourcing_costs_LT_and stdv'!G34</f>
        <v>406793525.3</v>
      </c>
      <c r="BH11" s="271">
        <f>5%*'Incomes and Costs'!$B22*AY11</f>
        <v>17123123.38</v>
      </c>
      <c r="BI11" s="277">
        <f>1.64*AZ11*SQRT('Sourcing_costs_LT_and stdv'!G31)*D43</f>
        <v>1974929.872</v>
      </c>
      <c r="BJ11" s="279">
        <f>-EOQ_ReorderPt!AF11*(1-_xlfn.norm.dist(EOQ_ReorderPt!AF11/'Sourcing_costs_LT_and stdv'!G33,0,1,1))+'Sourcing_costs_LT_and stdv'!G33*_xlfn.norm.dist(EOQ_ReorderPt!AF11/'Sourcing_costs_LT_and stdv'!G33,0,1,0)</f>
        <v>0</v>
      </c>
      <c r="BK11" s="270">
        <f>$B$24*EOQ!M11</f>
        <v>133424.289</v>
      </c>
      <c r="BL11" s="274">
        <f>SQRT($B$24)*EOQ!N11</f>
        <v>369.5622875</v>
      </c>
      <c r="BM11" s="271">
        <v>1070.0</v>
      </c>
      <c r="BN11" s="271">
        <f>BM11*BK11/M22</f>
        <v>597.419428</v>
      </c>
      <c r="BO11" s="275">
        <f t="shared" si="17"/>
        <v>4</v>
      </c>
      <c r="BP11" s="280">
        <f>'Sourcing_costs_LT_and stdv'!H32*IF(INT(BK11/$B$43)=0,1,INT(BK11/$B$43))</f>
        <v>11837202</v>
      </c>
      <c r="BQ11" s="271">
        <f>M22*$B$38*BM11/2</f>
        <v>25569551.52</v>
      </c>
      <c r="BR11" s="271">
        <f>BK11*$B$38*BM11*'Sourcing_costs_LT_and stdv'!H31/(24*30)</f>
        <v>1625923.21</v>
      </c>
      <c r="BS11" s="271">
        <f>BK11*'Sourcing_costs_LT_and stdv'!H34</f>
        <v>434963182</v>
      </c>
      <c r="BT11" s="271">
        <f>5%*'Incomes and Costs'!$B22*BK11</f>
        <v>17348493.17</v>
      </c>
      <c r="BU11" s="277">
        <f>1.64*BL11*SQRT('Sourcing_costs_LT_and stdv'!H31)*D43</f>
        <v>2018414.125</v>
      </c>
      <c r="BV11" s="281">
        <f>-EOQ_ReorderPt!AL11*(1-_xlfn.norm.dist(EOQ_ReorderPt!AL11/'Sourcing_costs_LT_and stdv'!H33,0,1,1))+'Sourcing_costs_LT_and stdv'!H33*_xlfn.norm.dist(EOQ_ReorderPt!AL11/'Sourcing_costs_LT_and stdv'!H33,0,1,0)</f>
        <v>0</v>
      </c>
      <c r="BW11" s="270">
        <f>$B$24*EOQ!O11</f>
        <v>124556.7879</v>
      </c>
      <c r="BX11" s="274">
        <f>SQRT($B$24)*EOQ!P11</f>
        <v>348.7470838</v>
      </c>
      <c r="BY11" s="271">
        <v>1070.0</v>
      </c>
      <c r="BZ11" s="271">
        <f>BY11*BW11/O22</f>
        <v>5227.000233</v>
      </c>
      <c r="CA11" s="275">
        <f t="shared" si="20"/>
        <v>4</v>
      </c>
      <c r="CB11" s="271">
        <f>'Sourcing_costs_LT_and stdv'!I32*IF(ROUNDUP(BW11/$B$43)=0,1,ROUNDUP(BW11/$B$43))</f>
        <v>15782936</v>
      </c>
      <c r="CC11" s="271">
        <f t="shared" si="21"/>
        <v>2728239.146</v>
      </c>
      <c r="CD11" s="271">
        <f>BW11*$B$38*BY11*'Sourcing_costs_LT_and stdv'!I31/(24*30)</f>
        <v>1517862.858</v>
      </c>
      <c r="CE11" s="271">
        <f>BW11*'Sourcing_costs_LT_and stdv'!I34</f>
        <v>416767012.5</v>
      </c>
      <c r="CF11" s="271">
        <f>5%*'Incomes and Costs'!$B22*BW11</f>
        <v>16195496.35</v>
      </c>
      <c r="CG11" s="271">
        <f>1.64*BX11*SQRT('Sourcing_costs_LT_and stdv'!I31)*D43</f>
        <v>1904729.092</v>
      </c>
      <c r="CH11" s="281">
        <f>-EOQ_ReorderPt!AR11*(1-_xlfn.norm.dist(EOQ_ReorderPt!AR11/'Sourcing_costs_LT_and stdv'!I33,0,1,1))+'Sourcing_costs_LT_and stdv'!I33*_xlfn.norm.dist(EOQ_ReorderPt!AR11/'Sourcing_costs_LT_and stdv'!I33,0,1,0)</f>
        <v>0</v>
      </c>
      <c r="CI11" s="270">
        <f>$B$24*EOQ!Q11</f>
        <v>123589.5983</v>
      </c>
      <c r="CJ11" s="274">
        <f>SQRT($B$24)*EOQ!R11</f>
        <v>348.1248821</v>
      </c>
      <c r="CK11" s="282">
        <v>1070.0</v>
      </c>
      <c r="CL11" s="271">
        <f t="shared" si="22"/>
        <v>1408.407985</v>
      </c>
      <c r="CM11" s="275">
        <f t="shared" si="23"/>
        <v>4</v>
      </c>
      <c r="CN11" s="271">
        <f>'Sourcing_costs_LT_and stdv'!J32*IF(ROUNDUP(CI11/$B$43)=0,1,ROUNDUP(CI11/$B$43))</f>
        <v>15782936</v>
      </c>
      <c r="CO11" s="271">
        <f t="shared" si="24"/>
        <v>10046643.63</v>
      </c>
      <c r="CP11" s="282">
        <f>CI11*$B$38*CK11*'Sourcing_costs_LT_and stdv'!J31/(24*30)</f>
        <v>1506076.577</v>
      </c>
      <c r="CQ11" s="271">
        <f>CI11*'Sourcing_costs_LT_and stdv'!J34</f>
        <v>402902090.5</v>
      </c>
      <c r="CR11" s="271">
        <f>5%*'Incomes and Costs'!$B22*CI11</f>
        <v>16069737.52</v>
      </c>
      <c r="CS11" s="271">
        <f>1.64*CJ11*SQRT('Sourcing_costs_LT_and stdv'!J31)*D43</f>
        <v>1901330.853</v>
      </c>
      <c r="CT11" s="281">
        <f>-EOQ_ReorderPt!AX11*(1-_xlfn.norm.dist(EOQ_ReorderPt!AX11/'Sourcing_costs_LT_and stdv'!J33,0,1,1))+'Sourcing_costs_LT_and stdv'!J33*_xlfn.norm.dist(EOQ_ReorderPt!AX11/'Sourcing_costs_LT_and stdv'!J33,0,1,0)</f>
        <v>0</v>
      </c>
      <c r="CU11" s="270">
        <f>$B$24*EOQ!S11</f>
        <v>95588.97957</v>
      </c>
      <c r="CV11" s="283">
        <f>SQRT($B$24)*EOQ!T11</f>
        <v>305.2779644</v>
      </c>
      <c r="CW11" s="271">
        <v>1070.0</v>
      </c>
      <c r="CX11" s="271">
        <f t="shared" si="25"/>
        <v>505.6683897</v>
      </c>
      <c r="CY11" s="275">
        <f t="shared" si="26"/>
        <v>3</v>
      </c>
      <c r="CZ11" s="284">
        <f>'Sourcing_costs_LT_and stdv'!K32*IF(ROUNDUP(CU11/$B$43)=0,1,ROUNDUP(CU11/$B$43))</f>
        <v>1615140</v>
      </c>
      <c r="DA11" s="271">
        <f t="shared" si="27"/>
        <v>21642607.08</v>
      </c>
      <c r="DB11" s="271">
        <f>CU11*$B$38*CW11*'Sourcing_costs_LT_and stdv'!K31/(24*30)</f>
        <v>85233.50678</v>
      </c>
      <c r="DC11" s="271">
        <f>CU11*'Sourcing_costs_LT_and stdv'!K34</f>
        <v>168332193</v>
      </c>
      <c r="DD11" s="271">
        <f>5%*'Incomes and Costs'!$B22*CU11</f>
        <v>12428957.07</v>
      </c>
      <c r="DE11" s="271">
        <f>1.64*CV11*SQRT('Sourcing_costs_LT_and stdv'!K31)*D43</f>
        <v>451010.6387</v>
      </c>
      <c r="DF11" s="281">
        <f>-EOQ_ReorderPt!BD11*(1-_xlfn.norm.dist(EOQ_ReorderPt!BD11/'Sourcing_costs_LT_and stdv'!K33,0,1,1))+'Sourcing_costs_LT_and stdv'!K33*_xlfn.norm.dist(EOQ_ReorderPt!BD11/'Sourcing_costs_LT_and stdv'!K33,0,1,0)</f>
        <v>0</v>
      </c>
      <c r="DG11" s="270">
        <f>$B$24*EOQ!U11</f>
        <v>90197.61557</v>
      </c>
      <c r="DH11" s="274">
        <f>SQRT($B$24)*EOQ!V11</f>
        <v>302.3668243</v>
      </c>
      <c r="DI11" s="271">
        <f>'Sourcing_costs_LT_and stdv'!L34+DL11/DG11</f>
        <v>857.9066818</v>
      </c>
      <c r="DJ11" s="271">
        <f t="shared" si="37"/>
        <v>439.832744</v>
      </c>
      <c r="DK11" s="285">
        <f t="shared" si="29"/>
        <v>3</v>
      </c>
      <c r="DL11" s="271">
        <f>'Sourcing_costs_LT_and stdv'!L32*IF(ROUNDUP(DG11/$B$43)=0,1,ROUNDUP(DG11/$B$43))</f>
        <v>1615140</v>
      </c>
      <c r="DM11" s="271">
        <f t="shared" si="30"/>
        <v>15093418</v>
      </c>
      <c r="DN11" s="271">
        <f>DG11*$B$38*DI11*'Sourcing_costs_LT_and stdv'!L31/(24*30)</f>
        <v>64484.2809</v>
      </c>
      <c r="DO11" s="271">
        <f>DG11*'Sourcing_costs_LT_and stdv'!L34</f>
        <v>75765997.07</v>
      </c>
      <c r="DP11" s="271">
        <f>5%*'Incomes and Costs'!$B22*DG11</f>
        <v>11727944.96</v>
      </c>
      <c r="DQ11" s="271">
        <f>1.64*DH11*SQRT('Sourcing_costs_LT_and stdv'!L31)*D43</f>
        <v>446709.7873</v>
      </c>
      <c r="DR11" s="258">
        <f>-EOQ_ReorderPt!BJ11*(1-_xlfn.norm.dist(EOQ_ReorderPt!BJ11/'Sourcing_costs_LT_and stdv'!L33,0,1,1))+'Sourcing_costs_LT_and stdv'!L33*_xlfn.norm.dist(EOQ_ReorderPt!BJ11/'Sourcing_costs_LT_and stdv'!L33,0,1,0)</f>
        <v>0</v>
      </c>
      <c r="DS11" s="270">
        <f>$B$24*EOQ!W11</f>
        <v>98030.894</v>
      </c>
      <c r="DT11" s="274">
        <f>SQRT($B$24)*EOQ!X11</f>
        <v>309.2270632</v>
      </c>
      <c r="DU11" s="271">
        <f>'Sourcing_costs_LT_and stdv'!M34+DX11/DS11</f>
        <v>758.4645179</v>
      </c>
      <c r="DV11" s="271">
        <f t="shared" si="38"/>
        <v>1056.07496</v>
      </c>
      <c r="DW11" s="285">
        <f t="shared" si="32"/>
        <v>3</v>
      </c>
      <c r="DX11" s="271">
        <f>'Sourcing_costs_LT_and stdv'!M32*IF(ROUNDUP(DS11/$B$43)=0,1,ROUNDUP(DS11/$B$43))</f>
        <v>143568</v>
      </c>
      <c r="DY11" s="271">
        <f t="shared" si="33"/>
        <v>5339969.237</v>
      </c>
      <c r="DZ11" s="271">
        <f>DS11*$B$38*DU11*'Sourcing_costs_LT_and stdv'!M31/(24*30)</f>
        <v>10326.79927</v>
      </c>
      <c r="EA11" s="271">
        <f>DS11*'Sourcing_costs_LT_and stdv'!M34</f>
        <v>74209386.75</v>
      </c>
      <c r="EB11" s="271">
        <f>5%*DS11*'Incomes and Costs'!B22</f>
        <v>12746466.99</v>
      </c>
      <c r="EC11" s="271">
        <f>DT11*1.64*SQRT('Sourcing_costs_LT_and stdv'!M31)*D43</f>
        <v>186506.1683</v>
      </c>
      <c r="ED11" s="281">
        <f>-EOQ_ReorderPt!BO11*(1-_xlfn.norm.dist(EOQ_ReorderPt!BO11/'Sourcing_costs_LT_and stdv'!M33,0,1,1))+'Sourcing_costs_LT_and stdv'!M33*_xlfn.norm.dist(EOQ_ReorderPt!BO11/'Sourcing_costs_LT_and stdv'!M33,0,1,0)</f>
        <v>0</v>
      </c>
      <c r="EE11" s="270">
        <f>$B$24*EOQ!Y11</f>
        <v>89872.02698</v>
      </c>
      <c r="EF11" s="274">
        <f>SQRT($B$24)*EOQ!Z11</f>
        <v>300.4276488</v>
      </c>
      <c r="EG11" s="271">
        <f>'Sourcing_costs_LT_and stdv'!N34+EJ11/EE11</f>
        <v>941.9715542</v>
      </c>
      <c r="EH11" s="271">
        <f t="shared" si="39"/>
        <v>4493.601349</v>
      </c>
      <c r="EI11" s="285">
        <f t="shared" si="35"/>
        <v>3</v>
      </c>
      <c r="EJ11" s="280">
        <f>'Sourcing_costs_LT_and stdv'!N32*IF(ROUNDUP(EE11/$B$43)=0,1,ROUNDUP(EE11/$B$43))</f>
        <v>1615140</v>
      </c>
      <c r="EK11" s="271">
        <f t="shared" si="36"/>
        <v>1774620.818</v>
      </c>
      <c r="EL11" s="271">
        <f>EE11*$B$38*EG11*'Sourcing_costs_LT_and stdv'!N31/(24*30)</f>
        <v>70547.41077</v>
      </c>
      <c r="EM11" s="271">
        <f>EE11*'Sourcing_costs_LT_and stdv'!N34</f>
        <v>83041752.92</v>
      </c>
      <c r="EN11" s="271">
        <f>5%*'Incomes and Costs'!$B22*EE11</f>
        <v>11685610.31</v>
      </c>
      <c r="EO11" s="271">
        <f>EF11*1.64*SQRT('Sourcing_costs_LT_and stdv'!N31)*D43</f>
        <v>443844.8939</v>
      </c>
      <c r="EP11" s="279">
        <f>-EOQ_ReorderPt!BT11*(1-_xlfn.norm.dist(EOQ_ReorderPt!BT11/'Sourcing_costs_LT_and stdv'!N33,0,1,1))+'Sourcing_costs_LT_and stdv'!N33*_xlfn.norm.dist(EOQ_ReorderPt!BT11/'Sourcing_costs_LT_and stdv'!N33,0,1,0)</f>
        <v>0</v>
      </c>
    </row>
    <row r="12" ht="14.25" customHeight="1">
      <c r="A12" s="286"/>
      <c r="B12" s="286"/>
      <c r="C12" s="286"/>
      <c r="D12" s="286"/>
      <c r="E12" s="287"/>
      <c r="F12" s="287"/>
      <c r="G12" s="287"/>
      <c r="H12" s="287"/>
      <c r="I12" s="287"/>
      <c r="J12" s="287"/>
      <c r="K12" s="287"/>
      <c r="L12" s="287"/>
      <c r="M12" s="287"/>
      <c r="N12" s="287"/>
      <c r="O12" s="287"/>
      <c r="P12" s="287"/>
      <c r="Q12" s="287"/>
      <c r="R12" s="287"/>
      <c r="S12" s="287"/>
      <c r="T12" s="287"/>
      <c r="U12" s="287"/>
      <c r="V12" s="287"/>
      <c r="W12" s="287"/>
      <c r="X12" s="287"/>
      <c r="Y12" s="287"/>
      <c r="Z12" s="287"/>
      <c r="AA12" s="287"/>
      <c r="AB12" s="287"/>
      <c r="AC12" s="287"/>
      <c r="AD12" s="286"/>
      <c r="AE12" s="286"/>
      <c r="AF12" s="286"/>
      <c r="AG12" s="286"/>
      <c r="AH12" s="286"/>
      <c r="AI12" s="286"/>
      <c r="AJ12" s="286"/>
      <c r="AK12" s="286"/>
      <c r="AL12" s="286"/>
      <c r="AM12" s="286"/>
      <c r="AN12" s="286"/>
      <c r="AO12" s="286"/>
      <c r="AP12" s="286"/>
      <c r="AQ12" s="286"/>
      <c r="AR12" s="286"/>
      <c r="AS12" s="286"/>
      <c r="AT12" s="286"/>
      <c r="AU12" s="286"/>
      <c r="AV12" s="286"/>
      <c r="AW12" s="286"/>
      <c r="AX12" s="286"/>
      <c r="AY12" s="286"/>
      <c r="AZ12" s="286"/>
      <c r="BA12" s="286"/>
      <c r="BB12" s="286"/>
      <c r="BC12" s="286"/>
      <c r="BD12" s="286"/>
      <c r="BE12" s="286"/>
      <c r="BF12" s="286"/>
      <c r="BG12" s="286"/>
      <c r="BH12" s="286"/>
      <c r="BI12" s="286"/>
      <c r="BJ12" s="286"/>
      <c r="BK12" s="286"/>
      <c r="BL12" s="286"/>
      <c r="BM12" s="286"/>
      <c r="BN12" s="286"/>
      <c r="BO12" s="286"/>
      <c r="BP12" s="286"/>
      <c r="BQ12" s="286"/>
      <c r="BR12" s="286"/>
      <c r="BS12" s="286"/>
      <c r="BT12" s="286"/>
      <c r="BU12" s="286"/>
      <c r="BV12" s="286"/>
      <c r="BW12" s="286"/>
      <c r="BX12" s="286"/>
      <c r="BY12" s="286"/>
      <c r="BZ12" s="286"/>
      <c r="CA12" s="286"/>
      <c r="CB12" s="286"/>
      <c r="CC12" s="286"/>
      <c r="CD12" s="286"/>
      <c r="CE12" s="286"/>
      <c r="CF12" s="286"/>
      <c r="CG12" s="286"/>
      <c r="CH12" s="286"/>
      <c r="CI12" s="286"/>
      <c r="CJ12" s="286"/>
      <c r="CK12" s="286"/>
      <c r="CL12" s="286"/>
      <c r="CM12" s="286"/>
      <c r="CN12" s="286"/>
      <c r="CO12" s="286"/>
      <c r="CP12" s="286"/>
      <c r="CQ12" s="286"/>
      <c r="CR12" s="286"/>
      <c r="CS12" s="286"/>
      <c r="CT12" s="286"/>
      <c r="CU12" s="286"/>
      <c r="CV12" s="286"/>
      <c r="CW12" s="286"/>
      <c r="CX12" s="286"/>
      <c r="CY12" s="286"/>
      <c r="CZ12" s="286"/>
      <c r="DA12" s="286"/>
      <c r="DB12" s="286"/>
      <c r="DC12" s="286"/>
      <c r="DD12" s="286"/>
      <c r="DE12" s="286"/>
      <c r="DF12" s="286"/>
      <c r="DG12" s="286"/>
      <c r="DH12" s="286"/>
      <c r="DI12" s="286"/>
      <c r="DJ12" s="286"/>
      <c r="DK12" s="286"/>
      <c r="DL12" s="286"/>
      <c r="DM12" s="286"/>
      <c r="DN12" s="286"/>
      <c r="DO12" s="286"/>
      <c r="DP12" s="286"/>
      <c r="DQ12" s="286"/>
      <c r="DR12" s="286"/>
      <c r="DS12" s="288"/>
      <c r="DT12" s="288"/>
      <c r="DU12" s="288"/>
      <c r="DV12" s="288"/>
      <c r="DW12" s="288"/>
      <c r="DX12" s="288"/>
      <c r="DY12" s="288"/>
      <c r="DZ12" s="288"/>
      <c r="EA12" s="288"/>
      <c r="EB12" s="288"/>
      <c r="EC12" s="288"/>
      <c r="ED12" s="288"/>
      <c r="EE12" s="288"/>
      <c r="EF12" s="288"/>
      <c r="EG12" s="288"/>
      <c r="EH12" s="288"/>
      <c r="EI12" s="288"/>
      <c r="EJ12" s="288"/>
      <c r="EK12" s="288"/>
      <c r="EL12" s="288"/>
      <c r="EM12" s="288"/>
      <c r="EN12" s="288"/>
      <c r="EO12" s="288"/>
      <c r="EP12" s="288"/>
      <c r="EQ12" s="288"/>
      <c r="ER12" s="288"/>
      <c r="ES12" s="288"/>
      <c r="ET12" s="288"/>
      <c r="EU12" s="288"/>
      <c r="EV12" s="288"/>
      <c r="EW12" s="288"/>
      <c r="EX12" s="288"/>
      <c r="EY12" s="288"/>
      <c r="EZ12" s="288"/>
      <c r="FA12" s="288"/>
      <c r="FB12" s="288"/>
      <c r="FC12" s="288"/>
      <c r="FD12" s="288"/>
      <c r="FE12" s="288"/>
      <c r="FF12" s="288"/>
      <c r="FG12" s="288"/>
      <c r="FH12" s="288"/>
    </row>
    <row r="13" ht="14.25" customHeight="1">
      <c r="A13" s="289"/>
      <c r="B13" s="290" t="s">
        <v>10</v>
      </c>
      <c r="C13" s="291" t="s">
        <v>83</v>
      </c>
      <c r="D13" s="109"/>
      <c r="E13" s="291" t="s">
        <v>84</v>
      </c>
      <c r="F13" s="109"/>
      <c r="G13" s="291" t="s">
        <v>85</v>
      </c>
      <c r="H13" s="109"/>
      <c r="I13" s="291" t="s">
        <v>86</v>
      </c>
      <c r="J13" s="109"/>
      <c r="K13" s="291" t="s">
        <v>87</v>
      </c>
      <c r="L13" s="109"/>
      <c r="M13" s="291" t="s">
        <v>88</v>
      </c>
      <c r="N13" s="109"/>
      <c r="O13" s="291" t="s">
        <v>89</v>
      </c>
      <c r="P13" s="109"/>
      <c r="Q13" s="291" t="s">
        <v>90</v>
      </c>
      <c r="R13" s="109"/>
      <c r="S13" s="291" t="s">
        <v>91</v>
      </c>
      <c r="T13" s="109"/>
      <c r="U13" s="291" t="s">
        <v>92</v>
      </c>
      <c r="V13" s="109"/>
      <c r="W13" s="291" t="s">
        <v>93</v>
      </c>
      <c r="X13" s="109"/>
      <c r="Y13" s="291" t="s">
        <v>384</v>
      </c>
      <c r="Z13" s="109"/>
      <c r="AA13" s="292" t="s">
        <v>385</v>
      </c>
      <c r="AB13" s="293"/>
      <c r="AC13" s="293"/>
      <c r="AD13" s="293"/>
      <c r="AE13" s="293"/>
      <c r="AF13" s="293"/>
      <c r="AG13" s="293"/>
      <c r="AH13" s="293"/>
      <c r="AI13" s="293"/>
      <c r="AJ13" s="293"/>
      <c r="AK13" s="293"/>
      <c r="AL13" s="293"/>
      <c r="AM13" s="293"/>
      <c r="AN13" s="293"/>
      <c r="AO13" s="293"/>
      <c r="AP13" s="293"/>
      <c r="AQ13" s="293"/>
      <c r="AR13" s="293"/>
      <c r="AS13" s="293"/>
      <c r="AT13" s="293"/>
      <c r="AU13" s="293"/>
      <c r="AV13" s="293"/>
      <c r="AW13" s="293"/>
      <c r="AX13" s="293"/>
      <c r="AY13" s="293"/>
      <c r="AZ13" s="293"/>
      <c r="BA13" s="293"/>
      <c r="BB13" s="293"/>
      <c r="BC13" s="293"/>
      <c r="BD13" s="293"/>
      <c r="BE13" s="293"/>
      <c r="BF13" s="293"/>
      <c r="BG13" s="293"/>
      <c r="BH13" s="293"/>
      <c r="BI13" s="293"/>
      <c r="BJ13" s="293"/>
      <c r="BK13" s="293"/>
      <c r="BL13" s="293"/>
      <c r="BM13" s="293"/>
      <c r="BN13" s="293"/>
      <c r="BO13" s="293"/>
      <c r="BP13" s="293"/>
      <c r="BQ13" s="293"/>
      <c r="BR13" s="293"/>
      <c r="BS13" s="293"/>
      <c r="BT13" s="293"/>
      <c r="BU13" s="293"/>
      <c r="BV13" s="293"/>
      <c r="BW13" s="293"/>
      <c r="BX13" s="293"/>
      <c r="BY13" s="293"/>
      <c r="BZ13" s="293"/>
      <c r="CA13" s="293"/>
      <c r="CB13" s="293"/>
      <c r="CC13" s="293"/>
      <c r="CD13" s="293"/>
      <c r="CE13" s="293"/>
      <c r="CF13" s="293"/>
      <c r="CG13" s="293"/>
      <c r="CH13" s="293"/>
      <c r="CI13" s="293"/>
      <c r="CJ13" s="293"/>
      <c r="CK13" s="293"/>
      <c r="CL13" s="293"/>
      <c r="CM13" s="293"/>
      <c r="CN13" s="293"/>
      <c r="CO13" s="293"/>
      <c r="CP13" s="293"/>
      <c r="CQ13" s="293"/>
      <c r="CR13" s="293"/>
      <c r="CS13" s="293"/>
      <c r="CT13" s="293"/>
      <c r="CU13" s="293"/>
      <c r="CV13" s="293"/>
      <c r="CW13" s="293"/>
      <c r="CX13" s="293"/>
      <c r="CY13" s="293"/>
      <c r="CZ13" s="293"/>
      <c r="DA13" s="293"/>
      <c r="DB13" s="293"/>
      <c r="DC13" s="293"/>
      <c r="DD13" s="293"/>
      <c r="DE13" s="293"/>
      <c r="DF13" s="293"/>
      <c r="DG13" s="293"/>
      <c r="DH13" s="293"/>
      <c r="DI13" s="293"/>
      <c r="DJ13" s="293"/>
      <c r="DK13" s="293"/>
      <c r="DL13" s="293"/>
      <c r="DM13" s="293"/>
      <c r="DN13" s="293"/>
      <c r="DO13" s="293"/>
      <c r="DP13" s="288"/>
      <c r="DQ13" s="288"/>
      <c r="DR13" s="288" t="s">
        <v>386</v>
      </c>
      <c r="DS13" s="288"/>
      <c r="DT13" s="288"/>
      <c r="DU13" s="288"/>
      <c r="DV13" s="288"/>
      <c r="DW13" s="288"/>
      <c r="DX13" s="288"/>
      <c r="DY13" s="288"/>
      <c r="DZ13" s="288"/>
      <c r="EA13" s="288"/>
      <c r="EB13" s="288"/>
      <c r="EC13" s="288"/>
      <c r="ED13" s="288"/>
      <c r="EE13" s="288"/>
      <c r="EF13" s="288"/>
      <c r="EG13" s="288"/>
    </row>
    <row r="14" ht="14.25" customHeight="1">
      <c r="A14" s="294"/>
      <c r="B14" s="295"/>
      <c r="C14" s="296" t="s">
        <v>387</v>
      </c>
      <c r="D14" s="245" t="s">
        <v>388</v>
      </c>
      <c r="E14" s="296" t="s">
        <v>387</v>
      </c>
      <c r="F14" s="245" t="s">
        <v>388</v>
      </c>
      <c r="G14" s="296" t="s">
        <v>387</v>
      </c>
      <c r="H14" s="245" t="s">
        <v>388</v>
      </c>
      <c r="I14" s="296" t="s">
        <v>387</v>
      </c>
      <c r="J14" s="245" t="s">
        <v>388</v>
      </c>
      <c r="K14" s="296" t="s">
        <v>387</v>
      </c>
      <c r="L14" s="245" t="s">
        <v>388</v>
      </c>
      <c r="M14" s="296" t="s">
        <v>387</v>
      </c>
      <c r="N14" s="245" t="s">
        <v>388</v>
      </c>
      <c r="O14" s="296" t="s">
        <v>387</v>
      </c>
      <c r="P14" s="245" t="s">
        <v>388</v>
      </c>
      <c r="Q14" s="296" t="s">
        <v>387</v>
      </c>
      <c r="R14" s="245" t="s">
        <v>388</v>
      </c>
      <c r="S14" s="296" t="s">
        <v>387</v>
      </c>
      <c r="T14" s="245" t="s">
        <v>388</v>
      </c>
      <c r="U14" s="296" t="s">
        <v>387</v>
      </c>
      <c r="V14" s="245" t="s">
        <v>388</v>
      </c>
      <c r="W14" s="296" t="s">
        <v>387</v>
      </c>
      <c r="X14" s="245" t="s">
        <v>388</v>
      </c>
      <c r="Y14" s="296" t="s">
        <v>387</v>
      </c>
      <c r="Z14" s="245" t="s">
        <v>388</v>
      </c>
      <c r="AA14" s="293"/>
      <c r="AB14" s="293"/>
      <c r="AC14" s="293"/>
      <c r="AD14" s="293"/>
      <c r="AE14" s="293"/>
      <c r="AF14" s="293"/>
      <c r="AG14" s="293"/>
      <c r="AH14" s="293"/>
      <c r="AI14" s="293"/>
      <c r="AJ14" s="293"/>
      <c r="AK14" s="293"/>
      <c r="AL14" s="293"/>
      <c r="AM14" s="293"/>
      <c r="AN14" s="293"/>
      <c r="AO14" s="293"/>
      <c r="AP14" s="293"/>
      <c r="AQ14" s="293"/>
      <c r="AR14" s="293"/>
      <c r="AS14" s="293"/>
      <c r="AT14" s="293"/>
      <c r="AU14" s="293"/>
      <c r="AV14" s="293"/>
      <c r="AW14" s="293"/>
      <c r="AX14" s="293"/>
      <c r="AY14" s="293"/>
      <c r="AZ14" s="293"/>
      <c r="BA14" s="293"/>
      <c r="BB14" s="293"/>
      <c r="BC14" s="293"/>
      <c r="BD14" s="293"/>
      <c r="BE14" s="293"/>
      <c r="BF14" s="293"/>
      <c r="BG14" s="293"/>
      <c r="BH14" s="293"/>
      <c r="BI14" s="293"/>
      <c r="BJ14" s="293"/>
      <c r="BK14" s="293"/>
      <c r="BL14" s="293"/>
      <c r="BM14" s="293"/>
      <c r="BN14" s="293"/>
      <c r="BO14" s="293"/>
      <c r="BP14" s="293"/>
      <c r="BQ14" s="293"/>
      <c r="BR14" s="293"/>
      <c r="BS14" s="293"/>
      <c r="BT14" s="293"/>
      <c r="BU14" s="293"/>
      <c r="BV14" s="293"/>
      <c r="BW14" s="293"/>
      <c r="BX14" s="293"/>
      <c r="BY14" s="293"/>
      <c r="BZ14" s="293"/>
      <c r="CA14" s="293"/>
      <c r="CB14" s="293"/>
      <c r="CC14" s="293"/>
      <c r="CD14" s="293"/>
      <c r="CE14" s="293"/>
      <c r="CF14" s="293"/>
      <c r="CG14" s="293"/>
      <c r="CH14" s="293"/>
      <c r="CI14" s="293"/>
      <c r="CJ14" s="293"/>
      <c r="CK14" s="293"/>
      <c r="CL14" s="293"/>
      <c r="CM14" s="293"/>
      <c r="CN14" s="293"/>
      <c r="CO14" s="293"/>
      <c r="CP14" s="293"/>
      <c r="CQ14" s="293"/>
      <c r="CR14" s="293"/>
      <c r="CS14" s="293"/>
      <c r="CT14" s="293"/>
      <c r="CU14" s="293"/>
      <c r="CV14" s="293"/>
      <c r="CW14" s="293"/>
      <c r="CX14" s="293"/>
      <c r="CY14" s="293"/>
      <c r="CZ14" s="293"/>
      <c r="DA14" s="293"/>
      <c r="DB14" s="293"/>
      <c r="DC14" s="293"/>
      <c r="DD14" s="293"/>
      <c r="DE14" s="293"/>
      <c r="DF14" s="293"/>
      <c r="DG14" s="293"/>
      <c r="DH14" s="293"/>
      <c r="DI14" s="293"/>
      <c r="DJ14" s="293"/>
      <c r="DK14" s="293"/>
      <c r="DL14" s="293"/>
      <c r="DM14" s="293"/>
      <c r="DN14" s="293"/>
      <c r="DO14" s="293"/>
      <c r="DP14" s="288"/>
      <c r="DQ14" s="288"/>
      <c r="DR14" s="288" t="s">
        <v>386</v>
      </c>
      <c r="DS14" s="288"/>
      <c r="DT14" s="288"/>
      <c r="DU14" s="288"/>
      <c r="DV14" s="288"/>
      <c r="DW14" s="288"/>
      <c r="DX14" s="288"/>
      <c r="DY14" s="288"/>
      <c r="DZ14" s="288"/>
      <c r="EA14" s="288"/>
      <c r="EB14" s="288"/>
      <c r="EC14" s="288"/>
      <c r="ED14" s="288"/>
      <c r="EE14" s="288"/>
      <c r="EF14" s="288"/>
      <c r="EG14" s="288"/>
    </row>
    <row r="15" ht="14.25" customHeight="1">
      <c r="A15" s="294">
        <v>1.0</v>
      </c>
      <c r="B15" s="29" t="s">
        <v>21</v>
      </c>
      <c r="C15" s="297">
        <f>SQRT(2*E4*C4/('Sourcing_costs_LT_and stdv'!C6*$B$38))</f>
        <v>2571.353899</v>
      </c>
      <c r="D15" s="298">
        <f t="shared" ref="D15:D22" si="42">F4+I4+J4+K4+M4</f>
        <v>242652847.4</v>
      </c>
      <c r="E15" s="297">
        <f>SQRT(2*O4*Q4/('Sourcing_costs_LT_and stdv'!D6*$B$38))</f>
        <v>2210.108941</v>
      </c>
      <c r="F15" s="298">
        <f t="shared" ref="F15:F22" si="43">R4+U4+V4+W4+Y4</f>
        <v>212187916.5</v>
      </c>
      <c r="G15" s="297">
        <f>SQRT(2*AA4*AC4/('Sourcing_costs_LT_and stdv'!E6*$B$38))</f>
        <v>2257.695555</v>
      </c>
      <c r="H15" s="298">
        <f t="shared" ref="H15:H22" si="44">AD4+AG4+AH4+AI4+AK4</f>
        <v>268844862.2</v>
      </c>
      <c r="I15" s="297">
        <f>SQRT(2*AM4*AO4/($B$38*'Sourcing_costs_LT_and stdv'!F6))</f>
        <v>2126.609388</v>
      </c>
      <c r="J15" s="298">
        <f t="shared" ref="J15:J22" si="45">AP4+AS4+AT4+AU4+AW4</f>
        <v>182389432.2</v>
      </c>
      <c r="K15" s="297">
        <f>SQRT(2*AY4*BA4/($B$38*'Sourcing_costs_LT_and stdv'!G6))</f>
        <v>2078.382378</v>
      </c>
      <c r="L15" s="298">
        <f t="shared" ref="L15:L22" si="46">BB4+BE4+BF4+BG4+BI4</f>
        <v>175967639.2</v>
      </c>
      <c r="M15" s="297">
        <f>SQRT(2*BK4*BM4/($B$38*'Sourcing_costs_LT_and stdv'!H6))</f>
        <v>1922.729409</v>
      </c>
      <c r="N15" s="298">
        <f t="shared" ref="N15:N22" si="47">BN4+BQ4+BR4+BS4+BU4</f>
        <v>134718636.3</v>
      </c>
      <c r="O15" s="297">
        <f>SQRT(2*BW4*BY4/($B$38*'Sourcing_costs_LT_and stdv'!I6))</f>
        <v>1947.696392</v>
      </c>
      <c r="P15" s="298">
        <f t="shared" ref="P15:P22" si="48">BZ4+CC4+CD4+CE4+CG4</f>
        <v>109716118.3</v>
      </c>
      <c r="Q15" s="297">
        <f>SQRT(2*CI4*CK4/($B$38*'Sourcing_costs_LT_and stdv'!J6))</f>
        <v>1949.868193</v>
      </c>
      <c r="R15" s="298">
        <f t="shared" ref="R15:R22" si="49">CL4+CO4+CP4+CQ4+CS4</f>
        <v>122522456.2</v>
      </c>
      <c r="S15" s="297">
        <f>SQRT(2*CU4*CW4/($B$38*'Sourcing_costs_LT_and stdv'!K6))</f>
        <v>1839.015234</v>
      </c>
      <c r="T15" s="298">
        <f t="shared" ref="T15:T22" si="50">CX4+DA4+DB4+DC4+DE4</f>
        <v>157086037</v>
      </c>
      <c r="U15" s="297">
        <f>SQRT(2*DG4*DI4/($B$38*'Sourcing_costs_LT_and stdv'!L6))</f>
        <v>1862.720915</v>
      </c>
      <c r="V15" s="298">
        <f t="shared" ref="V15:V22" si="51">DJ4+DM4+DN4+DO4+DQ4</f>
        <v>92026767.99</v>
      </c>
      <c r="W15" s="297">
        <f>SQRT(2*DS4*DU4/($B$38*'Sourcing_costs_LT_and stdv'!M6))</f>
        <v>2060.390186</v>
      </c>
      <c r="X15" s="298">
        <f t="shared" ref="X15:X22" si="52">DV4+DY4+DZ4+EA4+EC4</f>
        <v>113427746.7</v>
      </c>
      <c r="Y15" s="297">
        <f>SQRT(2*EG4*EG4/($B$38*'Sourcing_costs_LT_and stdv'!N6))</f>
        <v>62.41300625</v>
      </c>
      <c r="Z15" s="298">
        <f t="shared" ref="Z15:Z22" si="53">EH4+EK4+EL4+EM4+EO4</f>
        <v>143301777.7</v>
      </c>
      <c r="AA15" s="299">
        <f>MAX(C15,E15,G15,I15,K15,M15,O15,Q15,S15,U15,W15,Y15)</f>
        <v>2571.353899</v>
      </c>
      <c r="AB15" s="293"/>
      <c r="AC15" s="293"/>
      <c r="AD15" s="293"/>
      <c r="AE15" s="293"/>
      <c r="AF15" s="293"/>
      <c r="AG15" s="293"/>
      <c r="AH15" s="293"/>
      <c r="AI15" s="293"/>
      <c r="AJ15" s="293"/>
      <c r="AK15" s="293"/>
      <c r="AL15" s="293"/>
      <c r="AM15" s="293"/>
      <c r="AN15" s="293"/>
      <c r="AO15" s="293"/>
      <c r="AP15" s="293"/>
      <c r="AQ15" s="293"/>
      <c r="AR15" s="293"/>
      <c r="AS15" s="293"/>
      <c r="AT15" s="293"/>
      <c r="AU15" s="293"/>
      <c r="AV15" s="293"/>
      <c r="AW15" s="293"/>
      <c r="AX15" s="293"/>
      <c r="AY15" s="293"/>
      <c r="AZ15" s="293"/>
      <c r="BA15" s="293"/>
      <c r="BB15" s="293"/>
      <c r="BC15" s="293"/>
      <c r="BD15" s="293"/>
      <c r="BE15" s="293"/>
      <c r="BF15" s="293"/>
      <c r="BG15" s="293"/>
      <c r="BH15" s="293"/>
      <c r="BI15" s="293"/>
      <c r="BJ15" s="293"/>
      <c r="BK15" s="293"/>
      <c r="BL15" s="293"/>
      <c r="BM15" s="293"/>
      <c r="BN15" s="293"/>
      <c r="BO15" s="293"/>
      <c r="BP15" s="293"/>
      <c r="BQ15" s="293"/>
      <c r="BR15" s="293"/>
      <c r="BS15" s="293"/>
      <c r="BT15" s="293"/>
      <c r="BU15" s="293"/>
      <c r="BV15" s="293"/>
      <c r="BW15" s="293"/>
      <c r="BX15" s="293"/>
      <c r="BY15" s="293"/>
      <c r="BZ15" s="293"/>
      <c r="CA15" s="293"/>
      <c r="CB15" s="293"/>
      <c r="CC15" s="293"/>
      <c r="CD15" s="293"/>
      <c r="CE15" s="293"/>
      <c r="CF15" s="293"/>
      <c r="CG15" s="293"/>
      <c r="CH15" s="293"/>
      <c r="CI15" s="293"/>
      <c r="CJ15" s="293"/>
      <c r="CK15" s="293"/>
      <c r="CL15" s="293"/>
      <c r="CM15" s="293"/>
      <c r="CN15" s="293"/>
      <c r="CO15" s="293"/>
      <c r="CP15" s="293"/>
      <c r="CQ15" s="293"/>
      <c r="CR15" s="293"/>
      <c r="CS15" s="293"/>
      <c r="CT15" s="293"/>
      <c r="CU15" s="293"/>
      <c r="CV15" s="293"/>
      <c r="CW15" s="293"/>
      <c r="CX15" s="293"/>
      <c r="CY15" s="293"/>
      <c r="CZ15" s="293"/>
      <c r="DA15" s="293"/>
      <c r="DB15" s="293"/>
      <c r="DC15" s="293"/>
      <c r="DD15" s="293"/>
      <c r="DE15" s="293"/>
      <c r="DF15" s="293"/>
      <c r="DG15" s="293"/>
      <c r="DH15" s="293"/>
      <c r="DI15" s="293"/>
      <c r="DJ15" s="293"/>
      <c r="DK15" s="293"/>
      <c r="DL15" s="293"/>
      <c r="DM15" s="293"/>
      <c r="DN15" s="293"/>
      <c r="DO15" s="293"/>
      <c r="DP15" s="288"/>
      <c r="DQ15" s="288"/>
      <c r="DR15" s="288" t="s">
        <v>386</v>
      </c>
      <c r="DS15" s="288"/>
      <c r="DT15" s="288"/>
      <c r="DU15" s="288"/>
      <c r="DV15" s="288"/>
      <c r="DW15" s="288"/>
      <c r="DX15" s="288"/>
      <c r="DY15" s="288"/>
      <c r="DZ15" s="288"/>
      <c r="EA15" s="288"/>
      <c r="EB15" s="288"/>
      <c r="EC15" s="288"/>
      <c r="ED15" s="288"/>
      <c r="EE15" s="288"/>
      <c r="EF15" s="288"/>
      <c r="EG15" s="288"/>
    </row>
    <row r="16" ht="14.25" customHeight="1">
      <c r="A16" s="294">
        <v>2.0</v>
      </c>
      <c r="B16" s="36" t="s">
        <v>23</v>
      </c>
      <c r="C16" s="297">
        <f>SQRT(2*E5*C4/('Sourcing_costs_LT_and stdv'!C6*$B$38))</f>
        <v>2675.746144</v>
      </c>
      <c r="D16" s="298">
        <f t="shared" si="42"/>
        <v>88460612.53</v>
      </c>
      <c r="E16" s="297">
        <f>SQRT(2*O5*Q5/('Sourcing_costs_LT_and stdv'!D7*$B$38))</f>
        <v>2908.581727</v>
      </c>
      <c r="F16" s="298">
        <f t="shared" si="43"/>
        <v>1609914607</v>
      </c>
      <c r="G16" s="297">
        <f>SQRT(2*AA5*AC5/('Sourcing_costs_LT_and stdv'!E7*$B$38))</f>
        <v>3621.749463</v>
      </c>
      <c r="H16" s="298">
        <f t="shared" si="44"/>
        <v>119798261.7</v>
      </c>
      <c r="I16" s="297">
        <f>SQRT(2*AM5*AO5/($B$38*'Sourcing_costs_LT_and stdv'!F7))</f>
        <v>3504.001746</v>
      </c>
      <c r="J16" s="298">
        <f t="shared" si="45"/>
        <v>114113143.9</v>
      </c>
      <c r="K16" s="297">
        <f>SQRT(2*AY5*BA5/($B$38*'Sourcing_costs_LT_and stdv'!G7))</f>
        <v>3846.306948</v>
      </c>
      <c r="L16" s="298">
        <f t="shared" si="46"/>
        <v>2313053320</v>
      </c>
      <c r="M16" s="297">
        <f>SQRT(2*BK5*BM5/($B$38*'Sourcing_costs_LT_and stdv'!H7))</f>
        <v>3498.968371</v>
      </c>
      <c r="N16" s="298">
        <f t="shared" si="47"/>
        <v>122643617.2</v>
      </c>
      <c r="O16" s="297">
        <f>SQRT(2*BW5*BY5/($B$38*'Sourcing_costs_LT_and stdv'!I7))</f>
        <v>3613.84637</v>
      </c>
      <c r="P16" s="298">
        <f t="shared" si="48"/>
        <v>198049951.1</v>
      </c>
      <c r="Q16" s="297">
        <f>SQRT(2*CI5*CK5/($B$38*'Sourcing_costs_LT_and stdv'!J7))</f>
        <v>3973.599729</v>
      </c>
      <c r="R16" s="298">
        <f t="shared" si="49"/>
        <v>146604682.1</v>
      </c>
      <c r="S16" s="297">
        <f>SQRT(2*CU5*CW5/($B$38*'Sourcing_costs_LT_and stdv'!K7))</f>
        <v>3439.440291</v>
      </c>
      <c r="T16" s="298">
        <f t="shared" si="50"/>
        <v>108977828.2</v>
      </c>
      <c r="U16" s="297">
        <f>SQRT(2*DG5*DI5/($B$38*'Sourcing_costs_LT_and stdv'!L7))</f>
        <v>2410.437219</v>
      </c>
      <c r="V16" s="298">
        <f t="shared" si="51"/>
        <v>102756361.4</v>
      </c>
      <c r="W16" s="297">
        <f>SQRT(2*DS5*DU5/($B$38*'Sourcing_costs_LT_and stdv'!M7))</f>
        <v>3457.222318</v>
      </c>
      <c r="X16" s="298">
        <f t="shared" si="52"/>
        <v>110374625</v>
      </c>
      <c r="Y16" s="297">
        <f>SQRT(2*EG5*EG5/($B$38*'Sourcing_costs_LT_and stdv'!N7))</f>
        <v>136.1669279</v>
      </c>
      <c r="Z16" s="298">
        <f t="shared" si="53"/>
        <v>114429043.8</v>
      </c>
      <c r="AA16" s="299">
        <f>MAX(C16,E16,G16,I16,K16,M16,O16,Q16,S16,U16,W16,Y16,)</f>
        <v>3973.599729</v>
      </c>
      <c r="AB16" s="293"/>
      <c r="AC16" s="293"/>
      <c r="AD16" s="293"/>
      <c r="AE16" s="293"/>
      <c r="AF16" s="293"/>
      <c r="AG16" s="293"/>
      <c r="AH16" s="293"/>
      <c r="AI16" s="293"/>
      <c r="AJ16" s="293"/>
      <c r="AK16" s="293"/>
      <c r="AL16" s="293"/>
      <c r="AM16" s="293"/>
      <c r="AN16" s="293"/>
      <c r="AO16" s="293"/>
      <c r="AP16" s="293"/>
      <c r="AQ16" s="293"/>
      <c r="AR16" s="293"/>
      <c r="AS16" s="293"/>
      <c r="AT16" s="293"/>
      <c r="AU16" s="293"/>
      <c r="AV16" s="293"/>
      <c r="AW16" s="293"/>
      <c r="AX16" s="293"/>
      <c r="AY16" s="293"/>
      <c r="AZ16" s="293"/>
      <c r="BA16" s="293"/>
      <c r="BB16" s="293"/>
      <c r="BC16" s="293"/>
      <c r="BD16" s="293"/>
      <c r="BE16" s="293"/>
      <c r="BF16" s="293"/>
      <c r="BG16" s="293"/>
      <c r="BH16" s="293"/>
      <c r="BI16" s="293"/>
      <c r="BJ16" s="293"/>
      <c r="BK16" s="293"/>
      <c r="BL16" s="293"/>
      <c r="BM16" s="293"/>
      <c r="BN16" s="293"/>
      <c r="BO16" s="293"/>
      <c r="BP16" s="293"/>
      <c r="BQ16" s="293"/>
      <c r="BR16" s="293"/>
      <c r="BS16" s="293"/>
      <c r="BT16" s="293"/>
      <c r="BU16" s="293"/>
      <c r="BV16" s="293"/>
      <c r="BW16" s="293"/>
      <c r="BX16" s="293"/>
      <c r="BY16" s="293"/>
      <c r="BZ16" s="293"/>
      <c r="CA16" s="293"/>
      <c r="CB16" s="293"/>
      <c r="CC16" s="293"/>
      <c r="CD16" s="293"/>
      <c r="CE16" s="293"/>
      <c r="CF16" s="293"/>
      <c r="CG16" s="293"/>
      <c r="CH16" s="293"/>
      <c r="CI16" s="293"/>
      <c r="CJ16" s="293"/>
      <c r="CK16" s="293"/>
      <c r="CL16" s="293"/>
      <c r="CM16" s="293"/>
      <c r="CN16" s="293"/>
      <c r="CO16" s="293"/>
      <c r="CP16" s="293"/>
      <c r="CQ16" s="293"/>
      <c r="CR16" s="293"/>
      <c r="CS16" s="293"/>
      <c r="CT16" s="293"/>
      <c r="CU16" s="293"/>
      <c r="CV16" s="293"/>
      <c r="CW16" s="293"/>
      <c r="CX16" s="293"/>
      <c r="CY16" s="293"/>
      <c r="CZ16" s="293"/>
      <c r="DA16" s="293"/>
      <c r="DB16" s="293"/>
      <c r="DC16" s="293"/>
      <c r="DD16" s="293"/>
      <c r="DE16" s="293"/>
      <c r="DF16" s="293"/>
      <c r="DG16" s="293"/>
      <c r="DH16" s="293"/>
      <c r="DI16" s="293"/>
      <c r="DJ16" s="293"/>
      <c r="DK16" s="293"/>
      <c r="DL16" s="293"/>
      <c r="DM16" s="293"/>
      <c r="DN16" s="293"/>
      <c r="DO16" s="293"/>
      <c r="DP16" s="288"/>
      <c r="DQ16" s="288"/>
      <c r="DR16" s="288" t="s">
        <v>386</v>
      </c>
      <c r="DS16" s="288"/>
      <c r="DT16" s="288"/>
      <c r="DU16" s="288"/>
      <c r="DV16" s="288"/>
      <c r="DW16" s="288"/>
      <c r="DX16" s="288"/>
      <c r="DY16" s="288"/>
      <c r="DZ16" s="288"/>
      <c r="EA16" s="288"/>
      <c r="EB16" s="288"/>
      <c r="EC16" s="288"/>
      <c r="ED16" s="288"/>
      <c r="EE16" s="288"/>
      <c r="EF16" s="288"/>
      <c r="EG16" s="288"/>
    </row>
    <row r="17" ht="14.25" customHeight="1">
      <c r="A17" s="294">
        <v>3.0</v>
      </c>
      <c r="B17" s="36" t="s">
        <v>25</v>
      </c>
      <c r="C17" s="297">
        <f>SQRT(2*E6*C5/('Sourcing_costs_LT_and stdv'!C7*$B$38))</f>
        <v>5342.35491</v>
      </c>
      <c r="D17" s="298">
        <f t="shared" si="42"/>
        <v>38815457.57</v>
      </c>
      <c r="E17" s="297">
        <f>SQRT(2*O6*Q6/('Sourcing_costs_LT_and stdv'!D8*$B$38))</f>
        <v>10.54345808</v>
      </c>
      <c r="F17" s="298">
        <f t="shared" si="43"/>
        <v>30638224.55</v>
      </c>
      <c r="G17" s="297">
        <f>SQRT(2*AA6*AC6/('Sourcing_costs_LT_and stdv'!E8*$B$38))</f>
        <v>9.561877099</v>
      </c>
      <c r="H17" s="298">
        <f t="shared" si="44"/>
        <v>39071937.45</v>
      </c>
      <c r="I17" s="297">
        <f>SQRT(2*AM6*AO6/($B$38*'Sourcing_costs_LT_and stdv'!F8))</f>
        <v>10.37823673</v>
      </c>
      <c r="J17" s="298">
        <f t="shared" si="45"/>
        <v>45763396.08</v>
      </c>
      <c r="K17" s="297">
        <f>SQRT(2*AY6*BA6/($B$38*'Sourcing_costs_LT_and stdv'!G8))</f>
        <v>11.13309726</v>
      </c>
      <c r="L17" s="298">
        <f t="shared" si="46"/>
        <v>51841134.5</v>
      </c>
      <c r="M17" s="297">
        <f>SQRT(2*BK6*BM6/($B$38*'Sourcing_costs_LT_and stdv'!H8))</f>
        <v>29.78466641</v>
      </c>
      <c r="N17" s="298">
        <f t="shared" si="47"/>
        <v>22666142.03</v>
      </c>
      <c r="O17" s="297">
        <f>SQRT(2*BW6*BY6/($B$38*'Sourcing_costs_LT_and stdv'!I8))</f>
        <v>41.14164183</v>
      </c>
      <c r="P17" s="298">
        <f t="shared" si="48"/>
        <v>40590590.39</v>
      </c>
      <c r="Q17" s="297">
        <f>SQRT(2*CI6*CK6/($B$38*'Sourcing_costs_LT_and stdv'!J8))</f>
        <v>9.120852829</v>
      </c>
      <c r="R17" s="298">
        <f t="shared" si="49"/>
        <v>35679961.48</v>
      </c>
      <c r="S17" s="297">
        <f>SQRT(2*CU6*CW6/($B$38*'Sourcing_costs_LT_and stdv'!K8))</f>
        <v>6.180564551</v>
      </c>
      <c r="T17" s="298">
        <f t="shared" si="50"/>
        <v>16921722.95</v>
      </c>
      <c r="U17" s="297">
        <f>SQRT(2*DG6*DI6/($B$38*'Sourcing_costs_LT_and stdv'!L8))</f>
        <v>39.86509522</v>
      </c>
      <c r="V17" s="298">
        <f t="shared" si="51"/>
        <v>39757256.69</v>
      </c>
      <c r="W17" s="297">
        <f>SQRT(2*DS6*DU6/($B$38*'Sourcing_costs_LT_and stdv'!M8))</f>
        <v>9.807835377</v>
      </c>
      <c r="X17" s="298">
        <f t="shared" si="52"/>
        <v>40503249.84</v>
      </c>
      <c r="Y17" s="297">
        <f>SQRT(2*EG6*EG6/($B$38*'Sourcing_costs_LT_and stdv'!N8))</f>
        <v>2.040191279</v>
      </c>
      <c r="Z17" s="298">
        <f t="shared" si="53"/>
        <v>69664313.08</v>
      </c>
      <c r="AA17" s="299">
        <f>MAX(C17,E17,G17,I17,K17,M17,O17,Q17,S17,U17,W17,Y17)</f>
        <v>5342.35491</v>
      </c>
      <c r="AB17" s="293"/>
      <c r="AC17" s="293"/>
      <c r="AD17" s="293"/>
      <c r="AE17" s="293"/>
      <c r="AF17" s="293"/>
      <c r="AG17" s="293"/>
      <c r="AH17" s="293"/>
      <c r="AI17" s="293"/>
      <c r="AJ17" s="293"/>
      <c r="AK17" s="293"/>
      <c r="AL17" s="293"/>
      <c r="AM17" s="293"/>
      <c r="AN17" s="293"/>
      <c r="AO17" s="293"/>
      <c r="AP17" s="293"/>
      <c r="AQ17" s="293"/>
      <c r="AR17" s="293"/>
      <c r="AS17" s="293"/>
      <c r="AT17" s="293"/>
      <c r="AU17" s="293"/>
      <c r="AV17" s="293"/>
      <c r="AW17" s="293"/>
      <c r="AX17" s="293"/>
      <c r="AY17" s="293"/>
      <c r="AZ17" s="293"/>
      <c r="BA17" s="293"/>
      <c r="BB17" s="293"/>
      <c r="BC17" s="293"/>
      <c r="BD17" s="293"/>
      <c r="BE17" s="293"/>
      <c r="BF17" s="293"/>
      <c r="BG17" s="293"/>
      <c r="BH17" s="293"/>
      <c r="BI17" s="293"/>
      <c r="BJ17" s="293"/>
      <c r="BK17" s="293"/>
      <c r="BL17" s="293"/>
      <c r="BM17" s="293"/>
      <c r="BN17" s="293"/>
      <c r="BO17" s="293"/>
      <c r="BP17" s="293"/>
      <c r="BQ17" s="293"/>
      <c r="BR17" s="293"/>
      <c r="BS17" s="293"/>
      <c r="BT17" s="293"/>
      <c r="BU17" s="293"/>
      <c r="BV17" s="293"/>
      <c r="BW17" s="293"/>
      <c r="BX17" s="293"/>
      <c r="BY17" s="293"/>
      <c r="BZ17" s="293"/>
      <c r="CA17" s="293"/>
      <c r="CB17" s="293"/>
      <c r="CC17" s="293"/>
      <c r="CD17" s="293"/>
      <c r="CE17" s="293"/>
      <c r="CF17" s="293"/>
      <c r="CG17" s="293"/>
      <c r="CH17" s="293"/>
      <c r="CI17" s="293"/>
      <c r="CJ17" s="293"/>
      <c r="CK17" s="293"/>
      <c r="CL17" s="293"/>
      <c r="CM17" s="293"/>
      <c r="CN17" s="293"/>
      <c r="CO17" s="293"/>
      <c r="CP17" s="293"/>
      <c r="CQ17" s="293"/>
      <c r="CR17" s="293"/>
      <c r="CS17" s="293"/>
      <c r="CT17" s="293"/>
      <c r="CU17" s="293"/>
      <c r="CV17" s="293"/>
      <c r="CW17" s="293"/>
      <c r="CX17" s="293"/>
      <c r="CY17" s="293"/>
      <c r="CZ17" s="293"/>
      <c r="DA17" s="293"/>
      <c r="DB17" s="293"/>
      <c r="DC17" s="293"/>
      <c r="DD17" s="293"/>
      <c r="DE17" s="293"/>
      <c r="DF17" s="293"/>
      <c r="DG17" s="293"/>
      <c r="DH17" s="293"/>
      <c r="DI17" s="293"/>
      <c r="DJ17" s="293"/>
      <c r="DK17" s="293"/>
      <c r="DL17" s="293"/>
      <c r="DM17" s="293"/>
      <c r="DN17" s="293"/>
      <c r="DO17" s="293"/>
      <c r="DP17" s="288"/>
      <c r="DQ17" s="288"/>
      <c r="DR17" s="288" t="s">
        <v>386</v>
      </c>
      <c r="DS17" s="288"/>
      <c r="DT17" s="288"/>
      <c r="DU17" s="288"/>
      <c r="DV17" s="288"/>
      <c r="DW17" s="288"/>
      <c r="DX17" s="288"/>
      <c r="DY17" s="288"/>
      <c r="DZ17" s="288"/>
      <c r="EA17" s="288"/>
      <c r="EB17" s="288"/>
      <c r="EC17" s="288"/>
      <c r="ED17" s="288"/>
      <c r="EE17" s="288"/>
      <c r="EF17" s="288"/>
      <c r="EG17" s="288"/>
    </row>
    <row r="18" ht="14.25" customHeight="1">
      <c r="A18" s="294">
        <v>4.0</v>
      </c>
      <c r="B18" s="36" t="s">
        <v>27</v>
      </c>
      <c r="C18" s="297">
        <f>SQRT(2*E7*C6/('Sourcing_costs_LT_and stdv'!C8*$B$38))</f>
        <v>4.487665194</v>
      </c>
      <c r="D18" s="298">
        <f t="shared" si="42"/>
        <v>32165880.63</v>
      </c>
      <c r="E18" s="297">
        <f>SQRT(2*O7*Q7/('Sourcing_costs_LT_and stdv'!D9*$B$38))</f>
        <v>4966.109137</v>
      </c>
      <c r="F18" s="298">
        <f t="shared" si="43"/>
        <v>27655263.66</v>
      </c>
      <c r="G18" s="297">
        <f>SQRT(2*AA7*AC7/('Sourcing_costs_LT_and stdv'!E9*$B$38))</f>
        <v>7047.358606</v>
      </c>
      <c r="H18" s="298">
        <f t="shared" si="44"/>
        <v>40399276.4</v>
      </c>
      <c r="I18" s="297">
        <f>SQRT(2*AM7*AO7/($B$38*'Sourcing_costs_LT_and stdv'!F9))</f>
        <v>7177.091014</v>
      </c>
      <c r="J18" s="298">
        <f t="shared" si="45"/>
        <v>42427773.12</v>
      </c>
      <c r="K18" s="297">
        <f>SQRT(2*AY7*BA7/($B$38*'Sourcing_costs_LT_and stdv'!G9))</f>
        <v>8197.913265</v>
      </c>
      <c r="L18" s="298">
        <f t="shared" si="46"/>
        <v>66364221.34</v>
      </c>
      <c r="M18" s="297">
        <f>SQRT(2*BK7*BM7/($B$38*'Sourcing_costs_LT_and stdv'!H9))</f>
        <v>4349.038714</v>
      </c>
      <c r="N18" s="298">
        <f t="shared" si="47"/>
        <v>47558605.34</v>
      </c>
      <c r="O18" s="297">
        <f>SQRT(2*BW7*BY7/($B$38*'Sourcing_costs_LT_and stdv'!I9))</f>
        <v>5938.679762</v>
      </c>
      <c r="P18" s="298">
        <f t="shared" si="48"/>
        <v>40159287.31</v>
      </c>
      <c r="Q18" s="297">
        <f>SQRT(2*CI7*CK7/($B$38*'Sourcing_costs_LT_and stdv'!J9))</f>
        <v>6807.918703</v>
      </c>
      <c r="R18" s="298">
        <f t="shared" si="49"/>
        <v>36982352.25</v>
      </c>
      <c r="S18" s="297">
        <f>SQRT(2*CU7*CW7/($B$38*'Sourcing_costs_LT_and stdv'!K9))</f>
        <v>6758.416757</v>
      </c>
      <c r="T18" s="298">
        <f t="shared" si="50"/>
        <v>36339027.63</v>
      </c>
      <c r="U18" s="297">
        <f>SQRT(2*DG7*DI7/($B$38*'Sourcing_costs_LT_and stdv'!L9))</f>
        <v>0</v>
      </c>
      <c r="V18" s="298">
        <f t="shared" si="51"/>
        <v>0</v>
      </c>
      <c r="W18" s="297">
        <f>SQRT(2*DS7*DU7/($B$38*'Sourcing_costs_LT_and stdv'!M9))</f>
        <v>0</v>
      </c>
      <c r="X18" s="298">
        <f t="shared" si="52"/>
        <v>0</v>
      </c>
      <c r="Y18" s="297">
        <f>SQRT(2*EG7*EG7/($B$38*'Sourcing_costs_LT_and stdv'!N9))</f>
        <v>0</v>
      </c>
      <c r="Z18" s="298">
        <f t="shared" si="53"/>
        <v>0</v>
      </c>
      <c r="AA18" s="299">
        <f>MAX(C18,E18,G18,I18,K18,M18,O18,Q18,S18,U18,W18,Y18,)</f>
        <v>8197.913265</v>
      </c>
      <c r="AB18" s="293"/>
      <c r="AC18" s="293"/>
      <c r="AD18" s="293"/>
      <c r="AE18" s="293"/>
      <c r="AF18" s="293"/>
      <c r="AG18" s="293"/>
      <c r="AH18" s="293"/>
      <c r="AI18" s="293"/>
      <c r="AJ18" s="293"/>
      <c r="AK18" s="293"/>
      <c r="AL18" s="293"/>
      <c r="AM18" s="293"/>
      <c r="AN18" s="293"/>
      <c r="AO18" s="293"/>
      <c r="AP18" s="293"/>
      <c r="AQ18" s="293"/>
      <c r="AR18" s="293"/>
      <c r="AS18" s="293"/>
      <c r="AT18" s="293"/>
      <c r="AU18" s="293"/>
      <c r="AV18" s="293"/>
      <c r="AW18" s="293"/>
      <c r="AX18" s="293"/>
      <c r="AY18" s="293"/>
      <c r="AZ18" s="293"/>
      <c r="BA18" s="293"/>
      <c r="BB18" s="293"/>
      <c r="BC18" s="293"/>
      <c r="BD18" s="293"/>
      <c r="BE18" s="293"/>
      <c r="BF18" s="293"/>
      <c r="BG18" s="293"/>
      <c r="BH18" s="293"/>
      <c r="BI18" s="293"/>
      <c r="BJ18" s="293"/>
      <c r="BK18" s="293"/>
      <c r="BL18" s="293"/>
      <c r="BM18" s="293"/>
      <c r="BN18" s="293"/>
      <c r="BO18" s="293"/>
      <c r="BP18" s="293"/>
      <c r="BQ18" s="293"/>
      <c r="BR18" s="293"/>
      <c r="BS18" s="293"/>
      <c r="BT18" s="293"/>
      <c r="BU18" s="293"/>
      <c r="BV18" s="293"/>
      <c r="BW18" s="293"/>
      <c r="BX18" s="293"/>
      <c r="BY18" s="293"/>
      <c r="BZ18" s="293"/>
      <c r="CA18" s="293"/>
      <c r="CB18" s="293"/>
      <c r="CC18" s="293"/>
      <c r="CD18" s="293"/>
      <c r="CE18" s="293"/>
      <c r="CF18" s="293"/>
      <c r="CG18" s="293"/>
      <c r="CH18" s="293"/>
      <c r="CI18" s="293"/>
      <c r="CJ18" s="293"/>
      <c r="CK18" s="293"/>
      <c r="CL18" s="293"/>
      <c r="CM18" s="293"/>
      <c r="CN18" s="293"/>
      <c r="CO18" s="293"/>
      <c r="CP18" s="293"/>
      <c r="CQ18" s="293"/>
      <c r="CR18" s="293"/>
      <c r="CS18" s="293"/>
      <c r="CT18" s="293"/>
      <c r="CU18" s="293"/>
      <c r="CV18" s="293"/>
      <c r="CW18" s="293"/>
      <c r="CX18" s="293"/>
      <c r="CY18" s="293"/>
      <c r="CZ18" s="293"/>
      <c r="DA18" s="293"/>
      <c r="DB18" s="293"/>
      <c r="DC18" s="293"/>
      <c r="DD18" s="293"/>
      <c r="DE18" s="293"/>
      <c r="DF18" s="293"/>
      <c r="DG18" s="293"/>
      <c r="DH18" s="293"/>
      <c r="DI18" s="293"/>
      <c r="DJ18" s="293"/>
      <c r="DK18" s="293"/>
      <c r="DL18" s="293"/>
      <c r="DM18" s="293"/>
      <c r="DN18" s="293"/>
      <c r="DO18" s="293"/>
      <c r="DP18" s="288"/>
      <c r="DQ18" s="288"/>
      <c r="DR18" s="288" t="s">
        <v>386</v>
      </c>
      <c r="DS18" s="288"/>
      <c r="DT18" s="288"/>
      <c r="DU18" s="288"/>
      <c r="DV18" s="288"/>
      <c r="DW18" s="288"/>
      <c r="DX18" s="288"/>
      <c r="DY18" s="288"/>
      <c r="DZ18" s="288"/>
      <c r="EA18" s="288"/>
      <c r="EB18" s="288"/>
      <c r="EC18" s="288"/>
      <c r="ED18" s="288"/>
      <c r="EE18" s="288"/>
      <c r="EF18" s="288"/>
      <c r="EG18" s="288"/>
    </row>
    <row r="19" ht="14.25" customHeight="1">
      <c r="A19" s="294">
        <v>5.0</v>
      </c>
      <c r="B19" s="36" t="s">
        <v>29</v>
      </c>
      <c r="C19" s="297">
        <f>SQRT(2*E8*C7/('Sourcing_costs_LT_and stdv'!C9*$B$38))</f>
        <v>3720.350711</v>
      </c>
      <c r="D19" s="298">
        <f t="shared" si="42"/>
        <v>10373949.9</v>
      </c>
      <c r="E19" s="297">
        <f>SQRT(2*O8*Q8/('Sourcing_costs_LT_and stdv'!D10*$B$38))</f>
        <v>430.5000478</v>
      </c>
      <c r="F19" s="298">
        <f t="shared" si="43"/>
        <v>20226127.4</v>
      </c>
      <c r="G19" s="297">
        <f>SQRT(2*AA8*AC8/('Sourcing_costs_LT_and stdv'!E10*$B$38))</f>
        <v>0</v>
      </c>
      <c r="H19" s="298">
        <f t="shared" si="44"/>
        <v>0</v>
      </c>
      <c r="I19" s="297">
        <f>SQRT(2*AM8*AO8/($B$38*'Sourcing_costs_LT_and stdv'!F10))</f>
        <v>0</v>
      </c>
      <c r="J19" s="298">
        <f t="shared" si="45"/>
        <v>0</v>
      </c>
      <c r="K19" s="297">
        <f>SQRT(2*AY8*BA8/($B$38*'Sourcing_costs_LT_and stdv'!G10))</f>
        <v>0</v>
      </c>
      <c r="L19" s="298">
        <f t="shared" si="46"/>
        <v>91356.93554</v>
      </c>
      <c r="M19" s="297">
        <f>SQRT(2*BK8*BM8/($B$38*'Sourcing_costs_LT_and stdv'!H10))</f>
        <v>809.7289465</v>
      </c>
      <c r="N19" s="298">
        <f t="shared" si="47"/>
        <v>25308400.07</v>
      </c>
      <c r="O19" s="297">
        <f>SQRT(2*BW8*BY8/($B$38*'Sourcing_costs_LT_and stdv'!I10))</f>
        <v>580.2337061</v>
      </c>
      <c r="P19" s="298">
        <f t="shared" si="48"/>
        <v>25482681.8</v>
      </c>
      <c r="Q19" s="297">
        <f>SQRT(2*CI8*CK8/($B$38*'Sourcing_costs_LT_and stdv'!J10))</f>
        <v>909.8938024</v>
      </c>
      <c r="R19" s="298">
        <f t="shared" si="49"/>
        <v>26832308.32</v>
      </c>
      <c r="S19" s="297">
        <f>SQRT(2*CU8*CW8/($B$38*'Sourcing_costs_LT_and stdv'!K10))</f>
        <v>829.8197068</v>
      </c>
      <c r="T19" s="298">
        <f t="shared" si="50"/>
        <v>18634888.51</v>
      </c>
      <c r="U19" s="297">
        <f>SQRT(2*DG8*DI8/($B$38*'Sourcing_costs_LT_and stdv'!L10))</f>
        <v>880.747919</v>
      </c>
      <c r="V19" s="298">
        <f t="shared" si="51"/>
        <v>21269154.07</v>
      </c>
      <c r="W19" s="297">
        <f>SQRT(2*DS8*DU8/($B$38*'Sourcing_costs_LT_and stdv'!M10))</f>
        <v>908.0972566</v>
      </c>
      <c r="X19" s="298">
        <f t="shared" si="52"/>
        <v>25272213.31</v>
      </c>
      <c r="Y19" s="297">
        <f>SQRT(2*EG8*EG8/($B$38*'Sourcing_costs_LT_and stdv'!N10))</f>
        <v>66.54832778</v>
      </c>
      <c r="Z19" s="298">
        <f t="shared" si="53"/>
        <v>15448502.93</v>
      </c>
      <c r="AA19" s="299">
        <f>MAX(C19,E19,G19,I19,K19,M19,O19,Q19,S19,U19,W19,Y19)</f>
        <v>3720.350711</v>
      </c>
      <c r="AB19" s="293"/>
      <c r="AC19" s="293"/>
      <c r="AD19" s="293"/>
      <c r="AE19" s="293"/>
      <c r="AF19" s="293"/>
      <c r="AG19" s="293"/>
      <c r="AH19" s="293"/>
      <c r="AI19" s="293"/>
      <c r="AJ19" s="293"/>
      <c r="AK19" s="293"/>
      <c r="AL19" s="293"/>
      <c r="AM19" s="293"/>
      <c r="AN19" s="293"/>
      <c r="AO19" s="293"/>
      <c r="AP19" s="293"/>
      <c r="AQ19" s="293"/>
      <c r="AR19" s="293"/>
      <c r="AS19" s="293"/>
      <c r="AT19" s="293"/>
      <c r="AU19" s="293"/>
      <c r="AV19" s="293"/>
      <c r="AW19" s="293"/>
      <c r="AX19" s="293"/>
      <c r="AY19" s="293"/>
      <c r="AZ19" s="293"/>
      <c r="BA19" s="293"/>
      <c r="BB19" s="293"/>
      <c r="BC19" s="293"/>
      <c r="BD19" s="293"/>
      <c r="BE19" s="293"/>
      <c r="BF19" s="293"/>
      <c r="BG19" s="293"/>
      <c r="BH19" s="293"/>
      <c r="BI19" s="293"/>
      <c r="BJ19" s="293"/>
      <c r="BK19" s="293"/>
      <c r="BL19" s="293"/>
      <c r="BM19" s="293"/>
      <c r="BN19" s="293"/>
      <c r="BO19" s="293"/>
      <c r="BP19" s="293"/>
      <c r="BQ19" s="293"/>
      <c r="BR19" s="293"/>
      <c r="BS19" s="293"/>
      <c r="BT19" s="293"/>
      <c r="BU19" s="293"/>
      <c r="BV19" s="293"/>
      <c r="BW19" s="293"/>
      <c r="BX19" s="293"/>
      <c r="BY19" s="293"/>
      <c r="BZ19" s="293"/>
      <c r="CA19" s="293"/>
      <c r="CB19" s="293"/>
      <c r="CC19" s="293"/>
      <c r="CD19" s="293"/>
      <c r="CE19" s="293"/>
      <c r="CF19" s="293"/>
      <c r="CG19" s="293"/>
      <c r="CH19" s="293"/>
      <c r="CI19" s="293"/>
      <c r="CJ19" s="293"/>
      <c r="CK19" s="293"/>
      <c r="CL19" s="293"/>
      <c r="CM19" s="293"/>
      <c r="CN19" s="293"/>
      <c r="CO19" s="293"/>
      <c r="CP19" s="293"/>
      <c r="CQ19" s="293"/>
      <c r="CR19" s="293"/>
      <c r="CS19" s="293"/>
      <c r="CT19" s="293"/>
      <c r="CU19" s="293"/>
      <c r="CV19" s="293"/>
      <c r="CW19" s="293"/>
      <c r="CX19" s="293"/>
      <c r="CY19" s="293"/>
      <c r="CZ19" s="293"/>
      <c r="DA19" s="293"/>
      <c r="DB19" s="293"/>
      <c r="DC19" s="293"/>
      <c r="DD19" s="293"/>
      <c r="DE19" s="293"/>
      <c r="DF19" s="293"/>
      <c r="DG19" s="293"/>
      <c r="DH19" s="293"/>
      <c r="DI19" s="293"/>
      <c r="DJ19" s="293"/>
      <c r="DK19" s="293"/>
      <c r="DL19" s="293"/>
      <c r="DM19" s="293"/>
      <c r="DN19" s="293"/>
      <c r="DO19" s="293"/>
      <c r="DP19" s="288"/>
      <c r="DQ19" s="288"/>
      <c r="DR19" s="288" t="s">
        <v>386</v>
      </c>
      <c r="DS19" s="288"/>
      <c r="DT19" s="288"/>
      <c r="DU19" s="288"/>
      <c r="DV19" s="288"/>
      <c r="DW19" s="288"/>
      <c r="DX19" s="288"/>
      <c r="DY19" s="288"/>
      <c r="DZ19" s="288"/>
      <c r="EA19" s="288"/>
      <c r="EB19" s="288"/>
      <c r="EC19" s="288"/>
      <c r="ED19" s="288"/>
      <c r="EE19" s="288"/>
      <c r="EF19" s="288"/>
      <c r="EG19" s="288"/>
    </row>
    <row r="20" ht="14.25" customHeight="1">
      <c r="A20" s="300">
        <v>6.0</v>
      </c>
      <c r="B20" s="36" t="s">
        <v>31</v>
      </c>
      <c r="C20" s="297">
        <f>SQRT(2*E9*C8/('Sourcing_costs_LT_and stdv'!C10*$B$38))</f>
        <v>908.0407156</v>
      </c>
      <c r="D20" s="298">
        <f t="shared" si="42"/>
        <v>5234027.73</v>
      </c>
      <c r="E20" s="297">
        <f>SQRT(2*O9*Q9/('Sourcing_costs_LT_and stdv'!D11*$B$38))</f>
        <v>13124.31433</v>
      </c>
      <c r="F20" s="298">
        <f t="shared" si="43"/>
        <v>6127091975</v>
      </c>
      <c r="G20" s="297">
        <f>SQRT(2*AA9*AC9/('Sourcing_costs_LT_and stdv'!E11*$B$38))</f>
        <v>6206.95458</v>
      </c>
      <c r="H20" s="298">
        <f t="shared" si="44"/>
        <v>9122832.745</v>
      </c>
      <c r="I20" s="297">
        <f>SQRT(2*AM9*AO9/($B$38*'Sourcing_costs_LT_and stdv'!F11))</f>
        <v>5708.670761</v>
      </c>
      <c r="J20" s="298">
        <f t="shared" si="45"/>
        <v>6659358.03</v>
      </c>
      <c r="K20" s="297">
        <f>SQRT(2*AY9*BA9/($B$38*'Sourcing_costs_LT_and stdv'!G11))</f>
        <v>6091.979089</v>
      </c>
      <c r="L20" s="298">
        <f t="shared" si="46"/>
        <v>12097759954</v>
      </c>
      <c r="M20" s="297">
        <f>SQRT(2*BK9*BM9/($B$38*'Sourcing_costs_LT_and stdv'!H11))</f>
        <v>6950.341983</v>
      </c>
      <c r="N20" s="298">
        <f t="shared" si="47"/>
        <v>11731907.93</v>
      </c>
      <c r="O20" s="297">
        <f>SQRT(2*BW9*BY9/($B$38*'Sourcing_costs_LT_and stdv'!I11))</f>
        <v>1706.993235</v>
      </c>
      <c r="P20" s="298">
        <f t="shared" si="48"/>
        <v>8698362.402</v>
      </c>
      <c r="Q20" s="297">
        <f>SQRT(2*CI9*CK9/($B$38*'Sourcing_costs_LT_and stdv'!J11))</f>
        <v>6064.02902</v>
      </c>
      <c r="R20" s="298">
        <f t="shared" si="49"/>
        <v>7980546.95</v>
      </c>
      <c r="S20" s="297">
        <f>SQRT(2*CU9*CW9/($B$38*'Sourcing_costs_LT_and stdv'!K11))</f>
        <v>5625.511482</v>
      </c>
      <c r="T20" s="298">
        <f t="shared" si="50"/>
        <v>5714971.153</v>
      </c>
      <c r="U20" s="297">
        <f>SQRT(2*DG9*DI9/($B$38*'Sourcing_costs_LT_and stdv'!L11))</f>
        <v>19210.85676</v>
      </c>
      <c r="V20" s="298">
        <f t="shared" si="51"/>
        <v>88244648.62</v>
      </c>
      <c r="W20" s="297">
        <f>SQRT(2*DS9*DU9/($B$38*'Sourcing_costs_LT_and stdv'!M11))</f>
        <v>4501.910629</v>
      </c>
      <c r="X20" s="298">
        <f t="shared" si="52"/>
        <v>6480361.712</v>
      </c>
      <c r="Y20" s="297">
        <f>SQRT(2*EG9*EG9/($B$38*'Sourcing_costs_LT_and stdv'!N11))</f>
        <v>1234.515521</v>
      </c>
      <c r="Z20" s="298">
        <f t="shared" si="53"/>
        <v>7789869.525</v>
      </c>
      <c r="AA20" s="299">
        <f>MAX(C20,E20,G20,I20,K20,M20,O20,Q20,S20,U20,W20,Y20,)</f>
        <v>19210.85676</v>
      </c>
      <c r="AB20" s="293"/>
      <c r="AC20" s="293"/>
      <c r="AD20" s="293"/>
      <c r="AE20" s="293"/>
      <c r="AF20" s="293"/>
      <c r="AG20" s="293"/>
      <c r="AH20" s="293"/>
      <c r="AI20" s="293"/>
      <c r="AJ20" s="293"/>
      <c r="AK20" s="293"/>
      <c r="AL20" s="293"/>
      <c r="AM20" s="293"/>
      <c r="AN20" s="293"/>
      <c r="AO20" s="293"/>
      <c r="AP20" s="293"/>
      <c r="AQ20" s="293"/>
      <c r="AR20" s="293"/>
      <c r="AS20" s="293"/>
      <c r="AT20" s="293"/>
      <c r="AU20" s="293"/>
      <c r="AV20" s="293"/>
      <c r="AW20" s="293"/>
      <c r="AX20" s="293"/>
      <c r="AY20" s="293"/>
      <c r="AZ20" s="293"/>
      <c r="BA20" s="293"/>
      <c r="BB20" s="293"/>
      <c r="BC20" s="293"/>
      <c r="BD20" s="293"/>
      <c r="BE20" s="293"/>
      <c r="BF20" s="293"/>
      <c r="BG20" s="293"/>
      <c r="BH20" s="293"/>
      <c r="BI20" s="293"/>
      <c r="BJ20" s="293"/>
      <c r="BK20" s="293"/>
      <c r="BL20" s="293"/>
      <c r="BM20" s="293"/>
      <c r="BN20" s="293"/>
      <c r="BO20" s="293"/>
      <c r="BP20" s="293"/>
      <c r="BQ20" s="293"/>
      <c r="BR20" s="293"/>
      <c r="BS20" s="293"/>
      <c r="BT20" s="293"/>
      <c r="BU20" s="293"/>
      <c r="BV20" s="293"/>
      <c r="BW20" s="293"/>
      <c r="BX20" s="293"/>
      <c r="BY20" s="293"/>
      <c r="BZ20" s="293"/>
      <c r="CA20" s="293"/>
      <c r="CB20" s="293"/>
      <c r="CC20" s="293"/>
      <c r="CD20" s="293"/>
      <c r="CE20" s="293"/>
      <c r="CF20" s="293"/>
      <c r="CG20" s="293"/>
      <c r="CH20" s="293"/>
      <c r="CI20" s="293"/>
      <c r="CJ20" s="293"/>
      <c r="CK20" s="293"/>
      <c r="CL20" s="293"/>
      <c r="CM20" s="293"/>
      <c r="CN20" s="293"/>
      <c r="CO20" s="293"/>
      <c r="CP20" s="293"/>
      <c r="CQ20" s="293"/>
      <c r="CR20" s="293"/>
      <c r="CS20" s="293"/>
      <c r="CT20" s="293"/>
      <c r="CU20" s="293"/>
      <c r="CV20" s="293"/>
      <c r="CW20" s="293"/>
      <c r="CX20" s="293"/>
      <c r="CY20" s="293"/>
      <c r="CZ20" s="293"/>
      <c r="DA20" s="293"/>
      <c r="DB20" s="293"/>
      <c r="DC20" s="293"/>
      <c r="DD20" s="293"/>
      <c r="DE20" s="293"/>
      <c r="DF20" s="293"/>
      <c r="DG20" s="293"/>
      <c r="DH20" s="293"/>
      <c r="DI20" s="293"/>
      <c r="DJ20" s="293"/>
      <c r="DK20" s="293"/>
      <c r="DL20" s="293"/>
      <c r="DM20" s="293"/>
      <c r="DN20" s="293"/>
      <c r="DO20" s="293"/>
      <c r="DP20" s="288"/>
      <c r="DQ20" s="288"/>
      <c r="DR20" s="288" t="s">
        <v>386</v>
      </c>
      <c r="DS20" s="288"/>
      <c r="DT20" s="288"/>
      <c r="DU20" s="288"/>
      <c r="DV20" s="288"/>
      <c r="DW20" s="288"/>
      <c r="DX20" s="288"/>
      <c r="DY20" s="288"/>
      <c r="DZ20" s="288"/>
      <c r="EA20" s="288"/>
      <c r="EB20" s="288"/>
      <c r="EC20" s="288"/>
      <c r="ED20" s="288"/>
      <c r="EE20" s="288"/>
      <c r="EF20" s="288"/>
      <c r="EG20" s="288"/>
    </row>
    <row r="21" ht="14.25" customHeight="1">
      <c r="A21" s="300">
        <v>7.0</v>
      </c>
      <c r="B21" s="36" t="s">
        <v>33</v>
      </c>
      <c r="C21" s="297">
        <f>SQRT(2*E10*C9/('Sourcing_costs_LT_and stdv'!C11*$B$38))</f>
        <v>12713.22172</v>
      </c>
      <c r="D21" s="298">
        <f t="shared" si="42"/>
        <v>747444.5453</v>
      </c>
      <c r="E21" s="297">
        <f>SQRT(2*O10*Q10/('Sourcing_costs_LT_and stdv'!D12*$B$38))</f>
        <v>0</v>
      </c>
      <c r="F21" s="298">
        <f t="shared" si="43"/>
        <v>0</v>
      </c>
      <c r="G21" s="297">
        <f>SQRT(2*AA10*AC10/('Sourcing_costs_LT_and stdv'!E12*$B$38))</f>
        <v>0</v>
      </c>
      <c r="H21" s="298">
        <f t="shared" si="44"/>
        <v>0</v>
      </c>
      <c r="I21" s="297">
        <f>SQRT(2*AM10*AO10/($B$38*'Sourcing_costs_LT_and stdv'!F12))</f>
        <v>0.5563207964</v>
      </c>
      <c r="J21" s="298">
        <f t="shared" si="45"/>
        <v>54393.67673</v>
      </c>
      <c r="K21" s="297">
        <f>SQRT(2*AY10*BA10/($B$38*'Sourcing_costs_LT_and stdv'!G12))</f>
        <v>0.3211919615</v>
      </c>
      <c r="L21" s="298">
        <f t="shared" si="46"/>
        <v>25073.54135</v>
      </c>
      <c r="M21" s="297">
        <f>SQRT(2*BK10*BM10/($B$38*'Sourcing_costs_LT_and stdv'!H12))</f>
        <v>0</v>
      </c>
      <c r="N21" s="298">
        <f t="shared" si="47"/>
        <v>0</v>
      </c>
      <c r="O21" s="297">
        <f>SQRT(2*BW10*BY10/($B$38*'Sourcing_costs_LT_and stdv'!I12))</f>
        <v>0</v>
      </c>
      <c r="P21" s="298">
        <f t="shared" si="48"/>
        <v>0</v>
      </c>
      <c r="Q21" s="297">
        <f>SQRT(2*CI10*CK10/($B$38*'Sourcing_costs_LT_and stdv'!J12))</f>
        <v>0.9084680563</v>
      </c>
      <c r="R21" s="298">
        <f t="shared" si="49"/>
        <v>112492.2944</v>
      </c>
      <c r="S21" s="297">
        <f>SQRT(2*CU10*CW10/($B$38*'Sourcing_costs_LT_and stdv'!K12))</f>
        <v>4.024523743</v>
      </c>
      <c r="T21" s="298">
        <f t="shared" si="50"/>
        <v>1873543.719</v>
      </c>
      <c r="U21" s="297">
        <f>SQRT(2*DG10*DI10/($B$38*'Sourcing_costs_LT_and stdv'!L12))</f>
        <v>6.694439947</v>
      </c>
      <c r="V21" s="298">
        <f t="shared" si="51"/>
        <v>2741487.833</v>
      </c>
      <c r="W21" s="297">
        <f>SQRT(2*DS10*DU10/($B$38*'Sourcing_costs_LT_and stdv'!M12))</f>
        <v>8.649767075</v>
      </c>
      <c r="X21" s="298">
        <f t="shared" si="52"/>
        <v>3994028.836</v>
      </c>
      <c r="Y21" s="297">
        <f>SQRT(2*EG10*EG10/($B$38*'Sourcing_costs_LT_and stdv'!N12))</f>
        <v>3.438019233</v>
      </c>
      <c r="Z21" s="298">
        <f t="shared" si="53"/>
        <v>1804413.297</v>
      </c>
      <c r="AA21" s="299">
        <f>MAX(C21,E21,G21,I21,K21,M21,O21,Q21,S21,U21,W21,Y21)</f>
        <v>12713.22172</v>
      </c>
      <c r="AB21" s="293"/>
      <c r="AC21" s="293"/>
      <c r="AD21" s="293"/>
      <c r="AE21" s="293"/>
      <c r="AF21" s="293"/>
      <c r="AG21" s="293"/>
      <c r="AH21" s="293"/>
      <c r="AI21" s="293"/>
      <c r="AJ21" s="293"/>
      <c r="AK21" s="293"/>
      <c r="AL21" s="293"/>
      <c r="AM21" s="293"/>
      <c r="AN21" s="293"/>
      <c r="AO21" s="293"/>
      <c r="AP21" s="293"/>
      <c r="AQ21" s="293"/>
      <c r="AR21" s="293"/>
      <c r="AS21" s="293"/>
      <c r="AT21" s="293"/>
      <c r="AU21" s="293"/>
      <c r="AV21" s="293"/>
      <c r="AW21" s="293"/>
      <c r="AX21" s="293"/>
      <c r="AY21" s="293"/>
      <c r="AZ21" s="293"/>
      <c r="BA21" s="293"/>
      <c r="BB21" s="293"/>
      <c r="BC21" s="293"/>
      <c r="BD21" s="293"/>
      <c r="BE21" s="293"/>
      <c r="BF21" s="293"/>
      <c r="BG21" s="293"/>
      <c r="BH21" s="293"/>
      <c r="BI21" s="293"/>
      <c r="BJ21" s="293"/>
      <c r="BK21" s="293"/>
      <c r="BL21" s="293"/>
      <c r="BM21" s="293"/>
      <c r="BN21" s="293"/>
      <c r="BO21" s="293"/>
      <c r="BP21" s="293"/>
      <c r="BQ21" s="293"/>
      <c r="BR21" s="293"/>
      <c r="BS21" s="293"/>
      <c r="BT21" s="293"/>
      <c r="BU21" s="293"/>
      <c r="BV21" s="293"/>
      <c r="BW21" s="293"/>
      <c r="BX21" s="293"/>
      <c r="BY21" s="293"/>
      <c r="BZ21" s="293"/>
      <c r="CA21" s="293"/>
      <c r="CB21" s="293"/>
      <c r="CC21" s="293"/>
      <c r="CD21" s="293"/>
      <c r="CE21" s="293"/>
      <c r="CF21" s="293"/>
      <c r="CG21" s="293"/>
      <c r="CH21" s="293"/>
      <c r="CI21" s="293"/>
      <c r="CJ21" s="293"/>
      <c r="CK21" s="293"/>
      <c r="CL21" s="293"/>
      <c r="CM21" s="293"/>
      <c r="CN21" s="293"/>
      <c r="CO21" s="293"/>
      <c r="CP21" s="293"/>
      <c r="CQ21" s="293"/>
      <c r="CR21" s="293"/>
      <c r="CS21" s="293"/>
      <c r="CT21" s="293"/>
      <c r="CU21" s="293"/>
      <c r="CV21" s="293"/>
      <c r="CW21" s="293"/>
      <c r="CX21" s="293"/>
      <c r="CY21" s="293"/>
      <c r="CZ21" s="293"/>
      <c r="DA21" s="293"/>
      <c r="DB21" s="293"/>
      <c r="DC21" s="293"/>
      <c r="DD21" s="293"/>
      <c r="DE21" s="293"/>
      <c r="DF21" s="293"/>
      <c r="DG21" s="293"/>
      <c r="DH21" s="293"/>
      <c r="DI21" s="293"/>
      <c r="DJ21" s="293"/>
      <c r="DK21" s="293"/>
      <c r="DL21" s="293"/>
      <c r="DM21" s="293"/>
      <c r="DN21" s="293"/>
      <c r="DO21" s="293"/>
      <c r="DP21" s="288"/>
      <c r="DQ21" s="288"/>
      <c r="DR21" s="288" t="s">
        <v>386</v>
      </c>
      <c r="DS21" s="288"/>
      <c r="DT21" s="288"/>
      <c r="DU21" s="288"/>
      <c r="DV21" s="288"/>
      <c r="DW21" s="288"/>
      <c r="DX21" s="288"/>
      <c r="DY21" s="288"/>
      <c r="DZ21" s="288"/>
      <c r="EA21" s="288"/>
      <c r="EB21" s="288"/>
      <c r="EC21" s="288"/>
      <c r="ED21" s="288"/>
      <c r="EE21" s="288"/>
      <c r="EF21" s="288"/>
      <c r="EG21" s="288"/>
    </row>
    <row r="22" ht="14.25" customHeight="1">
      <c r="A22" s="300">
        <v>8.0</v>
      </c>
      <c r="B22" s="39" t="s">
        <v>35</v>
      </c>
      <c r="C22" s="301">
        <f>SQRT(2*E11*C10/('Sourcing_costs_LT_and stdv'!C12*$B$38))</f>
        <v>1.463250971</v>
      </c>
      <c r="D22" s="302">
        <f t="shared" si="42"/>
        <v>436670217.3</v>
      </c>
      <c r="E22" s="301">
        <f>SQRT(2*O11*Q11/('Sourcing_costs_LT_and stdv'!D13*$B$38))</f>
        <v>215730.02</v>
      </c>
      <c r="F22" s="302">
        <f t="shared" si="43"/>
        <v>383151012.8</v>
      </c>
      <c r="G22" s="301">
        <f>SQRT(2*AA11*AC11/('Sourcing_costs_LT_and stdv'!E13*$B$38))</f>
        <v>98321.90834</v>
      </c>
      <c r="H22" s="302">
        <f t="shared" si="44"/>
        <v>665057165.4</v>
      </c>
      <c r="I22" s="301">
        <f>SQRT(2*AM11*AO11/($B$38*'Sourcing_costs_LT_and stdv'!F13))</f>
        <v>93544.00376</v>
      </c>
      <c r="J22" s="302">
        <f t="shared" si="45"/>
        <v>370253100.3</v>
      </c>
      <c r="K22" s="301">
        <f>SQRT(2*AY11*BA11/($B$38*'Sourcing_costs_LT_and stdv'!G13))</f>
        <v>237410.5129</v>
      </c>
      <c r="L22" s="302">
        <f t="shared" si="46"/>
        <v>449632863.8</v>
      </c>
      <c r="M22" s="301">
        <f>SQRT(2*BK11*BM11/($B$38*'Sourcing_costs_LT_and stdv'!H13))</f>
        <v>238967.7712</v>
      </c>
      <c r="N22" s="302">
        <f t="shared" si="47"/>
        <v>464177668.3</v>
      </c>
      <c r="O22" s="301">
        <f>SQRT(2*BW11*BY11/($B$38*'Sourcing_costs_LT_and stdv'!I13))</f>
        <v>25497.56211</v>
      </c>
      <c r="P22" s="302">
        <f t="shared" si="48"/>
        <v>422923070.6</v>
      </c>
      <c r="Q22" s="301">
        <f>SQRT(2*CI11*CK11/($B$38*'Sourcing_costs_LT_and stdv'!J13))</f>
        <v>93893.86568</v>
      </c>
      <c r="R22" s="302">
        <f t="shared" si="49"/>
        <v>416357550</v>
      </c>
      <c r="S22" s="301">
        <f>SQRT(2*CU11*CW11/($B$38*'Sourcing_costs_LT_and stdv'!K13))</f>
        <v>202267.3559</v>
      </c>
      <c r="T22" s="302">
        <f t="shared" si="50"/>
        <v>190511549.9</v>
      </c>
      <c r="U22" s="301">
        <f>SQRT(2*DG11*DI11/($B$38*'Sourcing_costs_LT_and stdv'!L13))</f>
        <v>175933.0976</v>
      </c>
      <c r="V22" s="302">
        <f t="shared" si="51"/>
        <v>91371048.97</v>
      </c>
      <c r="W22" s="301">
        <f>SQRT(2*DS11*DU11/($B$38*'Sourcing_costs_LT_and stdv'!M13))</f>
        <v>70404.99734</v>
      </c>
      <c r="X22" s="302">
        <f t="shared" si="52"/>
        <v>79747245.03</v>
      </c>
      <c r="Y22" s="301">
        <f>SQRT(2*EG11*EG11/($B$38*'Sourcing_costs_LT_and stdv'!N13))</f>
        <v>18839.43108</v>
      </c>
      <c r="Z22" s="302">
        <f t="shared" si="53"/>
        <v>85335259.65</v>
      </c>
      <c r="AA22" s="299">
        <f>MAX(C22,E22,G22,I22,K22,M22,O22,Q22,S22,U22,W22,Y22,)</f>
        <v>238967.7712</v>
      </c>
      <c r="AB22" s="293"/>
      <c r="AC22" s="293"/>
      <c r="AD22" s="293"/>
      <c r="AE22" s="293"/>
      <c r="AF22" s="293"/>
      <c r="AG22" s="293"/>
      <c r="AH22" s="293"/>
      <c r="AI22" s="293"/>
      <c r="AJ22" s="293"/>
      <c r="AK22" s="293"/>
      <c r="AL22" s="293"/>
      <c r="AM22" s="293"/>
      <c r="AN22" s="293"/>
      <c r="AO22" s="293"/>
      <c r="AP22" s="293"/>
      <c r="AQ22" s="293"/>
      <c r="AR22" s="293"/>
      <c r="AS22" s="293"/>
      <c r="AT22" s="293"/>
      <c r="AU22" s="293"/>
      <c r="AV22" s="293"/>
      <c r="AW22" s="293"/>
      <c r="AX22" s="293"/>
      <c r="AY22" s="293"/>
      <c r="AZ22" s="293"/>
      <c r="BA22" s="293"/>
      <c r="BB22" s="293"/>
      <c r="BC22" s="293"/>
      <c r="BD22" s="293"/>
      <c r="BE22" s="293"/>
      <c r="BF22" s="293"/>
      <c r="BG22" s="293"/>
      <c r="BH22" s="293"/>
      <c r="BI22" s="293"/>
      <c r="BJ22" s="293"/>
      <c r="BK22" s="293"/>
      <c r="BL22" s="293"/>
      <c r="BM22" s="293"/>
      <c r="BN22" s="293"/>
      <c r="BO22" s="293"/>
      <c r="BP22" s="293"/>
      <c r="BQ22" s="293"/>
      <c r="BR22" s="293"/>
      <c r="BS22" s="293"/>
      <c r="BT22" s="293"/>
      <c r="BU22" s="293"/>
      <c r="BV22" s="293"/>
      <c r="BW22" s="293"/>
      <c r="BX22" s="293"/>
      <c r="BY22" s="293"/>
      <c r="BZ22" s="293"/>
      <c r="CA22" s="293"/>
      <c r="CB22" s="293"/>
      <c r="CC22" s="293"/>
      <c r="CD22" s="293"/>
      <c r="CE22" s="293"/>
      <c r="CF22" s="293"/>
      <c r="CG22" s="293"/>
      <c r="CH22" s="293"/>
      <c r="CI22" s="293"/>
      <c r="CJ22" s="293"/>
      <c r="CK22" s="293"/>
      <c r="CL22" s="293"/>
      <c r="CM22" s="293"/>
      <c r="CN22" s="293"/>
      <c r="CO22" s="293"/>
      <c r="CP22" s="293"/>
      <c r="CQ22" s="293"/>
      <c r="CR22" s="293"/>
      <c r="CS22" s="293"/>
      <c r="CT22" s="293"/>
      <c r="CU22" s="293"/>
      <c r="CV22" s="293"/>
      <c r="CW22" s="293"/>
      <c r="CX22" s="293"/>
      <c r="CY22" s="293"/>
      <c r="CZ22" s="293"/>
      <c r="DA22" s="293"/>
      <c r="DB22" s="293"/>
      <c r="DC22" s="293"/>
      <c r="DD22" s="293"/>
      <c r="DE22" s="293"/>
      <c r="DF22" s="293"/>
      <c r="DG22" s="293"/>
      <c r="DH22" s="293"/>
      <c r="DI22" s="293"/>
      <c r="DJ22" s="293"/>
      <c r="DK22" s="293"/>
      <c r="DL22" s="293"/>
      <c r="DM22" s="293"/>
      <c r="DN22" s="293"/>
      <c r="DO22" s="293"/>
      <c r="DP22" s="288"/>
      <c r="DQ22" s="288"/>
      <c r="DR22" s="288" t="s">
        <v>386</v>
      </c>
      <c r="DS22" s="288"/>
      <c r="DT22" s="288"/>
      <c r="DU22" s="288"/>
      <c r="DV22" s="288"/>
      <c r="DW22" s="288"/>
      <c r="DX22" s="288"/>
      <c r="DY22" s="288"/>
      <c r="DZ22" s="288"/>
      <c r="EA22" s="288"/>
      <c r="EB22" s="288"/>
      <c r="EC22" s="288"/>
      <c r="ED22" s="288"/>
      <c r="EE22" s="288"/>
      <c r="EF22" s="288"/>
      <c r="EG22" s="288"/>
    </row>
    <row r="23" ht="15.0" customHeight="1">
      <c r="A23" s="303"/>
      <c r="B23" s="303"/>
      <c r="C23" s="286"/>
      <c r="D23" s="286"/>
      <c r="E23" s="286"/>
      <c r="F23" s="286"/>
      <c r="G23" s="286"/>
      <c r="H23" s="286"/>
      <c r="I23" s="286"/>
      <c r="J23" s="286"/>
      <c r="K23" s="286"/>
      <c r="L23" s="286"/>
      <c r="M23" s="286"/>
      <c r="N23" s="286"/>
      <c r="O23" s="286"/>
      <c r="P23" s="286"/>
      <c r="Q23" s="286"/>
      <c r="R23" s="286"/>
      <c r="S23" s="286"/>
      <c r="T23" s="286"/>
      <c r="U23" s="286"/>
      <c r="V23" s="286"/>
      <c r="W23" s="286"/>
      <c r="X23" s="286"/>
      <c r="Y23" s="286"/>
      <c r="Z23" s="286"/>
      <c r="AA23" s="286"/>
      <c r="AB23" s="286"/>
      <c r="AC23" s="286"/>
      <c r="AD23" s="293"/>
      <c r="AE23" s="293"/>
      <c r="AF23" s="293"/>
      <c r="AG23" s="293"/>
      <c r="AH23" s="293"/>
      <c r="AI23" s="293"/>
      <c r="AJ23" s="293"/>
      <c r="AK23" s="293"/>
      <c r="AL23" s="293"/>
      <c r="AM23" s="293"/>
      <c r="AN23" s="293"/>
      <c r="AO23" s="293"/>
      <c r="AP23" s="293"/>
      <c r="AQ23" s="293"/>
      <c r="AR23" s="293"/>
      <c r="AS23" s="293"/>
      <c r="AT23" s="293"/>
      <c r="AU23" s="293"/>
      <c r="AV23" s="293"/>
      <c r="AW23" s="293"/>
      <c r="AX23" s="293"/>
      <c r="AY23" s="293"/>
      <c r="AZ23" s="293"/>
      <c r="BA23" s="293"/>
      <c r="BB23" s="293"/>
      <c r="BC23" s="293"/>
      <c r="BD23" s="293"/>
      <c r="BE23" s="293"/>
      <c r="BF23" s="293"/>
      <c r="BG23" s="293"/>
      <c r="BH23" s="293"/>
      <c r="BI23" s="293"/>
      <c r="BJ23" s="293"/>
      <c r="BK23" s="293"/>
      <c r="BL23" s="293"/>
      <c r="BM23" s="293"/>
      <c r="BN23" s="293"/>
      <c r="BO23" s="293"/>
      <c r="BP23" s="293"/>
      <c r="BQ23" s="293"/>
      <c r="BR23" s="293"/>
      <c r="BS23" s="293"/>
      <c r="BT23" s="293"/>
      <c r="BU23" s="293"/>
      <c r="BV23" s="293"/>
      <c r="BW23" s="293"/>
      <c r="BX23" s="293"/>
      <c r="BY23" s="293"/>
      <c r="BZ23" s="293"/>
      <c r="CA23" s="293"/>
      <c r="CB23" s="293"/>
      <c r="CC23" s="293"/>
      <c r="CD23" s="293"/>
      <c r="CE23" s="293"/>
      <c r="CF23" s="293"/>
      <c r="CG23" s="293"/>
      <c r="CH23" s="293"/>
      <c r="CI23" s="293"/>
      <c r="CJ23" s="293"/>
      <c r="CK23" s="293"/>
      <c r="CL23" s="293"/>
      <c r="CM23" s="293"/>
      <c r="CN23" s="293"/>
      <c r="CO23" s="293"/>
      <c r="CP23" s="293"/>
      <c r="CQ23" s="293"/>
      <c r="CR23" s="293"/>
      <c r="CS23" s="293"/>
      <c r="CT23" s="293"/>
      <c r="CU23" s="293"/>
      <c r="CV23" s="293"/>
      <c r="CW23" s="293"/>
      <c r="CX23" s="293"/>
      <c r="CY23" s="293"/>
      <c r="CZ23" s="293"/>
      <c r="DA23" s="293"/>
      <c r="DB23" s="293"/>
      <c r="DC23" s="293"/>
      <c r="DD23" s="293"/>
      <c r="DE23" s="293"/>
      <c r="DF23" s="293"/>
      <c r="DG23" s="293"/>
      <c r="DH23" s="293"/>
      <c r="DI23" s="293"/>
      <c r="DJ23" s="293"/>
      <c r="DK23" s="293"/>
      <c r="DL23" s="293"/>
      <c r="DM23" s="293"/>
      <c r="DN23" s="293"/>
      <c r="DO23" s="293"/>
      <c r="DP23" s="293"/>
      <c r="DQ23" s="293"/>
      <c r="DR23" s="293"/>
      <c r="DS23" s="288"/>
      <c r="DT23" s="288"/>
      <c r="DU23" s="288"/>
      <c r="DV23" s="288"/>
      <c r="DW23" s="288"/>
      <c r="DX23" s="288"/>
      <c r="DY23" s="288"/>
      <c r="DZ23" s="288"/>
      <c r="EA23" s="288"/>
      <c r="EB23" s="288"/>
      <c r="EC23" s="288"/>
      <c r="ED23" s="288"/>
      <c r="EE23" s="288"/>
      <c r="EF23" s="288"/>
      <c r="EG23" s="288"/>
      <c r="EH23" s="288"/>
      <c r="EI23" s="288"/>
      <c r="EJ23" s="288"/>
      <c r="EK23" s="288"/>
      <c r="EL23" s="288"/>
      <c r="EM23" s="288"/>
      <c r="EN23" s="288"/>
      <c r="EO23" s="288"/>
      <c r="EP23" s="288"/>
      <c r="EQ23" s="288"/>
      <c r="ER23" s="288"/>
      <c r="ES23" s="288"/>
      <c r="ET23" s="288"/>
      <c r="EU23" s="288"/>
      <c r="EV23" s="288"/>
      <c r="EW23" s="288"/>
      <c r="EX23" s="288"/>
      <c r="EY23" s="288"/>
      <c r="EZ23" s="288"/>
      <c r="FA23" s="288"/>
      <c r="FB23" s="288"/>
      <c r="FC23" s="288"/>
      <c r="FD23" s="288"/>
      <c r="FE23" s="288"/>
      <c r="FF23" s="288"/>
      <c r="FG23" s="288"/>
      <c r="FH23" s="288"/>
    </row>
    <row r="24" ht="14.25" customHeight="1">
      <c r="A24" s="304" t="s">
        <v>389</v>
      </c>
      <c r="B24" s="305">
        <f>SUM(B27:B36)</f>
        <v>95761.35</v>
      </c>
      <c r="C24" s="292"/>
      <c r="D24" s="293"/>
      <c r="E24" s="293"/>
      <c r="F24" s="293"/>
      <c r="G24" s="293"/>
      <c r="H24" s="293"/>
      <c r="I24" s="306"/>
      <c r="J24" s="293"/>
      <c r="K24" s="293"/>
      <c r="L24" s="293"/>
      <c r="M24" s="293"/>
      <c r="N24" s="293"/>
      <c r="O24" s="293"/>
      <c r="P24" s="293"/>
      <c r="Q24" s="293"/>
      <c r="R24" s="293"/>
      <c r="S24" s="293"/>
      <c r="T24" s="293"/>
      <c r="U24" s="293"/>
      <c r="V24" s="293"/>
      <c r="W24" s="293"/>
      <c r="X24" s="293"/>
      <c r="Y24" s="293"/>
      <c r="Z24" s="293"/>
      <c r="AA24" s="293"/>
      <c r="AB24" s="293"/>
      <c r="AC24" s="293"/>
      <c r="AD24" s="293"/>
      <c r="AE24" s="293"/>
      <c r="AF24" s="293"/>
      <c r="AG24" s="293"/>
      <c r="AH24" s="293"/>
      <c r="AI24" s="293"/>
      <c r="AJ24" s="293"/>
      <c r="AK24" s="293"/>
      <c r="AL24" s="293"/>
      <c r="AM24" s="293"/>
      <c r="AN24" s="293"/>
      <c r="AO24" s="293"/>
      <c r="AP24" s="293"/>
      <c r="AQ24" s="293"/>
      <c r="AR24" s="293"/>
      <c r="AS24" s="293"/>
      <c r="AT24" s="293"/>
      <c r="AU24" s="293"/>
      <c r="AV24" s="293"/>
      <c r="AW24" s="293"/>
      <c r="AX24" s="293"/>
      <c r="AY24" s="293"/>
      <c r="AZ24" s="293"/>
      <c r="BA24" s="293"/>
      <c r="BB24" s="293"/>
      <c r="BC24" s="293"/>
      <c r="BD24" s="293"/>
      <c r="BE24" s="293"/>
      <c r="BF24" s="293"/>
      <c r="BG24" s="293"/>
      <c r="BH24" s="293"/>
      <c r="BI24" s="293"/>
      <c r="BJ24" s="293"/>
      <c r="BK24" s="293"/>
      <c r="BL24" s="293"/>
      <c r="BM24" s="293"/>
      <c r="BN24" s="293"/>
      <c r="BO24" s="293"/>
      <c r="BP24" s="293"/>
      <c r="BQ24" s="293"/>
      <c r="BR24" s="293"/>
      <c r="BS24" s="293"/>
      <c r="BT24" s="293"/>
      <c r="BU24" s="293"/>
      <c r="BV24" s="293"/>
      <c r="BW24" s="293"/>
      <c r="BX24" s="293"/>
      <c r="BY24" s="293"/>
      <c r="BZ24" s="293"/>
      <c r="CA24" s="293"/>
      <c r="CB24" s="293"/>
      <c r="CC24" s="293"/>
      <c r="CD24" s="293"/>
      <c r="CE24" s="293"/>
      <c r="CF24" s="293"/>
      <c r="CG24" s="293"/>
      <c r="CH24" s="293"/>
      <c r="CI24" s="293"/>
      <c r="CJ24" s="293"/>
      <c r="CK24" s="293"/>
      <c r="CL24" s="293"/>
      <c r="CM24" s="293"/>
      <c r="CN24" s="293"/>
      <c r="CO24" s="293"/>
      <c r="CP24" s="293"/>
      <c r="CQ24" s="293"/>
      <c r="CR24" s="293"/>
      <c r="CS24" s="293"/>
      <c r="CT24" s="293"/>
      <c r="CU24" s="293"/>
      <c r="CV24" s="293"/>
      <c r="CW24" s="293"/>
      <c r="CX24" s="293"/>
      <c r="CY24" s="293"/>
      <c r="CZ24" s="293"/>
      <c r="DA24" s="293"/>
      <c r="DB24" s="293"/>
      <c r="DC24" s="293"/>
      <c r="DD24" s="293"/>
      <c r="DE24" s="293"/>
      <c r="DF24" s="293"/>
      <c r="DG24" s="293"/>
      <c r="DH24" s="293"/>
      <c r="DI24" s="293"/>
      <c r="DJ24" s="293"/>
      <c r="DK24" s="293"/>
      <c r="DL24" s="293"/>
      <c r="DM24" s="293"/>
      <c r="DN24" s="293"/>
      <c r="DO24" s="293"/>
      <c r="DP24" s="293"/>
      <c r="DQ24" s="293"/>
      <c r="DR24" s="293"/>
      <c r="DS24" s="288"/>
      <c r="DT24" s="288"/>
      <c r="DU24" s="288"/>
      <c r="DV24" s="288"/>
      <c r="DW24" s="288"/>
      <c r="DX24" s="288"/>
      <c r="DY24" s="288"/>
      <c r="DZ24" s="288"/>
      <c r="EA24" s="288"/>
      <c r="EB24" s="288"/>
      <c r="EC24" s="288"/>
      <c r="ED24" s="288"/>
      <c r="EE24" s="288"/>
      <c r="EF24" s="288"/>
      <c r="EG24" s="288"/>
      <c r="EH24" s="288"/>
      <c r="EI24" s="288"/>
      <c r="EJ24" s="288"/>
      <c r="EK24" s="288"/>
      <c r="EL24" s="288"/>
      <c r="EM24" s="288"/>
      <c r="EN24" s="288"/>
      <c r="EO24" s="288"/>
      <c r="EP24" s="288"/>
      <c r="EQ24" s="288"/>
      <c r="ER24" s="288"/>
      <c r="ES24" s="288"/>
      <c r="ET24" s="288"/>
      <c r="EU24" s="288"/>
      <c r="EV24" s="288"/>
      <c r="EW24" s="288"/>
      <c r="EX24" s="288"/>
      <c r="EY24" s="288"/>
      <c r="EZ24" s="288"/>
      <c r="FA24" s="288"/>
      <c r="FB24" s="288"/>
      <c r="FC24" s="288"/>
      <c r="FD24" s="288"/>
      <c r="FE24" s="288"/>
      <c r="FF24" s="288"/>
      <c r="FG24" s="288"/>
      <c r="FH24" s="288"/>
    </row>
    <row r="25" ht="14.25" customHeight="1">
      <c r="A25" s="287"/>
      <c r="B25" s="287"/>
      <c r="C25" s="293"/>
      <c r="D25" s="293"/>
      <c r="E25" s="293"/>
      <c r="F25" s="293"/>
      <c r="G25" s="293"/>
      <c r="H25" s="293"/>
      <c r="I25" s="293"/>
      <c r="J25" s="293"/>
      <c r="K25" s="293"/>
      <c r="L25" s="293"/>
      <c r="M25" s="293"/>
      <c r="N25" s="293"/>
      <c r="O25" s="293"/>
      <c r="P25" s="293"/>
      <c r="Q25" s="293"/>
      <c r="R25" s="293"/>
      <c r="S25" s="293"/>
      <c r="T25" s="293"/>
      <c r="U25" s="293"/>
      <c r="V25" s="293"/>
      <c r="W25" s="293"/>
      <c r="X25" s="293"/>
      <c r="Y25" s="293"/>
      <c r="Z25" s="293"/>
      <c r="AA25" s="293"/>
      <c r="AB25" s="293"/>
      <c r="AC25" s="293"/>
      <c r="AD25" s="293"/>
      <c r="AE25" s="293"/>
      <c r="AF25" s="293"/>
      <c r="AG25" s="293"/>
      <c r="AH25" s="293"/>
      <c r="AI25" s="293"/>
      <c r="AJ25" s="293"/>
      <c r="AK25" s="293"/>
      <c r="AL25" s="293"/>
      <c r="AM25" s="293"/>
      <c r="AN25" s="293"/>
      <c r="AO25" s="293"/>
      <c r="AP25" s="293"/>
      <c r="AQ25" s="293"/>
      <c r="AR25" s="293"/>
      <c r="AS25" s="293"/>
      <c r="AT25" s="293"/>
      <c r="AU25" s="293"/>
      <c r="AV25" s="293"/>
      <c r="AW25" s="293"/>
      <c r="AX25" s="293"/>
      <c r="AY25" s="293"/>
      <c r="AZ25" s="293"/>
      <c r="BA25" s="293"/>
      <c r="BB25" s="293"/>
      <c r="BC25" s="293"/>
      <c r="BD25" s="293"/>
      <c r="BE25" s="293"/>
      <c r="BF25" s="293"/>
      <c r="BG25" s="293"/>
      <c r="BH25" s="293"/>
      <c r="BI25" s="293"/>
      <c r="BJ25" s="293"/>
      <c r="BK25" s="293"/>
      <c r="BL25" s="293"/>
      <c r="BM25" s="293"/>
      <c r="BN25" s="293"/>
      <c r="BO25" s="293"/>
      <c r="BP25" s="293"/>
      <c r="BQ25" s="293"/>
      <c r="BR25" s="293"/>
      <c r="BS25" s="293"/>
      <c r="BT25" s="293"/>
      <c r="BU25" s="293"/>
      <c r="BV25" s="293"/>
      <c r="BW25" s="293"/>
      <c r="BX25" s="293"/>
      <c r="BY25" s="293"/>
      <c r="BZ25" s="293"/>
      <c r="CA25" s="293"/>
      <c r="CB25" s="293"/>
      <c r="CC25" s="293"/>
      <c r="CD25" s="293"/>
      <c r="CE25" s="293"/>
      <c r="CF25" s="293"/>
      <c r="CG25" s="293"/>
      <c r="CH25" s="293"/>
      <c r="CI25" s="293"/>
      <c r="CJ25" s="293"/>
      <c r="CK25" s="293"/>
      <c r="CL25" s="293"/>
      <c r="CM25" s="293"/>
      <c r="CN25" s="293"/>
      <c r="CO25" s="293"/>
      <c r="CP25" s="293"/>
      <c r="CQ25" s="293"/>
      <c r="CR25" s="293"/>
      <c r="CS25" s="293"/>
      <c r="CT25" s="293"/>
      <c r="CU25" s="293"/>
      <c r="CV25" s="293"/>
      <c r="CW25" s="293"/>
      <c r="CX25" s="293"/>
      <c r="CY25" s="293"/>
      <c r="CZ25" s="293"/>
      <c r="DA25" s="293"/>
      <c r="DB25" s="293"/>
      <c r="DC25" s="293"/>
      <c r="DD25" s="293"/>
      <c r="DE25" s="293"/>
      <c r="DF25" s="293"/>
      <c r="DG25" s="293"/>
      <c r="DH25" s="293"/>
      <c r="DI25" s="293"/>
      <c r="DJ25" s="293"/>
      <c r="DK25" s="293"/>
      <c r="DL25" s="293"/>
      <c r="DM25" s="293"/>
      <c r="DN25" s="293"/>
      <c r="DO25" s="293"/>
      <c r="DP25" s="293"/>
      <c r="DQ25" s="293"/>
      <c r="DR25" s="293"/>
      <c r="DS25" s="288"/>
      <c r="DT25" s="288"/>
      <c r="DU25" s="288"/>
      <c r="DV25" s="288"/>
      <c r="DW25" s="288"/>
      <c r="DX25" s="288"/>
      <c r="DY25" s="288"/>
      <c r="DZ25" s="288"/>
      <c r="EA25" s="288"/>
      <c r="EB25" s="288"/>
      <c r="EC25" s="288"/>
      <c r="ED25" s="288"/>
      <c r="EE25" s="288"/>
      <c r="EF25" s="288"/>
      <c r="EG25" s="288"/>
      <c r="EH25" s="288"/>
      <c r="EI25" s="288"/>
      <c r="EJ25" s="288"/>
      <c r="EK25" s="288"/>
      <c r="EL25" s="288"/>
      <c r="EM25" s="288"/>
      <c r="EN25" s="288"/>
      <c r="EO25" s="288"/>
      <c r="EP25" s="288"/>
      <c r="EQ25" s="288"/>
      <c r="ER25" s="288"/>
      <c r="ES25" s="288"/>
      <c r="ET25" s="288"/>
      <c r="EU25" s="288"/>
      <c r="EV25" s="288"/>
      <c r="EW25" s="288"/>
      <c r="EX25" s="288"/>
      <c r="EY25" s="288"/>
      <c r="EZ25" s="288"/>
      <c r="FA25" s="288"/>
      <c r="FB25" s="288"/>
      <c r="FC25" s="288"/>
      <c r="FD25" s="288"/>
      <c r="FE25" s="288"/>
      <c r="FF25" s="288"/>
      <c r="FG25" s="288"/>
      <c r="FH25" s="288"/>
    </row>
    <row r="26" ht="14.25" customHeight="1">
      <c r="A26" s="307" t="s">
        <v>15</v>
      </c>
      <c r="B26" s="307" t="s">
        <v>390</v>
      </c>
      <c r="C26" s="292"/>
      <c r="D26" s="293"/>
      <c r="E26" s="293"/>
      <c r="F26" s="293"/>
      <c r="G26" s="293"/>
      <c r="H26" s="293"/>
      <c r="I26" s="293"/>
      <c r="J26" s="293"/>
      <c r="K26" s="293"/>
      <c r="L26" s="293"/>
      <c r="M26" s="293"/>
      <c r="N26" s="293"/>
      <c r="O26" s="293"/>
      <c r="P26" s="293"/>
      <c r="Q26" s="293"/>
      <c r="R26" s="293"/>
      <c r="S26" s="293"/>
      <c r="T26" s="293"/>
      <c r="U26" s="293"/>
      <c r="V26" s="293"/>
      <c r="W26" s="293"/>
      <c r="X26" s="293"/>
      <c r="Y26" s="293"/>
      <c r="Z26" s="293"/>
      <c r="AA26" s="293"/>
      <c r="AB26" s="293"/>
      <c r="AC26" s="293"/>
      <c r="AD26" s="293"/>
      <c r="AE26" s="293"/>
      <c r="AF26" s="293"/>
      <c r="AG26" s="293"/>
      <c r="AH26" s="293"/>
      <c r="AI26" s="293"/>
      <c r="AJ26" s="293"/>
      <c r="AK26" s="293"/>
      <c r="AL26" s="293"/>
      <c r="AM26" s="293"/>
      <c r="AN26" s="293"/>
      <c r="AO26" s="293"/>
      <c r="AP26" s="293"/>
      <c r="AQ26" s="293"/>
      <c r="AR26" s="293"/>
      <c r="AS26" s="293"/>
      <c r="AT26" s="293"/>
      <c r="AU26" s="293"/>
      <c r="AV26" s="293"/>
      <c r="AW26" s="293"/>
      <c r="AX26" s="293"/>
      <c r="AY26" s="293"/>
      <c r="AZ26" s="293"/>
      <c r="BA26" s="293"/>
      <c r="BB26" s="293"/>
      <c r="BC26" s="293"/>
      <c r="BD26" s="293"/>
      <c r="BE26" s="293"/>
      <c r="BF26" s="293"/>
      <c r="BG26" s="293"/>
      <c r="BH26" s="293"/>
      <c r="BI26" s="293"/>
      <c r="BJ26" s="293"/>
      <c r="BK26" s="293"/>
      <c r="BL26" s="293"/>
      <c r="BM26" s="293"/>
      <c r="BN26" s="293"/>
      <c r="BO26" s="293"/>
      <c r="BP26" s="293"/>
      <c r="BQ26" s="293"/>
      <c r="BR26" s="293"/>
      <c r="BS26" s="293"/>
      <c r="BT26" s="293"/>
      <c r="BU26" s="293"/>
      <c r="BV26" s="293"/>
      <c r="BW26" s="293"/>
      <c r="BX26" s="293"/>
      <c r="BY26" s="293"/>
      <c r="BZ26" s="293"/>
      <c r="CA26" s="293"/>
      <c r="CB26" s="293"/>
      <c r="CC26" s="293"/>
      <c r="CD26" s="293"/>
      <c r="CE26" s="293"/>
      <c r="CF26" s="293"/>
      <c r="CG26" s="293"/>
      <c r="CH26" s="293"/>
      <c r="CI26" s="293"/>
      <c r="CJ26" s="293"/>
      <c r="CK26" s="293"/>
      <c r="CL26" s="293"/>
      <c r="CM26" s="293"/>
      <c r="CN26" s="293"/>
      <c r="CO26" s="293"/>
      <c r="CP26" s="293"/>
      <c r="CQ26" s="293"/>
      <c r="CR26" s="293"/>
      <c r="CS26" s="293"/>
      <c r="CT26" s="293"/>
      <c r="CU26" s="293"/>
      <c r="CV26" s="293"/>
      <c r="CW26" s="293"/>
      <c r="CX26" s="293"/>
      <c r="CY26" s="293"/>
      <c r="CZ26" s="293"/>
      <c r="DA26" s="293"/>
      <c r="DB26" s="293"/>
      <c r="DC26" s="293"/>
      <c r="DD26" s="293"/>
      <c r="DE26" s="293"/>
      <c r="DF26" s="293"/>
      <c r="DG26" s="293"/>
      <c r="DH26" s="293"/>
      <c r="DI26" s="293"/>
      <c r="DJ26" s="293"/>
      <c r="DK26" s="293"/>
      <c r="DL26" s="293"/>
      <c r="DM26" s="293"/>
      <c r="DN26" s="293"/>
      <c r="DO26" s="293"/>
      <c r="DP26" s="293"/>
      <c r="DQ26" s="293"/>
      <c r="DR26" s="293"/>
      <c r="DS26" s="288"/>
      <c r="DT26" s="288"/>
      <c r="DU26" s="288"/>
      <c r="DV26" s="288"/>
      <c r="DW26" s="288"/>
      <c r="DX26" s="288"/>
      <c r="DY26" s="288"/>
      <c r="DZ26" s="288"/>
      <c r="EA26" s="288"/>
      <c r="EB26" s="288"/>
      <c r="EC26" s="288"/>
      <c r="ED26" s="288"/>
      <c r="EE26" s="288"/>
      <c r="EF26" s="288"/>
      <c r="EG26" s="288"/>
      <c r="EH26" s="288"/>
      <c r="EI26" s="288"/>
      <c r="EJ26" s="288"/>
      <c r="EK26" s="288"/>
      <c r="EL26" s="288"/>
      <c r="EM26" s="288"/>
      <c r="EN26" s="288"/>
      <c r="EO26" s="288"/>
      <c r="EP26" s="288"/>
      <c r="EQ26" s="288"/>
      <c r="ER26" s="288"/>
      <c r="ES26" s="288"/>
      <c r="ET26" s="288"/>
      <c r="EU26" s="288"/>
      <c r="EV26" s="288"/>
      <c r="EW26" s="288"/>
      <c r="EX26" s="288"/>
      <c r="EY26" s="288"/>
      <c r="EZ26" s="288"/>
      <c r="FA26" s="288"/>
      <c r="FB26" s="288"/>
      <c r="FC26" s="288"/>
      <c r="FD26" s="288"/>
      <c r="FE26" s="288"/>
      <c r="FF26" s="288"/>
      <c r="FG26" s="288"/>
      <c r="FH26" s="288"/>
    </row>
    <row r="27" ht="14.25" customHeight="1">
      <c r="A27" s="147" t="s">
        <v>22</v>
      </c>
      <c r="B27" s="158">
        <f t="array" ref="B27">XLOOKUP(A27,'HouseHolds per "comuna"'!$B$2:$B$40,'HouseHolds per "comuna"'!$C$2:$C$40)*0.15</f>
        <v>4034.1</v>
      </c>
      <c r="C27" s="292"/>
      <c r="D27" s="293"/>
      <c r="E27" s="293"/>
      <c r="F27" s="293"/>
      <c r="G27" s="293"/>
      <c r="H27" s="293"/>
      <c r="I27" s="293"/>
      <c r="J27" s="293"/>
      <c r="K27" s="293"/>
      <c r="L27" s="293"/>
      <c r="M27" s="293"/>
      <c r="N27" s="293"/>
      <c r="O27" s="293"/>
      <c r="P27" s="293"/>
      <c r="Q27" s="293"/>
      <c r="R27" s="293"/>
      <c r="S27" s="293"/>
      <c r="T27" s="293"/>
      <c r="U27" s="293"/>
      <c r="V27" s="293"/>
      <c r="W27" s="293"/>
      <c r="X27" s="293"/>
      <c r="Y27" s="293"/>
      <c r="Z27" s="293"/>
      <c r="AA27" s="293"/>
      <c r="AB27" s="293"/>
      <c r="AC27" s="293"/>
      <c r="AD27" s="293"/>
      <c r="AE27" s="293"/>
      <c r="AF27" s="293"/>
      <c r="AG27" s="293"/>
      <c r="AH27" s="293"/>
      <c r="AI27" s="293"/>
      <c r="AJ27" s="293"/>
      <c r="AK27" s="293"/>
      <c r="AL27" s="293"/>
      <c r="AM27" s="293"/>
      <c r="AN27" s="293"/>
      <c r="AO27" s="293"/>
      <c r="AP27" s="293"/>
      <c r="AQ27" s="293"/>
      <c r="AR27" s="293"/>
      <c r="AS27" s="293"/>
      <c r="AT27" s="293"/>
      <c r="AU27" s="293"/>
      <c r="AV27" s="293"/>
      <c r="AW27" s="293"/>
      <c r="AX27" s="293"/>
      <c r="AY27" s="293"/>
      <c r="AZ27" s="293"/>
      <c r="BA27" s="293"/>
      <c r="BB27" s="293"/>
      <c r="BC27" s="293"/>
      <c r="BD27" s="293"/>
      <c r="BE27" s="293"/>
      <c r="BF27" s="293"/>
      <c r="BG27" s="293"/>
      <c r="BH27" s="293"/>
      <c r="BI27" s="293"/>
      <c r="BJ27" s="293"/>
      <c r="BK27" s="293"/>
      <c r="BL27" s="293"/>
      <c r="BM27" s="293"/>
      <c r="BN27" s="293"/>
      <c r="BO27" s="293"/>
      <c r="BP27" s="293"/>
      <c r="BQ27" s="293"/>
      <c r="BR27" s="293"/>
      <c r="BS27" s="293"/>
      <c r="BT27" s="293"/>
      <c r="BU27" s="293"/>
      <c r="BV27" s="293"/>
      <c r="BW27" s="293"/>
      <c r="BX27" s="293"/>
      <c r="BY27" s="293"/>
      <c r="BZ27" s="293"/>
      <c r="CA27" s="293"/>
      <c r="CB27" s="293"/>
      <c r="CC27" s="293"/>
      <c r="CD27" s="293"/>
      <c r="CE27" s="293"/>
      <c r="CF27" s="293"/>
      <c r="CG27" s="293"/>
      <c r="CH27" s="293"/>
      <c r="CI27" s="293"/>
      <c r="CJ27" s="293"/>
      <c r="CK27" s="293"/>
      <c r="CL27" s="293"/>
      <c r="CM27" s="293"/>
      <c r="CN27" s="293"/>
      <c r="CO27" s="293"/>
      <c r="CP27" s="293"/>
      <c r="CQ27" s="293"/>
      <c r="CR27" s="293"/>
      <c r="CS27" s="293"/>
      <c r="CT27" s="293"/>
      <c r="CU27" s="293"/>
      <c r="CV27" s="293"/>
      <c r="CW27" s="293"/>
      <c r="CX27" s="293"/>
      <c r="CY27" s="293"/>
      <c r="CZ27" s="293"/>
      <c r="DA27" s="293"/>
      <c r="DB27" s="293"/>
      <c r="DC27" s="293"/>
      <c r="DD27" s="293"/>
      <c r="DE27" s="293"/>
      <c r="DF27" s="293"/>
      <c r="DG27" s="293"/>
      <c r="DH27" s="293"/>
      <c r="DI27" s="293"/>
      <c r="DJ27" s="293"/>
      <c r="DK27" s="293"/>
      <c r="DL27" s="293"/>
      <c r="DM27" s="293"/>
      <c r="DN27" s="293"/>
      <c r="DO27" s="293"/>
      <c r="DP27" s="293"/>
      <c r="DQ27" s="293"/>
      <c r="DR27" s="293"/>
      <c r="DS27" s="288"/>
      <c r="DT27" s="288"/>
      <c r="DU27" s="288"/>
      <c r="DV27" s="288"/>
      <c r="DW27" s="288"/>
      <c r="DX27" s="288"/>
      <c r="DY27" s="288"/>
      <c r="DZ27" s="288"/>
      <c r="EA27" s="288"/>
      <c r="EB27" s="288"/>
      <c r="EC27" s="288"/>
      <c r="ED27" s="288"/>
      <c r="EE27" s="288"/>
      <c r="EF27" s="288"/>
      <c r="EG27" s="288"/>
      <c r="EH27" s="288"/>
      <c r="EI27" s="288"/>
      <c r="EJ27" s="288"/>
      <c r="EK27" s="288"/>
      <c r="EL27" s="288"/>
      <c r="EM27" s="288"/>
      <c r="EN27" s="288"/>
      <c r="EO27" s="288"/>
      <c r="EP27" s="288"/>
      <c r="EQ27" s="288"/>
      <c r="ER27" s="288"/>
      <c r="ES27" s="288"/>
      <c r="ET27" s="288"/>
      <c r="EU27" s="288"/>
      <c r="EV27" s="288"/>
      <c r="EW27" s="288"/>
      <c r="EX27" s="288"/>
      <c r="EY27" s="288"/>
      <c r="EZ27" s="288"/>
      <c r="FA27" s="288"/>
      <c r="FB27" s="288"/>
      <c r="FC27" s="288"/>
      <c r="FD27" s="288"/>
      <c r="FE27" s="288"/>
      <c r="FF27" s="288"/>
      <c r="FG27" s="288"/>
      <c r="FH27" s="288"/>
    </row>
    <row r="28" ht="14.25" customHeight="1">
      <c r="A28" s="147" t="s">
        <v>24</v>
      </c>
      <c r="B28" s="158">
        <f t="array" ref="B28">XLOOKUP(A28,'HouseHolds per "comuna"'!$B$2:$B$40,'HouseHolds per "comuna"'!$C$2:$C$40)*0.15</f>
        <v>16000.8</v>
      </c>
      <c r="C28" s="292"/>
      <c r="D28" s="293"/>
      <c r="E28" s="293"/>
      <c r="F28" s="293"/>
      <c r="G28" s="293"/>
      <c r="H28" s="293"/>
      <c r="I28" s="293"/>
      <c r="J28" s="293"/>
      <c r="K28" s="293"/>
      <c r="L28" s="293"/>
      <c r="M28" s="293"/>
      <c r="N28" s="293"/>
      <c r="O28" s="293"/>
      <c r="P28" s="293"/>
      <c r="Q28" s="293"/>
      <c r="R28" s="293"/>
      <c r="S28" s="293"/>
      <c r="T28" s="293"/>
      <c r="U28" s="293"/>
      <c r="V28" s="293"/>
      <c r="W28" s="293"/>
      <c r="X28" s="293"/>
      <c r="Y28" s="293"/>
      <c r="Z28" s="293"/>
      <c r="AA28" s="293"/>
      <c r="AB28" s="293"/>
      <c r="AC28" s="293"/>
      <c r="AD28" s="293"/>
      <c r="AE28" s="293"/>
      <c r="AF28" s="293"/>
      <c r="AG28" s="293"/>
      <c r="AH28" s="293"/>
      <c r="AI28" s="293"/>
      <c r="AJ28" s="293"/>
      <c r="AK28" s="293"/>
      <c r="AL28" s="293"/>
      <c r="AM28" s="293"/>
      <c r="AN28" s="293"/>
      <c r="AO28" s="293"/>
      <c r="AP28" s="293"/>
      <c r="AQ28" s="293"/>
      <c r="AR28" s="293"/>
      <c r="AS28" s="293"/>
      <c r="AT28" s="293"/>
      <c r="AU28" s="293"/>
      <c r="AV28" s="293"/>
      <c r="AW28" s="293"/>
      <c r="AX28" s="293"/>
      <c r="AY28" s="293"/>
      <c r="AZ28" s="293"/>
      <c r="BA28" s="293"/>
      <c r="BB28" s="293"/>
      <c r="BC28" s="293"/>
      <c r="BD28" s="293"/>
      <c r="BE28" s="293"/>
      <c r="BF28" s="293"/>
      <c r="BG28" s="293"/>
      <c r="BH28" s="293"/>
      <c r="BI28" s="293"/>
      <c r="BJ28" s="293"/>
      <c r="BK28" s="293"/>
      <c r="BL28" s="293"/>
      <c r="BM28" s="293"/>
      <c r="BN28" s="293"/>
      <c r="BO28" s="293"/>
      <c r="BP28" s="293"/>
      <c r="BQ28" s="293"/>
      <c r="BR28" s="293"/>
      <c r="BS28" s="293"/>
      <c r="BT28" s="293"/>
      <c r="BU28" s="293"/>
      <c r="BV28" s="293"/>
      <c r="BW28" s="293"/>
      <c r="BX28" s="293"/>
      <c r="BY28" s="293"/>
      <c r="BZ28" s="293"/>
      <c r="CA28" s="293"/>
      <c r="CB28" s="293"/>
      <c r="CC28" s="293"/>
      <c r="CD28" s="293"/>
      <c r="CE28" s="293"/>
      <c r="CF28" s="293"/>
      <c r="CG28" s="293"/>
      <c r="CH28" s="293"/>
      <c r="CI28" s="293"/>
      <c r="CJ28" s="293"/>
      <c r="CK28" s="293"/>
      <c r="CL28" s="293"/>
      <c r="CM28" s="293"/>
      <c r="CN28" s="293"/>
      <c r="CO28" s="293"/>
      <c r="CP28" s="293"/>
      <c r="CQ28" s="293"/>
      <c r="CR28" s="293"/>
      <c r="CS28" s="293"/>
      <c r="CT28" s="293"/>
      <c r="CU28" s="293"/>
      <c r="CV28" s="293"/>
      <c r="CW28" s="293"/>
      <c r="CX28" s="293"/>
      <c r="CY28" s="293"/>
      <c r="CZ28" s="293"/>
      <c r="DA28" s="293"/>
      <c r="DB28" s="293"/>
      <c r="DC28" s="293"/>
      <c r="DD28" s="293"/>
      <c r="DE28" s="293"/>
      <c r="DF28" s="293"/>
      <c r="DG28" s="293"/>
      <c r="DH28" s="293"/>
      <c r="DI28" s="293"/>
      <c r="DJ28" s="293"/>
      <c r="DK28" s="293"/>
      <c r="DL28" s="293"/>
      <c r="DM28" s="293"/>
      <c r="DN28" s="293"/>
      <c r="DO28" s="293"/>
      <c r="DP28" s="293"/>
      <c r="DQ28" s="293"/>
      <c r="DR28" s="293"/>
      <c r="DS28" s="288"/>
      <c r="DT28" s="288"/>
      <c r="DU28" s="288"/>
      <c r="DV28" s="288"/>
      <c r="DW28" s="288"/>
      <c r="DX28" s="288"/>
      <c r="DY28" s="288"/>
      <c r="DZ28" s="288"/>
      <c r="EA28" s="288"/>
      <c r="EB28" s="288"/>
      <c r="EC28" s="288"/>
      <c r="ED28" s="288"/>
      <c r="EE28" s="288"/>
      <c r="EF28" s="288"/>
      <c r="EG28" s="288"/>
      <c r="EH28" s="288"/>
      <c r="EI28" s="288"/>
      <c r="EJ28" s="288"/>
      <c r="EK28" s="288"/>
      <c r="EL28" s="288"/>
      <c r="EM28" s="288"/>
      <c r="EN28" s="288"/>
      <c r="EO28" s="288"/>
      <c r="EP28" s="288"/>
      <c r="EQ28" s="288"/>
      <c r="ER28" s="288"/>
      <c r="ES28" s="288"/>
      <c r="ET28" s="288"/>
      <c r="EU28" s="288"/>
      <c r="EV28" s="288"/>
      <c r="EW28" s="288"/>
      <c r="EX28" s="288"/>
      <c r="EY28" s="288"/>
      <c r="EZ28" s="288"/>
      <c r="FA28" s="288"/>
      <c r="FB28" s="288"/>
      <c r="FC28" s="288"/>
      <c r="FD28" s="288"/>
      <c r="FE28" s="288"/>
      <c r="FF28" s="288"/>
      <c r="FG28" s="288"/>
      <c r="FH28" s="288"/>
    </row>
    <row r="29" ht="14.25" customHeight="1">
      <c r="A29" s="147" t="s">
        <v>26</v>
      </c>
      <c r="B29" s="158">
        <f t="array" ref="B29">XLOOKUP(A29,'HouseHolds per "comuna"'!$B$2:$B$40,'HouseHolds per "comuna"'!$C$2:$C$40)*0.15</f>
        <v>9332.25</v>
      </c>
      <c r="C29" s="292"/>
      <c r="D29" s="293"/>
      <c r="E29" s="293"/>
      <c r="F29" s="293"/>
      <c r="G29" s="293"/>
      <c r="H29" s="293"/>
      <c r="I29" s="293"/>
      <c r="J29" s="293"/>
      <c r="K29" s="293"/>
      <c r="L29" s="293"/>
      <c r="M29" s="293"/>
      <c r="N29" s="293"/>
      <c r="O29" s="293"/>
      <c r="P29" s="293"/>
      <c r="Q29" s="293"/>
      <c r="R29" s="293"/>
      <c r="S29" s="293"/>
      <c r="T29" s="293"/>
      <c r="U29" s="293"/>
      <c r="V29" s="293"/>
      <c r="W29" s="293"/>
      <c r="X29" s="293"/>
      <c r="Y29" s="293"/>
      <c r="Z29" s="293"/>
      <c r="AA29" s="293"/>
      <c r="AB29" s="293"/>
      <c r="AC29" s="293"/>
      <c r="AD29" s="293"/>
      <c r="AE29" s="293"/>
      <c r="AF29" s="293"/>
      <c r="AG29" s="293"/>
      <c r="AH29" s="293"/>
      <c r="AI29" s="293"/>
      <c r="AJ29" s="293"/>
      <c r="AK29" s="293"/>
      <c r="AL29" s="293"/>
      <c r="AM29" s="293"/>
      <c r="AN29" s="293"/>
      <c r="AO29" s="293"/>
      <c r="AP29" s="293"/>
      <c r="AQ29" s="293"/>
      <c r="AR29" s="293"/>
      <c r="AS29" s="293"/>
      <c r="AT29" s="293"/>
      <c r="AU29" s="293"/>
      <c r="AV29" s="293"/>
      <c r="AW29" s="293"/>
      <c r="AX29" s="293"/>
      <c r="AY29" s="293"/>
      <c r="AZ29" s="293"/>
      <c r="BA29" s="293"/>
      <c r="BB29" s="293"/>
      <c r="BC29" s="293"/>
      <c r="BD29" s="293"/>
      <c r="BE29" s="293"/>
      <c r="BF29" s="293"/>
      <c r="BG29" s="293"/>
      <c r="BH29" s="293"/>
      <c r="BI29" s="293"/>
      <c r="BJ29" s="293"/>
      <c r="BK29" s="293"/>
      <c r="BL29" s="293"/>
      <c r="BM29" s="293"/>
      <c r="BN29" s="293"/>
      <c r="BO29" s="293"/>
      <c r="BP29" s="293"/>
      <c r="BQ29" s="293"/>
      <c r="BR29" s="293"/>
      <c r="BS29" s="293"/>
      <c r="BT29" s="293"/>
      <c r="BU29" s="293"/>
      <c r="BV29" s="293"/>
      <c r="BW29" s="293"/>
      <c r="BX29" s="293"/>
      <c r="BY29" s="293"/>
      <c r="BZ29" s="293"/>
      <c r="CA29" s="293"/>
      <c r="CB29" s="293"/>
      <c r="CC29" s="293"/>
      <c r="CD29" s="293"/>
      <c r="CE29" s="293"/>
      <c r="CF29" s="293"/>
      <c r="CG29" s="293"/>
      <c r="CH29" s="293"/>
      <c r="CI29" s="293"/>
      <c r="CJ29" s="293"/>
      <c r="CK29" s="293"/>
      <c r="CL29" s="293"/>
      <c r="CM29" s="293"/>
      <c r="CN29" s="293"/>
      <c r="CO29" s="293"/>
      <c r="CP29" s="293"/>
      <c r="CQ29" s="293"/>
      <c r="CR29" s="293"/>
      <c r="CS29" s="293"/>
      <c r="CT29" s="293"/>
      <c r="CU29" s="293"/>
      <c r="CV29" s="293"/>
      <c r="CW29" s="293"/>
      <c r="CX29" s="293"/>
      <c r="CY29" s="293"/>
      <c r="CZ29" s="293"/>
      <c r="DA29" s="293"/>
      <c r="DB29" s="293"/>
      <c r="DC29" s="293"/>
      <c r="DD29" s="293"/>
      <c r="DE29" s="293"/>
      <c r="DF29" s="293"/>
      <c r="DG29" s="293"/>
      <c r="DH29" s="293"/>
      <c r="DI29" s="293"/>
      <c r="DJ29" s="293"/>
      <c r="DK29" s="293"/>
      <c r="DL29" s="293"/>
      <c r="DM29" s="293"/>
      <c r="DN29" s="293"/>
      <c r="DO29" s="293"/>
      <c r="DP29" s="293"/>
      <c r="DQ29" s="293"/>
      <c r="DR29" s="293"/>
      <c r="DS29" s="288"/>
      <c r="DT29" s="288"/>
      <c r="DU29" s="288"/>
      <c r="DV29" s="288"/>
      <c r="DW29" s="288"/>
      <c r="DX29" s="288"/>
      <c r="DY29" s="288"/>
      <c r="DZ29" s="288"/>
      <c r="EA29" s="288"/>
      <c r="EB29" s="288"/>
      <c r="EC29" s="288"/>
      <c r="ED29" s="288"/>
      <c r="EE29" s="288"/>
      <c r="EF29" s="288"/>
      <c r="EG29" s="288"/>
      <c r="EH29" s="288"/>
      <c r="EI29" s="288"/>
      <c r="EJ29" s="288"/>
      <c r="EK29" s="288"/>
      <c r="EL29" s="288"/>
      <c r="EM29" s="288"/>
      <c r="EN29" s="288"/>
      <c r="EO29" s="288"/>
      <c r="EP29" s="288"/>
      <c r="EQ29" s="288"/>
      <c r="ER29" s="288"/>
      <c r="ES29" s="288"/>
      <c r="ET29" s="288"/>
      <c r="EU29" s="288"/>
      <c r="EV29" s="288"/>
      <c r="EW29" s="288"/>
      <c r="EX29" s="288"/>
      <c r="EY29" s="288"/>
      <c r="EZ29" s="288"/>
      <c r="FA29" s="288"/>
      <c r="FB29" s="288"/>
      <c r="FC29" s="288"/>
      <c r="FD29" s="288"/>
      <c r="FE29" s="288"/>
      <c r="FF29" s="288"/>
      <c r="FG29" s="288"/>
      <c r="FH29" s="288"/>
    </row>
    <row r="30" ht="14.25" customHeight="1">
      <c r="A30" s="147" t="s">
        <v>28</v>
      </c>
      <c r="B30" s="158">
        <f t="array" ref="B30">XLOOKUP(A30,'HouseHolds per "comuna"'!$B$2:$B$40,'HouseHolds per "comuna"'!$C$2:$C$40)*0.15</f>
        <v>4222.35</v>
      </c>
      <c r="C30" s="292"/>
      <c r="D30" s="293"/>
      <c r="E30" s="293"/>
      <c r="F30" s="293"/>
      <c r="G30" s="293"/>
      <c r="H30" s="293"/>
      <c r="I30" s="293"/>
      <c r="J30" s="293"/>
      <c r="K30" s="293"/>
      <c r="L30" s="293"/>
      <c r="M30" s="293"/>
      <c r="N30" s="293"/>
      <c r="O30" s="293"/>
      <c r="P30" s="293"/>
      <c r="Q30" s="293"/>
      <c r="R30" s="293"/>
      <c r="S30" s="293"/>
      <c r="T30" s="293"/>
      <c r="U30" s="293"/>
      <c r="V30" s="293"/>
      <c r="W30" s="293"/>
      <c r="X30" s="293"/>
      <c r="Y30" s="293"/>
      <c r="Z30" s="293"/>
      <c r="AA30" s="293"/>
      <c r="AB30" s="293"/>
      <c r="AC30" s="293"/>
      <c r="AD30" s="293"/>
      <c r="AE30" s="293"/>
      <c r="AF30" s="293"/>
      <c r="AG30" s="293"/>
      <c r="AH30" s="293"/>
      <c r="AI30" s="293"/>
      <c r="AJ30" s="293"/>
      <c r="AK30" s="293"/>
      <c r="AL30" s="293"/>
      <c r="AM30" s="293"/>
      <c r="AN30" s="293"/>
      <c r="AO30" s="293"/>
      <c r="AP30" s="293"/>
      <c r="AQ30" s="293"/>
      <c r="AR30" s="293"/>
      <c r="AS30" s="293"/>
      <c r="AT30" s="293"/>
      <c r="AU30" s="293"/>
      <c r="AV30" s="293"/>
      <c r="AW30" s="293"/>
      <c r="AX30" s="293"/>
      <c r="AY30" s="293"/>
      <c r="AZ30" s="293"/>
      <c r="BA30" s="293"/>
      <c r="BB30" s="293"/>
      <c r="BC30" s="293"/>
      <c r="BD30" s="293"/>
      <c r="BE30" s="293"/>
      <c r="BF30" s="293"/>
      <c r="BG30" s="293"/>
      <c r="BH30" s="293"/>
      <c r="BI30" s="293"/>
      <c r="BJ30" s="293"/>
      <c r="BK30" s="293"/>
      <c r="BL30" s="293"/>
      <c r="BM30" s="293"/>
      <c r="BN30" s="293"/>
      <c r="BO30" s="293"/>
      <c r="BP30" s="293"/>
      <c r="BQ30" s="293"/>
      <c r="BR30" s="293"/>
      <c r="BS30" s="293"/>
      <c r="BT30" s="293"/>
      <c r="BU30" s="293"/>
      <c r="BV30" s="293"/>
      <c r="BW30" s="293"/>
      <c r="BX30" s="293"/>
      <c r="BY30" s="293"/>
      <c r="BZ30" s="293"/>
      <c r="CA30" s="293"/>
      <c r="CB30" s="293"/>
      <c r="CC30" s="293"/>
      <c r="CD30" s="293"/>
      <c r="CE30" s="293"/>
      <c r="CF30" s="293"/>
      <c r="CG30" s="293"/>
      <c r="CH30" s="293"/>
      <c r="CI30" s="293"/>
      <c r="CJ30" s="293"/>
      <c r="CK30" s="293"/>
      <c r="CL30" s="293"/>
      <c r="CM30" s="293"/>
      <c r="CN30" s="293"/>
      <c r="CO30" s="293"/>
      <c r="CP30" s="293"/>
      <c r="CQ30" s="293"/>
      <c r="CR30" s="293"/>
      <c r="CS30" s="293"/>
      <c r="CT30" s="293"/>
      <c r="CU30" s="293"/>
      <c r="CV30" s="293"/>
      <c r="CW30" s="293"/>
      <c r="CX30" s="293"/>
      <c r="CY30" s="293"/>
      <c r="CZ30" s="293"/>
      <c r="DA30" s="293"/>
      <c r="DB30" s="293"/>
      <c r="DC30" s="293"/>
      <c r="DD30" s="293"/>
      <c r="DE30" s="293"/>
      <c r="DF30" s="293"/>
      <c r="DG30" s="293"/>
      <c r="DH30" s="293"/>
      <c r="DI30" s="293"/>
      <c r="DJ30" s="293"/>
      <c r="DK30" s="293"/>
      <c r="DL30" s="293"/>
      <c r="DM30" s="293"/>
      <c r="DN30" s="293"/>
      <c r="DO30" s="293"/>
      <c r="DP30" s="293"/>
      <c r="DQ30" s="293"/>
      <c r="DR30" s="293"/>
      <c r="DS30" s="288"/>
      <c r="DT30" s="288"/>
      <c r="DU30" s="288"/>
      <c r="DV30" s="288"/>
      <c r="DW30" s="288"/>
      <c r="DX30" s="288"/>
      <c r="DY30" s="288"/>
      <c r="DZ30" s="288"/>
      <c r="EA30" s="288"/>
      <c r="EB30" s="288"/>
      <c r="EC30" s="288"/>
      <c r="ED30" s="288"/>
      <c r="EE30" s="288"/>
      <c r="EF30" s="288"/>
      <c r="EG30" s="288"/>
      <c r="EH30" s="288"/>
      <c r="EI30" s="288"/>
      <c r="EJ30" s="288"/>
      <c r="EK30" s="288"/>
      <c r="EL30" s="288"/>
      <c r="EM30" s="288"/>
      <c r="EN30" s="288"/>
      <c r="EO30" s="288"/>
      <c r="EP30" s="288"/>
      <c r="EQ30" s="288"/>
      <c r="ER30" s="288"/>
      <c r="ES30" s="288"/>
      <c r="ET30" s="288"/>
      <c r="EU30" s="288"/>
      <c r="EV30" s="288"/>
      <c r="EW30" s="288"/>
      <c r="EX30" s="288"/>
      <c r="EY30" s="288"/>
      <c r="EZ30" s="288"/>
      <c r="FA30" s="288"/>
      <c r="FB30" s="288"/>
      <c r="FC30" s="288"/>
      <c r="FD30" s="288"/>
      <c r="FE30" s="288"/>
      <c r="FF30" s="288"/>
      <c r="FG30" s="288"/>
      <c r="FH30" s="288"/>
    </row>
    <row r="31" ht="14.25" customHeight="1">
      <c r="A31" s="147" t="s">
        <v>30</v>
      </c>
      <c r="B31" s="158">
        <f t="array" ref="B31">XLOOKUP(A31,'HouseHolds per "comuna"'!$B$2:$B$40,'HouseHolds per "comuna"'!$C$2:$C$40)*0.15</f>
        <v>5797.65</v>
      </c>
      <c r="C31" s="292"/>
      <c r="D31" s="293"/>
      <c r="E31" s="293"/>
      <c r="F31" s="293"/>
      <c r="G31" s="293"/>
      <c r="H31" s="293"/>
      <c r="I31" s="293"/>
      <c r="J31" s="293"/>
      <c r="K31" s="293"/>
      <c r="L31" s="293"/>
      <c r="M31" s="293"/>
      <c r="N31" s="293"/>
      <c r="O31" s="293"/>
      <c r="P31" s="293"/>
      <c r="Q31" s="293"/>
      <c r="R31" s="293"/>
      <c r="S31" s="293"/>
      <c r="T31" s="293"/>
      <c r="U31" s="293"/>
      <c r="V31" s="293"/>
      <c r="W31" s="293"/>
      <c r="X31" s="293"/>
      <c r="Y31" s="293"/>
      <c r="Z31" s="293"/>
      <c r="AA31" s="293"/>
      <c r="AB31" s="293"/>
      <c r="AC31" s="293"/>
      <c r="AD31" s="293"/>
      <c r="AE31" s="293"/>
      <c r="AF31" s="293"/>
      <c r="AG31" s="293"/>
      <c r="AH31" s="293"/>
      <c r="AI31" s="293"/>
      <c r="AJ31" s="293"/>
      <c r="AK31" s="293"/>
      <c r="AL31" s="293"/>
      <c r="AM31" s="293"/>
      <c r="AN31" s="293"/>
      <c r="AO31" s="293"/>
      <c r="AP31" s="293"/>
      <c r="AQ31" s="293"/>
      <c r="AR31" s="293"/>
      <c r="AS31" s="293"/>
      <c r="AT31" s="293"/>
      <c r="AU31" s="293"/>
      <c r="AV31" s="293"/>
      <c r="AW31" s="293"/>
      <c r="AX31" s="293"/>
      <c r="AY31" s="293"/>
      <c r="AZ31" s="293"/>
      <c r="BA31" s="293"/>
      <c r="BB31" s="293"/>
      <c r="BC31" s="293"/>
      <c r="BD31" s="293"/>
      <c r="BE31" s="293"/>
      <c r="BF31" s="293"/>
      <c r="BG31" s="293"/>
      <c r="BH31" s="293"/>
      <c r="BI31" s="293"/>
      <c r="BJ31" s="293"/>
      <c r="BK31" s="293"/>
      <c r="BL31" s="293"/>
      <c r="BM31" s="293"/>
      <c r="BN31" s="293"/>
      <c r="BO31" s="293"/>
      <c r="BP31" s="293"/>
      <c r="BQ31" s="293"/>
      <c r="BR31" s="293"/>
      <c r="BS31" s="293"/>
      <c r="BT31" s="293"/>
      <c r="BU31" s="293"/>
      <c r="BV31" s="293"/>
      <c r="BW31" s="293"/>
      <c r="BX31" s="293"/>
      <c r="BY31" s="293"/>
      <c r="BZ31" s="293"/>
      <c r="CA31" s="293"/>
      <c r="CB31" s="293"/>
      <c r="CC31" s="293"/>
      <c r="CD31" s="293"/>
      <c r="CE31" s="293"/>
      <c r="CF31" s="293"/>
      <c r="CG31" s="293"/>
      <c r="CH31" s="293"/>
      <c r="CI31" s="293"/>
      <c r="CJ31" s="293"/>
      <c r="CK31" s="293"/>
      <c r="CL31" s="293"/>
      <c r="CM31" s="293"/>
      <c r="CN31" s="293"/>
      <c r="CO31" s="293"/>
      <c r="CP31" s="293"/>
      <c r="CQ31" s="293"/>
      <c r="CR31" s="293"/>
      <c r="CS31" s="293"/>
      <c r="CT31" s="293"/>
      <c r="CU31" s="293"/>
      <c r="CV31" s="293"/>
      <c r="CW31" s="293"/>
      <c r="CX31" s="293"/>
      <c r="CY31" s="293"/>
      <c r="CZ31" s="293"/>
      <c r="DA31" s="293"/>
      <c r="DB31" s="293"/>
      <c r="DC31" s="293"/>
      <c r="DD31" s="293"/>
      <c r="DE31" s="293"/>
      <c r="DF31" s="293"/>
      <c r="DG31" s="293"/>
      <c r="DH31" s="293"/>
      <c r="DI31" s="293"/>
      <c r="DJ31" s="293"/>
      <c r="DK31" s="293"/>
      <c r="DL31" s="293"/>
      <c r="DM31" s="293"/>
      <c r="DN31" s="293"/>
      <c r="DO31" s="293"/>
      <c r="DP31" s="293"/>
      <c r="DQ31" s="293"/>
      <c r="DR31" s="293"/>
      <c r="DS31" s="288"/>
      <c r="DT31" s="288"/>
      <c r="DU31" s="288"/>
      <c r="DV31" s="288"/>
      <c r="DW31" s="288"/>
      <c r="DX31" s="288"/>
      <c r="DY31" s="288"/>
      <c r="DZ31" s="288"/>
      <c r="EA31" s="288"/>
      <c r="EB31" s="288"/>
      <c r="EC31" s="288"/>
      <c r="ED31" s="288"/>
      <c r="EE31" s="288"/>
      <c r="EF31" s="288"/>
      <c r="EG31" s="288"/>
      <c r="EH31" s="288"/>
      <c r="EI31" s="288"/>
      <c r="EJ31" s="288"/>
      <c r="EK31" s="288"/>
      <c r="EL31" s="288"/>
      <c r="EM31" s="288"/>
      <c r="EN31" s="288"/>
      <c r="EO31" s="288"/>
      <c r="EP31" s="288"/>
      <c r="EQ31" s="288"/>
      <c r="ER31" s="288"/>
      <c r="ES31" s="288"/>
      <c r="ET31" s="288"/>
      <c r="EU31" s="288"/>
      <c r="EV31" s="288"/>
      <c r="EW31" s="288"/>
      <c r="EX31" s="288"/>
      <c r="EY31" s="288"/>
      <c r="EZ31" s="288"/>
      <c r="FA31" s="288"/>
      <c r="FB31" s="288"/>
      <c r="FC31" s="288"/>
      <c r="FD31" s="288"/>
      <c r="FE31" s="288"/>
      <c r="FF31" s="288"/>
      <c r="FG31" s="288"/>
      <c r="FH31" s="288"/>
    </row>
    <row r="32" ht="14.25" customHeight="1">
      <c r="A32" s="147" t="s">
        <v>32</v>
      </c>
      <c r="B32" s="158">
        <f t="array" ref="B32">XLOOKUP(A32,'HouseHolds per "comuna"'!$B$2:$B$40,'HouseHolds per "comuna"'!$C$2:$C$40)*0.15</f>
        <v>4488.15</v>
      </c>
      <c r="C32" s="292"/>
      <c r="D32" s="293"/>
      <c r="E32" s="308" t="s">
        <v>391</v>
      </c>
      <c r="F32" s="309"/>
      <c r="G32" s="309" t="s">
        <v>392</v>
      </c>
      <c r="H32" s="309" t="s">
        <v>393</v>
      </c>
      <c r="I32" s="309" t="s">
        <v>394</v>
      </c>
      <c r="J32" s="309" t="s">
        <v>395</v>
      </c>
      <c r="K32" s="293"/>
      <c r="L32" s="293"/>
      <c r="M32" s="293"/>
      <c r="N32" s="293"/>
      <c r="O32" s="293"/>
      <c r="P32" s="293"/>
      <c r="Q32" s="293"/>
      <c r="R32" s="293"/>
      <c r="S32" s="293"/>
      <c r="T32" s="293"/>
      <c r="U32" s="293"/>
      <c r="V32" s="293"/>
      <c r="W32" s="293"/>
      <c r="X32" s="293"/>
      <c r="Y32" s="293"/>
      <c r="Z32" s="293"/>
      <c r="AA32" s="293"/>
      <c r="AB32" s="293"/>
      <c r="AC32" s="293"/>
      <c r="AD32" s="293"/>
      <c r="AE32" s="293"/>
      <c r="AF32" s="293"/>
      <c r="AG32" s="293"/>
      <c r="AH32" s="293"/>
      <c r="AI32" s="293"/>
      <c r="AJ32" s="293"/>
      <c r="AK32" s="293"/>
      <c r="AL32" s="293"/>
      <c r="AM32" s="293"/>
      <c r="AN32" s="293"/>
      <c r="AO32" s="293"/>
      <c r="AP32" s="293"/>
      <c r="AQ32" s="293"/>
      <c r="AR32" s="293"/>
      <c r="AS32" s="293"/>
      <c r="AT32" s="293"/>
      <c r="AU32" s="293"/>
      <c r="AV32" s="293"/>
      <c r="AW32" s="293"/>
      <c r="AX32" s="293"/>
      <c r="AY32" s="293"/>
      <c r="AZ32" s="293"/>
      <c r="BA32" s="293"/>
      <c r="BB32" s="293"/>
      <c r="BC32" s="293"/>
      <c r="BD32" s="293"/>
      <c r="BE32" s="293"/>
      <c r="BF32" s="293"/>
      <c r="BG32" s="293"/>
      <c r="BH32" s="293"/>
      <c r="BI32" s="293"/>
      <c r="BJ32" s="293"/>
      <c r="BK32" s="293"/>
      <c r="BL32" s="293"/>
      <c r="BM32" s="293"/>
      <c r="BN32" s="293"/>
      <c r="BO32" s="293"/>
      <c r="BP32" s="293"/>
      <c r="BQ32" s="293"/>
      <c r="BR32" s="293"/>
      <c r="BS32" s="293"/>
      <c r="BT32" s="293"/>
      <c r="BU32" s="293"/>
      <c r="BV32" s="293"/>
      <c r="BW32" s="293"/>
      <c r="BX32" s="293"/>
      <c r="BY32" s="293"/>
      <c r="BZ32" s="293"/>
      <c r="CA32" s="293"/>
      <c r="CB32" s="293"/>
      <c r="CC32" s="293"/>
      <c r="CD32" s="293"/>
      <c r="CE32" s="293"/>
      <c r="CF32" s="293"/>
      <c r="CG32" s="293"/>
      <c r="CH32" s="293"/>
      <c r="CI32" s="293"/>
      <c r="CJ32" s="293"/>
      <c r="CK32" s="293"/>
      <c r="CL32" s="293"/>
      <c r="CM32" s="293"/>
      <c r="CN32" s="293"/>
      <c r="CO32" s="293"/>
      <c r="CP32" s="293"/>
      <c r="CQ32" s="293"/>
      <c r="CR32" s="293"/>
      <c r="CS32" s="293"/>
      <c r="CT32" s="293"/>
      <c r="CU32" s="293"/>
      <c r="CV32" s="293"/>
      <c r="CW32" s="293"/>
      <c r="CX32" s="293"/>
      <c r="CY32" s="293"/>
      <c r="CZ32" s="293"/>
      <c r="DA32" s="293"/>
      <c r="DB32" s="293"/>
      <c r="DC32" s="293"/>
      <c r="DD32" s="293"/>
      <c r="DE32" s="293"/>
      <c r="DF32" s="293"/>
      <c r="DG32" s="293"/>
      <c r="DH32" s="293"/>
      <c r="DI32" s="293"/>
      <c r="DJ32" s="293"/>
      <c r="DK32" s="293"/>
      <c r="DL32" s="293"/>
      <c r="DM32" s="293"/>
      <c r="DN32" s="293"/>
      <c r="DO32" s="293"/>
      <c r="DP32" s="293"/>
      <c r="DQ32" s="293"/>
      <c r="DR32" s="293"/>
      <c r="DS32" s="288"/>
      <c r="DT32" s="288"/>
      <c r="DU32" s="288"/>
      <c r="DV32" s="288"/>
      <c r="DW32" s="288"/>
      <c r="DX32" s="288"/>
      <c r="DY32" s="288"/>
      <c r="DZ32" s="288"/>
      <c r="EA32" s="288"/>
      <c r="EB32" s="288"/>
      <c r="EC32" s="288"/>
      <c r="ED32" s="288"/>
      <c r="EE32" s="288"/>
      <c r="EF32" s="288"/>
      <c r="EG32" s="288"/>
      <c r="EH32" s="288"/>
      <c r="EI32" s="288"/>
      <c r="EJ32" s="288"/>
      <c r="EK32" s="288"/>
      <c r="EL32" s="288"/>
      <c r="EM32" s="288"/>
      <c r="EN32" s="288"/>
      <c r="EO32" s="288"/>
      <c r="EP32" s="288"/>
      <c r="EQ32" s="288"/>
      <c r="ER32" s="288"/>
      <c r="ES32" s="288"/>
      <c r="ET32" s="288"/>
      <c r="EU32" s="288"/>
      <c r="EV32" s="288"/>
      <c r="EW32" s="288"/>
      <c r="EX32" s="288"/>
      <c r="EY32" s="288"/>
      <c r="EZ32" s="288"/>
      <c r="FA32" s="288"/>
      <c r="FB32" s="288"/>
      <c r="FC32" s="288"/>
      <c r="FD32" s="288"/>
      <c r="FE32" s="288"/>
      <c r="FF32" s="288"/>
      <c r="FG32" s="288"/>
      <c r="FH32" s="288"/>
    </row>
    <row r="33" ht="14.25" customHeight="1">
      <c r="A33" s="147" t="s">
        <v>34</v>
      </c>
      <c r="B33" s="158">
        <f t="array" ref="B33">XLOOKUP(A33,'HouseHolds per "comuna"'!$B$2:$B$40,'HouseHolds per "comuna"'!$C$2:$C$40)*0.15</f>
        <v>7107.6</v>
      </c>
      <c r="C33" s="292"/>
      <c r="D33" s="293"/>
      <c r="E33" s="310" t="s">
        <v>396</v>
      </c>
      <c r="F33" s="311"/>
      <c r="G33" s="311" t="s">
        <v>397</v>
      </c>
      <c r="H33" s="311" t="s">
        <v>398</v>
      </c>
      <c r="I33" s="311" t="s">
        <v>399</v>
      </c>
      <c r="J33" s="311" t="s">
        <v>400</v>
      </c>
      <c r="K33" s="293"/>
      <c r="L33" s="293"/>
      <c r="M33" s="293"/>
      <c r="N33" s="293"/>
      <c r="O33" s="293"/>
      <c r="P33" s="293"/>
      <c r="Q33" s="293"/>
      <c r="R33" s="293"/>
      <c r="S33" s="293"/>
      <c r="T33" s="293"/>
      <c r="U33" s="293"/>
      <c r="V33" s="293"/>
      <c r="W33" s="293"/>
      <c r="X33" s="293"/>
      <c r="Y33" s="293"/>
      <c r="Z33" s="293"/>
      <c r="AA33" s="293"/>
      <c r="AB33" s="293"/>
      <c r="AC33" s="293"/>
      <c r="AD33" s="293"/>
      <c r="AE33" s="293"/>
      <c r="AF33" s="293"/>
      <c r="AG33" s="293"/>
      <c r="AH33" s="293"/>
      <c r="AI33" s="293"/>
      <c r="AJ33" s="293"/>
      <c r="AK33" s="293"/>
      <c r="AL33" s="293"/>
      <c r="AM33" s="293"/>
      <c r="AN33" s="293"/>
      <c r="AO33" s="293"/>
      <c r="AP33" s="293"/>
      <c r="AQ33" s="293"/>
      <c r="AR33" s="293"/>
      <c r="AS33" s="293"/>
      <c r="AT33" s="293"/>
      <c r="AU33" s="293"/>
      <c r="AV33" s="293"/>
      <c r="AW33" s="293"/>
      <c r="AX33" s="293"/>
      <c r="AY33" s="293"/>
      <c r="AZ33" s="293"/>
      <c r="BA33" s="293"/>
      <c r="BB33" s="293"/>
      <c r="BC33" s="293"/>
      <c r="BD33" s="293"/>
      <c r="BE33" s="293"/>
      <c r="BF33" s="293"/>
      <c r="BG33" s="293"/>
      <c r="BH33" s="293"/>
      <c r="BI33" s="293"/>
      <c r="BJ33" s="293"/>
      <c r="BK33" s="293"/>
      <c r="BL33" s="293"/>
      <c r="BM33" s="293"/>
      <c r="BN33" s="293"/>
      <c r="BO33" s="293"/>
      <c r="BP33" s="293"/>
      <c r="BQ33" s="293"/>
      <c r="BR33" s="293"/>
      <c r="BS33" s="293"/>
      <c r="BT33" s="293"/>
      <c r="BU33" s="293"/>
      <c r="BV33" s="293"/>
      <c r="BW33" s="293"/>
      <c r="BX33" s="293"/>
      <c r="BY33" s="293"/>
      <c r="BZ33" s="293"/>
      <c r="CA33" s="293"/>
      <c r="CB33" s="293"/>
      <c r="CC33" s="293"/>
      <c r="CD33" s="293"/>
      <c r="CE33" s="293"/>
      <c r="CF33" s="293"/>
      <c r="CG33" s="293"/>
      <c r="CH33" s="293"/>
      <c r="CI33" s="293"/>
      <c r="CJ33" s="293"/>
      <c r="CK33" s="293"/>
      <c r="CL33" s="293"/>
      <c r="CM33" s="293"/>
      <c r="CN33" s="293"/>
      <c r="CO33" s="293"/>
      <c r="CP33" s="293"/>
      <c r="CQ33" s="293"/>
      <c r="CR33" s="293"/>
      <c r="CS33" s="293"/>
      <c r="CT33" s="293"/>
      <c r="CU33" s="293"/>
      <c r="CV33" s="293"/>
      <c r="CW33" s="293"/>
      <c r="CX33" s="293"/>
      <c r="CY33" s="293"/>
      <c r="CZ33" s="293"/>
      <c r="DA33" s="293"/>
      <c r="DB33" s="293"/>
      <c r="DC33" s="293"/>
      <c r="DD33" s="293"/>
      <c r="DE33" s="293"/>
      <c r="DF33" s="293"/>
      <c r="DG33" s="293"/>
      <c r="DH33" s="293"/>
      <c r="DI33" s="293"/>
      <c r="DJ33" s="293"/>
      <c r="DK33" s="293"/>
      <c r="DL33" s="293"/>
      <c r="DM33" s="293"/>
      <c r="DN33" s="293"/>
      <c r="DO33" s="293"/>
      <c r="DP33" s="293"/>
      <c r="DQ33" s="293"/>
      <c r="DR33" s="293"/>
      <c r="DS33" s="288"/>
      <c r="DT33" s="288"/>
      <c r="DU33" s="288"/>
      <c r="DV33" s="288"/>
      <c r="DW33" s="288"/>
      <c r="DX33" s="288"/>
      <c r="DY33" s="288"/>
      <c r="DZ33" s="288"/>
      <c r="EA33" s="288"/>
      <c r="EB33" s="288"/>
      <c r="EC33" s="288"/>
      <c r="ED33" s="288"/>
      <c r="EE33" s="288"/>
      <c r="EF33" s="288"/>
      <c r="EG33" s="288"/>
      <c r="EH33" s="288"/>
      <c r="EI33" s="288"/>
      <c r="EJ33" s="288"/>
      <c r="EK33" s="288"/>
      <c r="EL33" s="288"/>
      <c r="EM33" s="288"/>
      <c r="EN33" s="288"/>
      <c r="EO33" s="288"/>
      <c r="EP33" s="288"/>
      <c r="EQ33" s="288"/>
      <c r="ER33" s="288"/>
      <c r="ES33" s="288"/>
      <c r="ET33" s="288"/>
      <c r="EU33" s="288"/>
      <c r="EV33" s="288"/>
      <c r="EW33" s="288"/>
      <c r="EX33" s="288"/>
      <c r="EY33" s="288"/>
      <c r="EZ33" s="288"/>
      <c r="FA33" s="288"/>
      <c r="FB33" s="288"/>
      <c r="FC33" s="288"/>
      <c r="FD33" s="288"/>
      <c r="FE33" s="288"/>
      <c r="FF33" s="288"/>
      <c r="FG33" s="288"/>
      <c r="FH33" s="288"/>
    </row>
    <row r="34" ht="14.25" customHeight="1">
      <c r="A34" s="147" t="s">
        <v>36</v>
      </c>
      <c r="B34" s="158">
        <f t="array" ref="B34">XLOOKUP(A34,'HouseHolds per "comuna"'!$B$2:$B$40,'HouseHolds per "comuna"'!$C$2:$C$40)*0.15</f>
        <v>23308.65</v>
      </c>
      <c r="C34" s="312"/>
      <c r="D34" s="303"/>
      <c r="E34" s="293"/>
      <c r="F34" s="293"/>
      <c r="G34" s="293"/>
      <c r="H34" s="293"/>
      <c r="I34" s="293"/>
      <c r="J34" s="293"/>
      <c r="K34" s="293"/>
      <c r="L34" s="293"/>
      <c r="M34" s="293"/>
      <c r="N34" s="293"/>
      <c r="O34" s="293"/>
      <c r="P34" s="293"/>
      <c r="Q34" s="293"/>
      <c r="R34" s="293"/>
      <c r="S34" s="293"/>
      <c r="T34" s="293"/>
      <c r="U34" s="293"/>
      <c r="V34" s="293"/>
      <c r="W34" s="293"/>
      <c r="X34" s="293"/>
      <c r="Y34" s="293"/>
      <c r="Z34" s="293"/>
      <c r="AA34" s="293"/>
      <c r="AB34" s="293"/>
      <c r="AC34" s="293"/>
      <c r="AD34" s="293"/>
      <c r="AE34" s="293"/>
      <c r="AF34" s="293"/>
      <c r="AG34" s="293"/>
      <c r="AH34" s="293"/>
      <c r="AI34" s="293"/>
      <c r="AJ34" s="293"/>
      <c r="AK34" s="293"/>
      <c r="AL34" s="293"/>
      <c r="AM34" s="293"/>
      <c r="AN34" s="293"/>
      <c r="AO34" s="293"/>
      <c r="AP34" s="293"/>
      <c r="AQ34" s="293"/>
      <c r="AR34" s="293"/>
      <c r="AS34" s="293"/>
      <c r="AT34" s="293"/>
      <c r="AU34" s="293"/>
      <c r="AV34" s="293"/>
      <c r="AW34" s="293"/>
      <c r="AX34" s="293"/>
      <c r="AY34" s="293"/>
      <c r="AZ34" s="293"/>
      <c r="BA34" s="293"/>
      <c r="BB34" s="293"/>
      <c r="BC34" s="293"/>
      <c r="BD34" s="293"/>
      <c r="BE34" s="293"/>
      <c r="BF34" s="293"/>
      <c r="BG34" s="293"/>
      <c r="BH34" s="293"/>
      <c r="BI34" s="293"/>
      <c r="BJ34" s="293"/>
      <c r="BK34" s="293"/>
      <c r="BL34" s="293"/>
      <c r="BM34" s="293"/>
      <c r="BN34" s="293"/>
      <c r="BO34" s="293"/>
      <c r="BP34" s="293"/>
      <c r="BQ34" s="293"/>
      <c r="BR34" s="293"/>
      <c r="BS34" s="293"/>
      <c r="BT34" s="293"/>
      <c r="BU34" s="293"/>
      <c r="BV34" s="293"/>
      <c r="BW34" s="293"/>
      <c r="BX34" s="293"/>
      <c r="BY34" s="293"/>
      <c r="BZ34" s="293"/>
      <c r="CA34" s="293"/>
      <c r="CB34" s="293"/>
      <c r="CC34" s="293"/>
      <c r="CD34" s="293"/>
      <c r="CE34" s="293"/>
      <c r="CF34" s="293"/>
      <c r="CG34" s="293"/>
      <c r="CH34" s="293"/>
      <c r="CI34" s="293"/>
      <c r="CJ34" s="293"/>
      <c r="CK34" s="293"/>
      <c r="CL34" s="293"/>
      <c r="CM34" s="293"/>
      <c r="CN34" s="293"/>
      <c r="CO34" s="293"/>
      <c r="CP34" s="293"/>
      <c r="CQ34" s="293"/>
      <c r="CR34" s="293"/>
      <c r="CS34" s="293"/>
      <c r="CT34" s="293"/>
      <c r="CU34" s="293"/>
      <c r="CV34" s="293"/>
      <c r="CW34" s="293"/>
      <c r="CX34" s="293"/>
      <c r="CY34" s="293"/>
      <c r="CZ34" s="293"/>
      <c r="DA34" s="293"/>
      <c r="DB34" s="293"/>
      <c r="DC34" s="293"/>
      <c r="DD34" s="293"/>
      <c r="DE34" s="293"/>
      <c r="DF34" s="293"/>
      <c r="DG34" s="293"/>
      <c r="DH34" s="293"/>
      <c r="DI34" s="293"/>
      <c r="DJ34" s="293"/>
      <c r="DK34" s="293"/>
      <c r="DL34" s="293"/>
      <c r="DM34" s="293"/>
      <c r="DN34" s="293"/>
      <c r="DO34" s="293"/>
      <c r="DP34" s="293"/>
      <c r="DQ34" s="293"/>
      <c r="DR34" s="293"/>
      <c r="DS34" s="288"/>
      <c r="DT34" s="288"/>
      <c r="DU34" s="288"/>
      <c r="DV34" s="288"/>
      <c r="DW34" s="288"/>
      <c r="DX34" s="288"/>
      <c r="DY34" s="288"/>
      <c r="DZ34" s="288"/>
      <c r="EA34" s="288"/>
      <c r="EB34" s="288"/>
      <c r="EC34" s="288"/>
      <c r="ED34" s="288"/>
      <c r="EE34" s="288"/>
      <c r="EF34" s="288"/>
      <c r="EG34" s="288"/>
      <c r="EH34" s="288"/>
      <c r="EI34" s="288"/>
      <c r="EJ34" s="288"/>
      <c r="EK34" s="288"/>
      <c r="EL34" s="288"/>
      <c r="EM34" s="288"/>
      <c r="EN34" s="288"/>
      <c r="EO34" s="288"/>
      <c r="EP34" s="288"/>
      <c r="EQ34" s="288"/>
      <c r="ER34" s="288"/>
      <c r="ES34" s="288"/>
      <c r="ET34" s="288"/>
      <c r="EU34" s="288"/>
      <c r="EV34" s="288"/>
      <c r="EW34" s="288"/>
      <c r="EX34" s="288"/>
      <c r="EY34" s="288"/>
      <c r="EZ34" s="288"/>
      <c r="FA34" s="288"/>
      <c r="FB34" s="288"/>
      <c r="FC34" s="288"/>
      <c r="FD34" s="288"/>
      <c r="FE34" s="288"/>
      <c r="FF34" s="288"/>
      <c r="FG34" s="288"/>
      <c r="FH34" s="288"/>
    </row>
    <row r="35" ht="14.25" customHeight="1">
      <c r="A35" s="147" t="s">
        <v>38</v>
      </c>
      <c r="B35" s="158">
        <f t="array" ref="B35">XLOOKUP(A35,'HouseHolds per "comuna"'!$B$2:$B$40,'HouseHolds per "comuna"'!$C$2:$C$40)*0.15</f>
        <v>17274.15</v>
      </c>
      <c r="C35" s="313" t="s">
        <v>401</v>
      </c>
      <c r="D35" s="124"/>
      <c r="E35" s="312"/>
      <c r="F35" s="303"/>
      <c r="G35" s="293"/>
      <c r="H35" s="293"/>
      <c r="I35" s="293"/>
      <c r="J35" s="293"/>
      <c r="K35" s="293"/>
      <c r="L35" s="293"/>
      <c r="M35" s="293"/>
      <c r="N35" s="293"/>
      <c r="O35" s="293"/>
      <c r="P35" s="293"/>
      <c r="Q35" s="293"/>
      <c r="R35" s="293"/>
      <c r="S35" s="293"/>
      <c r="T35" s="293"/>
      <c r="U35" s="293"/>
      <c r="V35" s="293"/>
      <c r="W35" s="293"/>
      <c r="X35" s="293"/>
      <c r="Y35" s="293"/>
      <c r="Z35" s="293"/>
      <c r="AA35" s="293"/>
      <c r="AB35" s="293"/>
      <c r="AC35" s="293"/>
      <c r="AD35" s="293"/>
      <c r="AE35" s="293"/>
      <c r="AF35" s="293"/>
      <c r="AG35" s="293"/>
      <c r="AH35" s="293"/>
      <c r="AI35" s="293"/>
      <c r="AJ35" s="293"/>
      <c r="AK35" s="293"/>
      <c r="AL35" s="293"/>
      <c r="AM35" s="293"/>
      <c r="AN35" s="293"/>
      <c r="AO35" s="293"/>
      <c r="AP35" s="293"/>
      <c r="AQ35" s="293"/>
      <c r="AR35" s="293"/>
      <c r="AS35" s="293"/>
      <c r="AT35" s="293"/>
      <c r="AU35" s="293"/>
      <c r="AV35" s="293"/>
      <c r="AW35" s="293"/>
      <c r="AX35" s="293"/>
      <c r="AY35" s="293"/>
      <c r="AZ35" s="293"/>
      <c r="BA35" s="293"/>
      <c r="BB35" s="293"/>
      <c r="BC35" s="293"/>
      <c r="BD35" s="293"/>
      <c r="BE35" s="293"/>
      <c r="BF35" s="293"/>
      <c r="BG35" s="293"/>
      <c r="BH35" s="293"/>
      <c r="BI35" s="293"/>
      <c r="BJ35" s="293"/>
      <c r="BK35" s="293"/>
      <c r="BL35" s="293"/>
      <c r="BM35" s="293"/>
      <c r="BN35" s="293"/>
      <c r="BO35" s="293"/>
      <c r="BP35" s="293"/>
      <c r="BQ35" s="293"/>
      <c r="BR35" s="293"/>
      <c r="BS35" s="293"/>
      <c r="BT35" s="293"/>
      <c r="BU35" s="293"/>
      <c r="BV35" s="293"/>
      <c r="BW35" s="293"/>
      <c r="BX35" s="293"/>
      <c r="BY35" s="293"/>
      <c r="BZ35" s="293"/>
      <c r="CA35" s="293"/>
      <c r="CB35" s="293"/>
      <c r="CC35" s="293"/>
      <c r="CD35" s="293"/>
      <c r="CE35" s="293"/>
      <c r="CF35" s="293"/>
      <c r="CG35" s="293"/>
      <c r="CH35" s="293"/>
      <c r="CI35" s="293"/>
      <c r="CJ35" s="293"/>
      <c r="CK35" s="293"/>
      <c r="CL35" s="293"/>
      <c r="CM35" s="293"/>
      <c r="CN35" s="293"/>
      <c r="CO35" s="293"/>
      <c r="CP35" s="293"/>
      <c r="CQ35" s="293"/>
      <c r="CR35" s="293"/>
      <c r="CS35" s="293"/>
      <c r="CT35" s="293"/>
      <c r="CU35" s="293"/>
      <c r="CV35" s="293"/>
      <c r="CW35" s="293"/>
      <c r="CX35" s="293"/>
      <c r="CY35" s="293"/>
      <c r="CZ35" s="293"/>
      <c r="DA35" s="293"/>
      <c r="DB35" s="293"/>
      <c r="DC35" s="293"/>
      <c r="DD35" s="293"/>
      <c r="DE35" s="293"/>
      <c r="DF35" s="293"/>
      <c r="DG35" s="293"/>
      <c r="DH35" s="293"/>
      <c r="DI35" s="293"/>
      <c r="DJ35" s="293"/>
      <c r="DK35" s="293"/>
      <c r="DL35" s="293"/>
      <c r="DM35" s="293"/>
      <c r="DN35" s="293"/>
      <c r="DO35" s="293"/>
      <c r="DP35" s="293"/>
      <c r="DQ35" s="293"/>
      <c r="DR35" s="293"/>
      <c r="DS35" s="288"/>
      <c r="DT35" s="288"/>
      <c r="DU35" s="288"/>
      <c r="DV35" s="288"/>
      <c r="DW35" s="288"/>
      <c r="DX35" s="288"/>
      <c r="DY35" s="288"/>
      <c r="DZ35" s="288"/>
      <c r="EA35" s="288"/>
      <c r="EB35" s="288"/>
      <c r="EC35" s="288"/>
      <c r="ED35" s="288"/>
      <c r="EE35" s="288"/>
      <c r="EF35" s="288"/>
      <c r="EG35" s="288"/>
      <c r="EH35" s="288"/>
      <c r="EI35" s="288"/>
      <c r="EJ35" s="288"/>
      <c r="EK35" s="288"/>
      <c r="EL35" s="288"/>
      <c r="EM35" s="288"/>
      <c r="EN35" s="288"/>
      <c r="EO35" s="288"/>
      <c r="EP35" s="288"/>
      <c r="EQ35" s="288"/>
      <c r="ER35" s="288"/>
      <c r="ES35" s="288"/>
      <c r="ET35" s="288"/>
      <c r="EU35" s="288"/>
      <c r="EV35" s="288"/>
      <c r="EW35" s="288"/>
      <c r="EX35" s="288"/>
      <c r="EY35" s="288"/>
      <c r="EZ35" s="288"/>
      <c r="FA35" s="288"/>
      <c r="FB35" s="288"/>
      <c r="FC35" s="288"/>
      <c r="FD35" s="288"/>
      <c r="FE35" s="288"/>
      <c r="FF35" s="288"/>
      <c r="FG35" s="288"/>
      <c r="FH35" s="288"/>
    </row>
    <row r="36" ht="14.25" customHeight="1">
      <c r="A36" s="147" t="s">
        <v>402</v>
      </c>
      <c r="B36" s="158">
        <f t="array" ref="B36">XLOOKUP(A36,'HouseHolds per "comuna"'!$B$2:$B$40,'HouseHolds per "comuna"'!$C$2:$C$40)*0.15</f>
        <v>4195.65</v>
      </c>
      <c r="C36" s="164" t="s">
        <v>21</v>
      </c>
      <c r="D36" s="147">
        <f>$B$38*'Incomes and Costs'!B15</f>
        <v>74.95</v>
      </c>
      <c r="E36" s="314"/>
      <c r="F36" s="315"/>
      <c r="G36" s="312"/>
      <c r="H36" s="293"/>
      <c r="I36" s="293"/>
      <c r="J36" s="293"/>
      <c r="K36" s="293"/>
      <c r="L36" s="293"/>
      <c r="M36" s="293"/>
      <c r="N36" s="293"/>
      <c r="O36" s="293"/>
      <c r="P36" s="293"/>
      <c r="Q36" s="293"/>
      <c r="R36" s="293"/>
      <c r="S36" s="293"/>
      <c r="T36" s="293"/>
      <c r="U36" s="293"/>
      <c r="V36" s="293"/>
      <c r="W36" s="293"/>
      <c r="X36" s="293"/>
      <c r="Y36" s="293"/>
      <c r="Z36" s="293"/>
      <c r="AA36" s="293"/>
      <c r="AB36" s="293"/>
      <c r="AC36" s="293"/>
      <c r="AD36" s="293"/>
      <c r="AE36" s="293"/>
      <c r="AF36" s="293"/>
      <c r="AG36" s="293"/>
      <c r="AH36" s="293"/>
      <c r="AI36" s="293"/>
      <c r="AJ36" s="293"/>
      <c r="AK36" s="293"/>
      <c r="AL36" s="293"/>
      <c r="AM36" s="293"/>
      <c r="AN36" s="293"/>
      <c r="AO36" s="293"/>
      <c r="AP36" s="293"/>
      <c r="AQ36" s="293"/>
      <c r="AR36" s="293"/>
      <c r="AS36" s="293"/>
      <c r="AT36" s="293"/>
      <c r="AU36" s="293"/>
      <c r="AV36" s="293"/>
      <c r="AW36" s="293"/>
      <c r="AX36" s="293"/>
      <c r="AY36" s="293"/>
      <c r="AZ36" s="293"/>
      <c r="BA36" s="293"/>
      <c r="BB36" s="293"/>
      <c r="BC36" s="293"/>
      <c r="BD36" s="293"/>
      <c r="BE36" s="293"/>
      <c r="BF36" s="293"/>
      <c r="BG36" s="293"/>
      <c r="BH36" s="293"/>
      <c r="BI36" s="293"/>
      <c r="BJ36" s="293"/>
      <c r="BK36" s="293"/>
      <c r="BL36" s="293"/>
      <c r="BM36" s="293"/>
      <c r="BN36" s="293"/>
      <c r="BO36" s="293"/>
      <c r="BP36" s="293"/>
      <c r="BQ36" s="293"/>
      <c r="BR36" s="293"/>
      <c r="BS36" s="293"/>
      <c r="BT36" s="293"/>
      <c r="BU36" s="293"/>
      <c r="BV36" s="293"/>
      <c r="BW36" s="293"/>
      <c r="BX36" s="293"/>
      <c r="BY36" s="293"/>
      <c r="BZ36" s="293"/>
      <c r="CA36" s="293"/>
      <c r="CB36" s="293"/>
      <c r="CC36" s="293"/>
      <c r="CD36" s="293"/>
      <c r="CE36" s="293"/>
      <c r="CF36" s="293"/>
      <c r="CG36" s="293"/>
      <c r="CH36" s="293"/>
      <c r="CI36" s="293"/>
      <c r="CJ36" s="293"/>
      <c r="CK36" s="293"/>
      <c r="CL36" s="293"/>
      <c r="CM36" s="293"/>
      <c r="CN36" s="293"/>
      <c r="CO36" s="293"/>
      <c r="CP36" s="293"/>
      <c r="CQ36" s="293"/>
      <c r="CR36" s="293"/>
      <c r="CS36" s="293"/>
      <c r="CT36" s="293"/>
      <c r="CU36" s="293"/>
      <c r="CV36" s="293"/>
      <c r="CW36" s="293"/>
      <c r="CX36" s="293"/>
      <c r="CY36" s="293"/>
      <c r="CZ36" s="293"/>
      <c r="DA36" s="293"/>
      <c r="DB36" s="293"/>
      <c r="DC36" s="293"/>
      <c r="DD36" s="293"/>
      <c r="DE36" s="293"/>
      <c r="DF36" s="293"/>
      <c r="DG36" s="293"/>
      <c r="DH36" s="293"/>
      <c r="DI36" s="293"/>
      <c r="DJ36" s="293"/>
      <c r="DK36" s="293"/>
      <c r="DL36" s="293"/>
      <c r="DM36" s="293"/>
      <c r="DN36" s="293"/>
      <c r="DO36" s="293"/>
      <c r="DP36" s="293"/>
      <c r="DQ36" s="293"/>
      <c r="DR36" s="293"/>
      <c r="DS36" s="288"/>
      <c r="DT36" s="288"/>
      <c r="DU36" s="288"/>
      <c r="DV36" s="288"/>
      <c r="DW36" s="288"/>
      <c r="DX36" s="288"/>
      <c r="DY36" s="288"/>
      <c r="DZ36" s="288"/>
      <c r="EA36" s="288"/>
      <c r="EB36" s="288"/>
      <c r="EC36" s="288"/>
      <c r="ED36" s="288"/>
      <c r="EE36" s="288"/>
      <c r="EF36" s="288"/>
      <c r="EG36" s="288"/>
      <c r="EH36" s="288"/>
      <c r="EI36" s="288"/>
      <c r="EJ36" s="288"/>
      <c r="EK36" s="288"/>
      <c r="EL36" s="288"/>
      <c r="EM36" s="288"/>
      <c r="EN36" s="288"/>
      <c r="EO36" s="288"/>
      <c r="EP36" s="288"/>
      <c r="EQ36" s="288"/>
      <c r="ER36" s="288"/>
      <c r="ES36" s="288"/>
      <c r="ET36" s="288"/>
      <c r="EU36" s="288"/>
      <c r="EV36" s="288"/>
      <c r="EW36" s="288"/>
      <c r="EX36" s="288"/>
      <c r="EY36" s="288"/>
      <c r="EZ36" s="288"/>
      <c r="FA36" s="288"/>
      <c r="FB36" s="288"/>
      <c r="FC36" s="288"/>
      <c r="FD36" s="288"/>
      <c r="FE36" s="288"/>
      <c r="FF36" s="288"/>
      <c r="FG36" s="288"/>
      <c r="FH36" s="288"/>
    </row>
    <row r="37" ht="16.5" customHeight="1">
      <c r="A37" s="287"/>
      <c r="B37" s="316"/>
      <c r="C37" s="164" t="s">
        <v>23</v>
      </c>
      <c r="D37" s="147">
        <f>$B$38*'Incomes and Costs'!B16</f>
        <v>85.11666667</v>
      </c>
      <c r="E37" s="314"/>
      <c r="F37" s="315"/>
      <c r="G37" s="317"/>
      <c r="H37" s="293"/>
      <c r="I37" s="293"/>
      <c r="J37" s="293"/>
      <c r="K37" s="293"/>
      <c r="L37" s="293"/>
      <c r="M37" s="293"/>
      <c r="N37" s="293"/>
      <c r="O37" s="293"/>
      <c r="P37" s="293"/>
      <c r="Q37" s="293"/>
      <c r="R37" s="293"/>
      <c r="S37" s="293"/>
      <c r="T37" s="293"/>
      <c r="U37" s="293"/>
      <c r="V37" s="293"/>
      <c r="W37" s="293"/>
      <c r="X37" s="293"/>
      <c r="Y37" s="293"/>
      <c r="Z37" s="293"/>
      <c r="AA37" s="293"/>
      <c r="AB37" s="293"/>
      <c r="AC37" s="293"/>
      <c r="AD37" s="293"/>
      <c r="AE37" s="293"/>
      <c r="AF37" s="293"/>
      <c r="AG37" s="293"/>
      <c r="AH37" s="293"/>
      <c r="AI37" s="293"/>
      <c r="AJ37" s="293"/>
      <c r="AK37" s="293"/>
      <c r="AL37" s="293"/>
      <c r="AM37" s="293"/>
      <c r="AN37" s="293"/>
      <c r="AO37" s="293"/>
      <c r="AP37" s="293"/>
      <c r="AQ37" s="293"/>
      <c r="AR37" s="293"/>
      <c r="AS37" s="293"/>
      <c r="AT37" s="293"/>
      <c r="AU37" s="293"/>
      <c r="AV37" s="293"/>
      <c r="AW37" s="293"/>
      <c r="AX37" s="293"/>
      <c r="AY37" s="293"/>
      <c r="AZ37" s="293"/>
      <c r="BA37" s="293"/>
      <c r="BB37" s="293"/>
      <c r="BC37" s="293"/>
      <c r="BD37" s="293"/>
      <c r="BE37" s="293"/>
      <c r="BF37" s="293"/>
      <c r="BG37" s="293"/>
      <c r="BH37" s="293"/>
      <c r="BI37" s="293"/>
      <c r="BJ37" s="293"/>
      <c r="BK37" s="293"/>
      <c r="BL37" s="293"/>
      <c r="BM37" s="293"/>
      <c r="BN37" s="293"/>
      <c r="BO37" s="293"/>
      <c r="BP37" s="293"/>
      <c r="BQ37" s="293"/>
      <c r="BR37" s="293"/>
      <c r="BS37" s="293"/>
      <c r="BT37" s="293"/>
      <c r="BU37" s="293"/>
      <c r="BV37" s="293"/>
      <c r="BW37" s="293"/>
      <c r="BX37" s="293"/>
      <c r="BY37" s="293"/>
      <c r="BZ37" s="293"/>
      <c r="CA37" s="293"/>
      <c r="CB37" s="293"/>
      <c r="CC37" s="293"/>
      <c r="CD37" s="293"/>
      <c r="CE37" s="293"/>
      <c r="CF37" s="293"/>
      <c r="CG37" s="293"/>
      <c r="CH37" s="293"/>
      <c r="CI37" s="293"/>
      <c r="CJ37" s="293"/>
      <c r="CK37" s="293"/>
      <c r="CL37" s="293"/>
      <c r="CM37" s="293"/>
      <c r="CN37" s="293"/>
      <c r="CO37" s="293"/>
      <c r="CP37" s="293"/>
      <c r="CQ37" s="293"/>
      <c r="CR37" s="293"/>
      <c r="CS37" s="293"/>
      <c r="CT37" s="293"/>
      <c r="CU37" s="293"/>
      <c r="CV37" s="293"/>
      <c r="CW37" s="293"/>
      <c r="CX37" s="293"/>
      <c r="CY37" s="293"/>
      <c r="CZ37" s="293"/>
      <c r="DA37" s="293"/>
      <c r="DB37" s="293"/>
      <c r="DC37" s="293"/>
      <c r="DD37" s="293"/>
      <c r="DE37" s="293"/>
      <c r="DF37" s="293"/>
      <c r="DG37" s="293"/>
      <c r="DH37" s="293"/>
      <c r="DI37" s="293"/>
      <c r="DJ37" s="293"/>
      <c r="DK37" s="293"/>
      <c r="DL37" s="293"/>
      <c r="DM37" s="293"/>
      <c r="DN37" s="293"/>
      <c r="DO37" s="293"/>
      <c r="DP37" s="293"/>
      <c r="DQ37" s="293"/>
      <c r="DR37" s="293"/>
      <c r="DS37" s="288"/>
      <c r="DT37" s="288"/>
      <c r="DU37" s="288"/>
      <c r="DV37" s="288"/>
      <c r="DW37" s="288"/>
      <c r="DX37" s="288"/>
      <c r="DY37" s="288"/>
      <c r="DZ37" s="288"/>
      <c r="EA37" s="288"/>
      <c r="EB37" s="288"/>
      <c r="EC37" s="288"/>
      <c r="ED37" s="288"/>
      <c r="EE37" s="288"/>
      <c r="EF37" s="288"/>
      <c r="EG37" s="288"/>
      <c r="EH37" s="288"/>
      <c r="EI37" s="288"/>
      <c r="EJ37" s="288"/>
      <c r="EK37" s="288"/>
      <c r="EL37" s="288"/>
      <c r="EM37" s="288"/>
      <c r="EN37" s="288"/>
      <c r="EO37" s="288"/>
      <c r="EP37" s="288"/>
      <c r="EQ37" s="288"/>
      <c r="ER37" s="288"/>
      <c r="ES37" s="288"/>
      <c r="ET37" s="288"/>
      <c r="EU37" s="288"/>
      <c r="EV37" s="288"/>
      <c r="EW37" s="288"/>
      <c r="EX37" s="288"/>
      <c r="EY37" s="288"/>
      <c r="EZ37" s="288"/>
      <c r="FA37" s="288"/>
      <c r="FB37" s="288"/>
      <c r="FC37" s="288"/>
      <c r="FD37" s="288"/>
      <c r="FE37" s="288"/>
      <c r="FF37" s="288"/>
      <c r="FG37" s="288"/>
      <c r="FH37" s="288"/>
    </row>
    <row r="38" ht="32.25" customHeight="1">
      <c r="A38" s="318" t="s">
        <v>403</v>
      </c>
      <c r="B38" s="319">
        <v>0.2</v>
      </c>
      <c r="C38" s="164" t="s">
        <v>25</v>
      </c>
      <c r="D38" s="147">
        <f>$B$38*'Incomes and Costs'!B17</f>
        <v>185.3166667</v>
      </c>
      <c r="E38" s="314"/>
      <c r="F38" s="315"/>
      <c r="G38" s="292"/>
      <c r="H38" s="293"/>
      <c r="I38" s="293"/>
      <c r="J38" s="293"/>
      <c r="K38" s="293"/>
      <c r="L38" s="293"/>
      <c r="M38" s="293"/>
      <c r="N38" s="293"/>
      <c r="O38" s="293"/>
      <c r="P38" s="293"/>
      <c r="Q38" s="293"/>
      <c r="R38" s="293"/>
      <c r="S38" s="293"/>
      <c r="T38" s="293"/>
      <c r="U38" s="293"/>
      <c r="V38" s="293"/>
      <c r="W38" s="293"/>
      <c r="X38" s="293"/>
      <c r="Y38" s="293"/>
      <c r="Z38" s="293"/>
      <c r="AA38" s="293"/>
      <c r="AB38" s="293"/>
      <c r="AC38" s="293"/>
      <c r="AD38" s="293"/>
      <c r="AE38" s="293"/>
      <c r="AF38" s="293"/>
      <c r="AG38" s="293"/>
      <c r="AH38" s="293"/>
      <c r="AI38" s="293"/>
      <c r="AJ38" s="293"/>
      <c r="AK38" s="293"/>
      <c r="AL38" s="293"/>
      <c r="AM38" s="293"/>
      <c r="AN38" s="293"/>
      <c r="AO38" s="293"/>
      <c r="AP38" s="293"/>
      <c r="AQ38" s="293"/>
      <c r="AR38" s="293"/>
      <c r="AS38" s="293"/>
      <c r="AT38" s="293"/>
      <c r="AU38" s="293"/>
      <c r="AV38" s="293"/>
      <c r="AW38" s="293"/>
      <c r="AX38" s="293"/>
      <c r="AY38" s="293"/>
      <c r="AZ38" s="293"/>
      <c r="BA38" s="293"/>
      <c r="BB38" s="293"/>
      <c r="BC38" s="293"/>
      <c r="BD38" s="293"/>
      <c r="BE38" s="293"/>
      <c r="BF38" s="293"/>
      <c r="BG38" s="293"/>
      <c r="BH38" s="293"/>
      <c r="BI38" s="293"/>
      <c r="BJ38" s="293"/>
      <c r="BK38" s="293"/>
      <c r="BL38" s="293"/>
      <c r="BM38" s="293"/>
      <c r="BN38" s="293"/>
      <c r="BO38" s="293"/>
      <c r="BP38" s="293"/>
      <c r="BQ38" s="293"/>
      <c r="BR38" s="293"/>
      <c r="BS38" s="293"/>
      <c r="BT38" s="293"/>
      <c r="BU38" s="293"/>
      <c r="BV38" s="293"/>
      <c r="BW38" s="293"/>
      <c r="BX38" s="293"/>
      <c r="BY38" s="293"/>
      <c r="BZ38" s="293"/>
      <c r="CA38" s="293"/>
      <c r="CB38" s="293"/>
      <c r="CC38" s="293"/>
      <c r="CD38" s="293"/>
      <c r="CE38" s="293"/>
      <c r="CF38" s="293"/>
      <c r="CG38" s="293"/>
      <c r="CH38" s="293"/>
      <c r="CI38" s="293"/>
      <c r="CJ38" s="293"/>
      <c r="CK38" s="293"/>
      <c r="CL38" s="293"/>
      <c r="CM38" s="293"/>
      <c r="CN38" s="293"/>
      <c r="CO38" s="293"/>
      <c r="CP38" s="293"/>
      <c r="CQ38" s="293"/>
      <c r="CR38" s="293"/>
      <c r="CS38" s="293"/>
      <c r="CT38" s="293"/>
      <c r="CU38" s="293"/>
      <c r="CV38" s="293"/>
      <c r="CW38" s="293"/>
      <c r="CX38" s="293"/>
      <c r="CY38" s="293"/>
      <c r="CZ38" s="293"/>
      <c r="DA38" s="293"/>
      <c r="DB38" s="293"/>
      <c r="DC38" s="293"/>
      <c r="DD38" s="293"/>
      <c r="DE38" s="293"/>
      <c r="DF38" s="293"/>
      <c r="DG38" s="293"/>
      <c r="DH38" s="293"/>
      <c r="DI38" s="293"/>
      <c r="DJ38" s="293"/>
      <c r="DK38" s="293"/>
      <c r="DL38" s="293"/>
      <c r="DM38" s="293"/>
      <c r="DN38" s="293"/>
      <c r="DO38" s="293"/>
      <c r="DP38" s="293"/>
      <c r="DQ38" s="293"/>
      <c r="DR38" s="293"/>
      <c r="DS38" s="288"/>
      <c r="DT38" s="288"/>
      <c r="DU38" s="288"/>
      <c r="DV38" s="288"/>
      <c r="DW38" s="288"/>
      <c r="DX38" s="288"/>
      <c r="DY38" s="288"/>
      <c r="DZ38" s="288"/>
      <c r="EA38" s="288"/>
      <c r="EB38" s="288"/>
      <c r="EC38" s="288"/>
      <c r="ED38" s="288"/>
      <c r="EE38" s="288"/>
      <c r="EF38" s="288"/>
      <c r="EG38" s="288"/>
      <c r="EH38" s="288"/>
      <c r="EI38" s="288"/>
      <c r="EJ38" s="288"/>
      <c r="EK38" s="288"/>
      <c r="EL38" s="288"/>
      <c r="EM38" s="288"/>
      <c r="EN38" s="288"/>
      <c r="EO38" s="288"/>
      <c r="EP38" s="288"/>
      <c r="EQ38" s="288"/>
      <c r="ER38" s="288"/>
      <c r="ES38" s="288"/>
      <c r="ET38" s="288"/>
      <c r="EU38" s="288"/>
      <c r="EV38" s="288"/>
      <c r="EW38" s="288"/>
      <c r="EX38" s="288"/>
      <c r="EY38" s="288"/>
      <c r="EZ38" s="288"/>
      <c r="FA38" s="288"/>
      <c r="FB38" s="288"/>
      <c r="FC38" s="288"/>
      <c r="FD38" s="288"/>
      <c r="FE38" s="288"/>
      <c r="FF38" s="288"/>
      <c r="FG38" s="288"/>
      <c r="FH38" s="288"/>
    </row>
    <row r="39" ht="14.25" customHeight="1">
      <c r="A39" s="320" t="s">
        <v>404</v>
      </c>
      <c r="B39" s="321">
        <f>D45</f>
        <v>151.1604167</v>
      </c>
      <c r="C39" s="164" t="s">
        <v>27</v>
      </c>
      <c r="D39" s="147">
        <f>$B$38*'Incomes and Costs'!B18</f>
        <v>56.18333333</v>
      </c>
      <c r="E39" s="314"/>
      <c r="F39" s="315"/>
      <c r="G39" s="292"/>
      <c r="H39" s="293"/>
      <c r="I39" s="293"/>
      <c r="J39" s="293"/>
      <c r="K39" s="293"/>
      <c r="L39" s="293"/>
      <c r="M39" s="293"/>
      <c r="N39" s="293"/>
      <c r="O39" s="293"/>
      <c r="P39" s="293"/>
      <c r="Q39" s="293"/>
      <c r="R39" s="293"/>
      <c r="S39" s="293"/>
      <c r="T39" s="293"/>
      <c r="U39" s="293"/>
      <c r="V39" s="293"/>
      <c r="W39" s="293"/>
      <c r="X39" s="293"/>
      <c r="Y39" s="293"/>
      <c r="Z39" s="293"/>
      <c r="AA39" s="293"/>
      <c r="AB39" s="293"/>
      <c r="AC39" s="293"/>
      <c r="AD39" s="293"/>
      <c r="AE39" s="293"/>
      <c r="AF39" s="293"/>
      <c r="AG39" s="293"/>
      <c r="AH39" s="293"/>
      <c r="AI39" s="293"/>
      <c r="AJ39" s="293"/>
      <c r="AK39" s="293"/>
      <c r="AL39" s="293"/>
      <c r="AM39" s="293"/>
      <c r="AN39" s="293"/>
      <c r="AO39" s="293"/>
      <c r="AP39" s="293"/>
      <c r="AQ39" s="293"/>
      <c r="AR39" s="293"/>
      <c r="AS39" s="293"/>
      <c r="AT39" s="293"/>
      <c r="AU39" s="293"/>
      <c r="AV39" s="293"/>
      <c r="AW39" s="293"/>
      <c r="AX39" s="293"/>
      <c r="AY39" s="293"/>
      <c r="AZ39" s="293"/>
      <c r="BA39" s="293"/>
      <c r="BB39" s="293"/>
      <c r="BC39" s="293"/>
      <c r="BD39" s="293"/>
      <c r="BE39" s="293"/>
      <c r="BF39" s="293"/>
      <c r="BG39" s="293"/>
      <c r="BH39" s="293"/>
      <c r="BI39" s="293"/>
      <c r="BJ39" s="293"/>
      <c r="BK39" s="293"/>
      <c r="BL39" s="293"/>
      <c r="BM39" s="293"/>
      <c r="BN39" s="293"/>
      <c r="BO39" s="293"/>
      <c r="BP39" s="293"/>
      <c r="BQ39" s="293"/>
      <c r="BR39" s="293"/>
      <c r="BS39" s="293"/>
      <c r="BT39" s="293"/>
      <c r="BU39" s="293"/>
      <c r="BV39" s="293"/>
      <c r="BW39" s="293"/>
      <c r="BX39" s="293"/>
      <c r="BY39" s="293"/>
      <c r="BZ39" s="293"/>
      <c r="CA39" s="293"/>
      <c r="CB39" s="293"/>
      <c r="CC39" s="293"/>
      <c r="CD39" s="293"/>
      <c r="CE39" s="293"/>
      <c r="CF39" s="293"/>
      <c r="CG39" s="293"/>
      <c r="CH39" s="293"/>
      <c r="CI39" s="293"/>
      <c r="CJ39" s="293"/>
      <c r="CK39" s="293"/>
      <c r="CL39" s="293"/>
      <c r="CM39" s="293"/>
      <c r="CN39" s="293"/>
      <c r="CO39" s="293"/>
      <c r="CP39" s="293"/>
      <c r="CQ39" s="293"/>
      <c r="CR39" s="293"/>
      <c r="CS39" s="293"/>
      <c r="CT39" s="293"/>
      <c r="CU39" s="293"/>
      <c r="CV39" s="293"/>
      <c r="CW39" s="293"/>
      <c r="CX39" s="293"/>
      <c r="CY39" s="293"/>
      <c r="CZ39" s="293"/>
      <c r="DA39" s="293"/>
      <c r="DB39" s="293"/>
      <c r="DC39" s="293"/>
      <c r="DD39" s="293"/>
      <c r="DE39" s="293"/>
      <c r="DF39" s="293"/>
      <c r="DG39" s="293"/>
      <c r="DH39" s="293"/>
      <c r="DI39" s="293"/>
      <c r="DJ39" s="293"/>
      <c r="DK39" s="293"/>
      <c r="DL39" s="293"/>
      <c r="DM39" s="293"/>
      <c r="DN39" s="293"/>
      <c r="DO39" s="293"/>
      <c r="DP39" s="293"/>
      <c r="DQ39" s="293"/>
      <c r="DR39" s="293"/>
      <c r="DS39" s="288"/>
      <c r="DT39" s="288"/>
      <c r="DU39" s="288"/>
      <c r="DV39" s="288"/>
      <c r="DW39" s="288"/>
      <c r="DX39" s="288"/>
      <c r="DY39" s="288"/>
      <c r="DZ39" s="288"/>
      <c r="EA39" s="288"/>
      <c r="EB39" s="288"/>
      <c r="EC39" s="288"/>
      <c r="ED39" s="288"/>
      <c r="EE39" s="288"/>
      <c r="EF39" s="288"/>
      <c r="EG39" s="288"/>
      <c r="EH39" s="288"/>
      <c r="EI39" s="288"/>
      <c r="EJ39" s="288"/>
      <c r="EK39" s="288"/>
      <c r="EL39" s="288"/>
      <c r="EM39" s="288"/>
      <c r="EN39" s="288"/>
      <c r="EO39" s="288"/>
      <c r="EP39" s="288"/>
      <c r="EQ39" s="288"/>
      <c r="ER39" s="288"/>
      <c r="ES39" s="288"/>
      <c r="ET39" s="288"/>
      <c r="EU39" s="288"/>
      <c r="EV39" s="288"/>
      <c r="EW39" s="288"/>
      <c r="EX39" s="288"/>
      <c r="EY39" s="288"/>
      <c r="EZ39" s="288"/>
      <c r="FA39" s="288"/>
      <c r="FB39" s="288"/>
      <c r="FC39" s="288"/>
      <c r="FD39" s="288"/>
      <c r="FE39" s="288"/>
      <c r="FF39" s="288"/>
      <c r="FG39" s="288"/>
      <c r="FH39" s="288"/>
    </row>
    <row r="40" ht="14.25" customHeight="1">
      <c r="A40" s="287"/>
      <c r="B40" s="316"/>
      <c r="C40" s="164" t="s">
        <v>29</v>
      </c>
      <c r="D40" s="147">
        <f>$B$38*'Incomes and Costs'!B19</f>
        <v>52.86666667</v>
      </c>
      <c r="E40" s="314"/>
      <c r="F40" s="315"/>
      <c r="G40" s="292"/>
      <c r="H40" s="293"/>
      <c r="I40" s="293"/>
      <c r="J40" s="293"/>
      <c r="K40" s="293"/>
      <c r="L40" s="293"/>
      <c r="M40" s="293"/>
      <c r="N40" s="293"/>
      <c r="O40" s="293"/>
      <c r="P40" s="293"/>
      <c r="Q40" s="293"/>
      <c r="R40" s="293"/>
      <c r="S40" s="293"/>
      <c r="T40" s="293"/>
      <c r="U40" s="293"/>
      <c r="V40" s="293"/>
      <c r="W40" s="293"/>
      <c r="X40" s="293"/>
      <c r="Y40" s="293"/>
      <c r="Z40" s="293"/>
      <c r="AA40" s="293"/>
      <c r="AB40" s="293"/>
      <c r="AC40" s="293"/>
      <c r="AD40" s="293"/>
      <c r="AE40" s="293"/>
      <c r="AF40" s="293"/>
      <c r="AG40" s="293"/>
      <c r="AH40" s="293"/>
      <c r="AI40" s="293"/>
      <c r="AJ40" s="293"/>
      <c r="AK40" s="293"/>
      <c r="AL40" s="293"/>
      <c r="AM40" s="293"/>
      <c r="AN40" s="293"/>
      <c r="AO40" s="293"/>
      <c r="AP40" s="293"/>
      <c r="AQ40" s="293"/>
      <c r="AR40" s="293"/>
      <c r="AS40" s="293"/>
      <c r="AT40" s="293"/>
      <c r="AU40" s="293"/>
      <c r="AV40" s="293"/>
      <c r="AW40" s="293"/>
      <c r="AX40" s="293"/>
      <c r="AY40" s="293"/>
      <c r="AZ40" s="293"/>
      <c r="BA40" s="293"/>
      <c r="BB40" s="293"/>
      <c r="BC40" s="293"/>
      <c r="BD40" s="293"/>
      <c r="BE40" s="293"/>
      <c r="BF40" s="293"/>
      <c r="BG40" s="293"/>
      <c r="BH40" s="293"/>
      <c r="BI40" s="293"/>
      <c r="BJ40" s="293"/>
      <c r="BK40" s="293"/>
      <c r="BL40" s="293"/>
      <c r="BM40" s="293"/>
      <c r="BN40" s="293"/>
      <c r="BO40" s="293"/>
      <c r="BP40" s="293"/>
      <c r="BQ40" s="293"/>
      <c r="BR40" s="293"/>
      <c r="BS40" s="293"/>
      <c r="BT40" s="293"/>
      <c r="BU40" s="293"/>
      <c r="BV40" s="293"/>
      <c r="BW40" s="293"/>
      <c r="BX40" s="293"/>
      <c r="BY40" s="293"/>
      <c r="BZ40" s="293"/>
      <c r="CA40" s="293"/>
      <c r="CB40" s="293"/>
      <c r="CC40" s="293"/>
      <c r="CD40" s="293"/>
      <c r="CE40" s="293"/>
      <c r="CF40" s="293"/>
      <c r="CG40" s="293"/>
      <c r="CH40" s="293"/>
      <c r="CI40" s="293"/>
      <c r="CJ40" s="293"/>
      <c r="CK40" s="293"/>
      <c r="CL40" s="293"/>
      <c r="CM40" s="293"/>
      <c r="CN40" s="293"/>
      <c r="CO40" s="293"/>
      <c r="CP40" s="293"/>
      <c r="CQ40" s="293"/>
      <c r="CR40" s="293"/>
      <c r="CS40" s="293"/>
      <c r="CT40" s="293"/>
      <c r="CU40" s="293"/>
      <c r="CV40" s="293"/>
      <c r="CW40" s="293"/>
      <c r="CX40" s="293"/>
      <c r="CY40" s="293"/>
      <c r="CZ40" s="293"/>
      <c r="DA40" s="293"/>
      <c r="DB40" s="293"/>
      <c r="DC40" s="293"/>
      <c r="DD40" s="293"/>
      <c r="DE40" s="293"/>
      <c r="DF40" s="293"/>
      <c r="DG40" s="293"/>
      <c r="DH40" s="293"/>
      <c r="DI40" s="293"/>
      <c r="DJ40" s="293"/>
      <c r="DK40" s="293"/>
      <c r="DL40" s="293"/>
      <c r="DM40" s="293"/>
      <c r="DN40" s="293"/>
      <c r="DO40" s="293"/>
      <c r="DP40" s="293"/>
      <c r="DQ40" s="293"/>
      <c r="DR40" s="293"/>
      <c r="DS40" s="288"/>
      <c r="DT40" s="288"/>
      <c r="DU40" s="288"/>
      <c r="DV40" s="288"/>
      <c r="DW40" s="288"/>
      <c r="DX40" s="288"/>
      <c r="DY40" s="288"/>
      <c r="DZ40" s="288"/>
      <c r="EA40" s="288"/>
      <c r="EB40" s="288"/>
      <c r="EC40" s="288"/>
      <c r="ED40" s="288"/>
      <c r="EE40" s="288"/>
      <c r="EF40" s="288"/>
      <c r="EG40" s="288"/>
      <c r="EH40" s="288"/>
      <c r="EI40" s="288"/>
      <c r="EJ40" s="288"/>
      <c r="EK40" s="288"/>
      <c r="EL40" s="288"/>
      <c r="EM40" s="288"/>
      <c r="EN40" s="288"/>
      <c r="EO40" s="288"/>
      <c r="EP40" s="288"/>
      <c r="EQ40" s="288"/>
      <c r="ER40" s="288"/>
      <c r="ES40" s="288"/>
      <c r="ET40" s="288"/>
      <c r="EU40" s="288"/>
      <c r="EV40" s="288"/>
      <c r="EW40" s="288"/>
      <c r="EX40" s="288"/>
      <c r="EY40" s="288"/>
      <c r="EZ40" s="288"/>
      <c r="FA40" s="288"/>
      <c r="FB40" s="288"/>
      <c r="FC40" s="288"/>
      <c r="FD40" s="288"/>
      <c r="FE40" s="288"/>
      <c r="FF40" s="288"/>
      <c r="FG40" s="288"/>
      <c r="FH40" s="288"/>
    </row>
    <row r="41" ht="14.25" customHeight="1">
      <c r="A41" s="322" t="s">
        <v>405</v>
      </c>
      <c r="B41" s="323">
        <v>0.95</v>
      </c>
      <c r="C41" s="164" t="s">
        <v>31</v>
      </c>
      <c r="D41" s="147">
        <f>$B$38*'Incomes and Costs'!B20</f>
        <v>74.76666667</v>
      </c>
      <c r="E41" s="314"/>
      <c r="F41" s="315"/>
      <c r="G41" s="292"/>
      <c r="H41" s="293"/>
      <c r="I41" s="293"/>
      <c r="J41" s="293"/>
      <c r="K41" s="293"/>
      <c r="L41" s="293"/>
      <c r="M41" s="293"/>
      <c r="N41" s="293"/>
      <c r="O41" s="293"/>
      <c r="P41" s="293"/>
      <c r="Q41" s="293"/>
      <c r="R41" s="293"/>
      <c r="S41" s="293"/>
      <c r="T41" s="293"/>
      <c r="U41" s="293"/>
      <c r="V41" s="293"/>
      <c r="W41" s="293"/>
      <c r="X41" s="293"/>
      <c r="Y41" s="293"/>
      <c r="Z41" s="293"/>
      <c r="AA41" s="293"/>
      <c r="AB41" s="293"/>
      <c r="AC41" s="293"/>
      <c r="AD41" s="293"/>
      <c r="AE41" s="293"/>
      <c r="AF41" s="293"/>
      <c r="AG41" s="293"/>
      <c r="AH41" s="293"/>
      <c r="AI41" s="293"/>
      <c r="AJ41" s="293"/>
      <c r="AK41" s="293"/>
      <c r="AL41" s="293"/>
      <c r="AM41" s="293"/>
      <c r="AN41" s="293"/>
      <c r="AO41" s="293"/>
      <c r="AP41" s="293"/>
      <c r="AQ41" s="293"/>
      <c r="AR41" s="293"/>
      <c r="AS41" s="293"/>
      <c r="AT41" s="293"/>
      <c r="AU41" s="293"/>
      <c r="AV41" s="293"/>
      <c r="AW41" s="293"/>
      <c r="AX41" s="293"/>
      <c r="AY41" s="293"/>
      <c r="AZ41" s="293"/>
      <c r="BA41" s="293"/>
      <c r="BB41" s="293"/>
      <c r="BC41" s="293"/>
      <c r="BD41" s="293"/>
      <c r="BE41" s="293"/>
      <c r="BF41" s="293"/>
      <c r="BG41" s="293"/>
      <c r="BH41" s="293"/>
      <c r="BI41" s="293"/>
      <c r="BJ41" s="293"/>
      <c r="BK41" s="293"/>
      <c r="BL41" s="293"/>
      <c r="BM41" s="293"/>
      <c r="BN41" s="293"/>
      <c r="BO41" s="293"/>
      <c r="BP41" s="293"/>
      <c r="BQ41" s="293"/>
      <c r="BR41" s="293"/>
      <c r="BS41" s="293"/>
      <c r="BT41" s="293"/>
      <c r="BU41" s="293"/>
      <c r="BV41" s="293"/>
      <c r="BW41" s="293"/>
      <c r="BX41" s="293"/>
      <c r="BY41" s="293"/>
      <c r="BZ41" s="293"/>
      <c r="CA41" s="293"/>
      <c r="CB41" s="293"/>
      <c r="CC41" s="293"/>
      <c r="CD41" s="293"/>
      <c r="CE41" s="293"/>
      <c r="CF41" s="293"/>
      <c r="CG41" s="293"/>
      <c r="CH41" s="293"/>
      <c r="CI41" s="293"/>
      <c r="CJ41" s="293"/>
      <c r="CK41" s="293"/>
      <c r="CL41" s="293"/>
      <c r="CM41" s="293"/>
      <c r="CN41" s="293"/>
      <c r="CO41" s="293"/>
      <c r="CP41" s="293"/>
      <c r="CQ41" s="293"/>
      <c r="CR41" s="293"/>
      <c r="CS41" s="293"/>
      <c r="CT41" s="293"/>
      <c r="CU41" s="293"/>
      <c r="CV41" s="293"/>
      <c r="CW41" s="293"/>
      <c r="CX41" s="293"/>
      <c r="CY41" s="293"/>
      <c r="CZ41" s="293"/>
      <c r="DA41" s="293"/>
      <c r="DB41" s="293"/>
      <c r="DC41" s="293"/>
      <c r="DD41" s="293"/>
      <c r="DE41" s="293"/>
      <c r="DF41" s="293"/>
      <c r="DG41" s="293"/>
      <c r="DH41" s="293"/>
      <c r="DI41" s="293"/>
      <c r="DJ41" s="293"/>
      <c r="DK41" s="293"/>
      <c r="DL41" s="293"/>
      <c r="DM41" s="293"/>
      <c r="DN41" s="293"/>
      <c r="DO41" s="293"/>
      <c r="DP41" s="293"/>
      <c r="DQ41" s="293"/>
      <c r="DR41" s="293"/>
      <c r="DS41" s="288"/>
      <c r="DT41" s="288"/>
      <c r="DU41" s="288"/>
      <c r="DV41" s="288"/>
      <c r="DW41" s="288"/>
      <c r="DX41" s="288"/>
      <c r="DY41" s="288"/>
      <c r="DZ41" s="288"/>
      <c r="EA41" s="288"/>
      <c r="EB41" s="288"/>
      <c r="EC41" s="288"/>
      <c r="ED41" s="288"/>
      <c r="EE41" s="288"/>
      <c r="EF41" s="288"/>
      <c r="EG41" s="288"/>
      <c r="EH41" s="288"/>
      <c r="EI41" s="288"/>
      <c r="EJ41" s="288"/>
      <c r="EK41" s="288"/>
      <c r="EL41" s="288"/>
      <c r="EM41" s="288"/>
      <c r="EN41" s="288"/>
      <c r="EO41" s="288"/>
      <c r="EP41" s="288"/>
      <c r="EQ41" s="288"/>
      <c r="ER41" s="288"/>
      <c r="ES41" s="288"/>
      <c r="ET41" s="288"/>
      <c r="EU41" s="288"/>
      <c r="EV41" s="288"/>
      <c r="EW41" s="288"/>
      <c r="EX41" s="288"/>
      <c r="EY41" s="288"/>
      <c r="EZ41" s="288"/>
      <c r="FA41" s="288"/>
      <c r="FB41" s="288"/>
      <c r="FC41" s="288"/>
      <c r="FD41" s="288"/>
      <c r="FE41" s="288"/>
      <c r="FF41" s="288"/>
      <c r="FG41" s="288"/>
      <c r="FH41" s="288"/>
    </row>
    <row r="42" ht="14.25" customHeight="1">
      <c r="A42" s="287"/>
      <c r="B42" s="316"/>
      <c r="C42" s="164" t="s">
        <v>33</v>
      </c>
      <c r="D42" s="147">
        <f>$B$38*'Incomes and Costs'!B21</f>
        <v>159.9833333</v>
      </c>
      <c r="E42" s="314"/>
      <c r="F42" s="315"/>
      <c r="G42" s="292"/>
      <c r="H42" s="293"/>
      <c r="I42" s="293"/>
      <c r="J42" s="293"/>
      <c r="K42" s="293"/>
      <c r="L42" s="293"/>
      <c r="M42" s="293"/>
      <c r="N42" s="293"/>
      <c r="O42" s="293"/>
      <c r="P42" s="293"/>
      <c r="Q42" s="293"/>
      <c r="R42" s="293"/>
      <c r="S42" s="293"/>
      <c r="T42" s="293"/>
      <c r="U42" s="293"/>
      <c r="V42" s="293"/>
      <c r="W42" s="293"/>
      <c r="X42" s="293"/>
      <c r="Y42" s="293"/>
      <c r="Z42" s="293"/>
      <c r="AA42" s="293"/>
      <c r="AB42" s="293"/>
      <c r="AC42" s="293"/>
      <c r="AD42" s="293"/>
      <c r="AE42" s="293"/>
      <c r="AF42" s="293"/>
      <c r="AG42" s="293"/>
      <c r="AH42" s="293"/>
      <c r="AI42" s="293"/>
      <c r="AJ42" s="293"/>
      <c r="AK42" s="293"/>
      <c r="AL42" s="293"/>
      <c r="AM42" s="293"/>
      <c r="AN42" s="293"/>
      <c r="AO42" s="293"/>
      <c r="AP42" s="293"/>
      <c r="AQ42" s="293"/>
      <c r="AR42" s="293"/>
      <c r="AS42" s="293"/>
      <c r="AT42" s="293"/>
      <c r="AU42" s="293"/>
      <c r="AV42" s="293"/>
      <c r="AW42" s="293"/>
      <c r="AX42" s="293"/>
      <c r="AY42" s="293"/>
      <c r="AZ42" s="293"/>
      <c r="BA42" s="293"/>
      <c r="BB42" s="293"/>
      <c r="BC42" s="293"/>
      <c r="BD42" s="293"/>
      <c r="BE42" s="293"/>
      <c r="BF42" s="293"/>
      <c r="BG42" s="293"/>
      <c r="BH42" s="293"/>
      <c r="BI42" s="293"/>
      <c r="BJ42" s="293"/>
      <c r="BK42" s="293"/>
      <c r="BL42" s="293"/>
      <c r="BM42" s="293"/>
      <c r="BN42" s="293"/>
      <c r="BO42" s="293"/>
      <c r="BP42" s="293"/>
      <c r="BQ42" s="293"/>
      <c r="BR42" s="293"/>
      <c r="BS42" s="293"/>
      <c r="BT42" s="293"/>
      <c r="BU42" s="293"/>
      <c r="BV42" s="293"/>
      <c r="BW42" s="293"/>
      <c r="BX42" s="293"/>
      <c r="BY42" s="293"/>
      <c r="BZ42" s="293"/>
      <c r="CA42" s="293"/>
      <c r="CB42" s="293"/>
      <c r="CC42" s="293"/>
      <c r="CD42" s="293"/>
      <c r="CE42" s="293"/>
      <c r="CF42" s="293"/>
      <c r="CG42" s="293"/>
      <c r="CH42" s="293"/>
      <c r="CI42" s="293"/>
      <c r="CJ42" s="293"/>
      <c r="CK42" s="293"/>
      <c r="CL42" s="293"/>
      <c r="CM42" s="293"/>
      <c r="CN42" s="293"/>
      <c r="CO42" s="293"/>
      <c r="CP42" s="293"/>
      <c r="CQ42" s="293"/>
      <c r="CR42" s="293"/>
      <c r="CS42" s="293"/>
      <c r="CT42" s="293"/>
      <c r="CU42" s="293"/>
      <c r="CV42" s="293"/>
      <c r="CW42" s="293"/>
      <c r="CX42" s="293"/>
      <c r="CY42" s="293"/>
      <c r="CZ42" s="293"/>
      <c r="DA42" s="293"/>
      <c r="DB42" s="293"/>
      <c r="DC42" s="293"/>
      <c r="DD42" s="293"/>
      <c r="DE42" s="293"/>
      <c r="DF42" s="293"/>
      <c r="DG42" s="293"/>
      <c r="DH42" s="293"/>
      <c r="DI42" s="293"/>
      <c r="DJ42" s="293"/>
      <c r="DK42" s="293"/>
      <c r="DL42" s="293"/>
      <c r="DM42" s="293"/>
      <c r="DN42" s="293"/>
      <c r="DO42" s="293"/>
      <c r="DP42" s="293"/>
      <c r="DQ42" s="293"/>
      <c r="DR42" s="293"/>
      <c r="DS42" s="288"/>
      <c r="DT42" s="288"/>
      <c r="DU42" s="288"/>
      <c r="DV42" s="288"/>
      <c r="DW42" s="288"/>
      <c r="DX42" s="288"/>
      <c r="DY42" s="288"/>
      <c r="DZ42" s="288"/>
      <c r="EA42" s="288"/>
      <c r="EB42" s="288"/>
      <c r="EC42" s="288"/>
      <c r="ED42" s="288"/>
      <c r="EE42" s="288"/>
      <c r="EF42" s="288"/>
      <c r="EG42" s="288"/>
      <c r="EH42" s="288"/>
      <c r="EI42" s="288"/>
      <c r="EJ42" s="288"/>
      <c r="EK42" s="288"/>
      <c r="EL42" s="288"/>
      <c r="EM42" s="288"/>
      <c r="EN42" s="288"/>
      <c r="EO42" s="288"/>
      <c r="EP42" s="288"/>
      <c r="EQ42" s="288"/>
      <c r="ER42" s="288"/>
      <c r="ES42" s="288"/>
      <c r="ET42" s="288"/>
      <c r="EU42" s="288"/>
      <c r="EV42" s="288"/>
      <c r="EW42" s="288"/>
      <c r="EX42" s="288"/>
      <c r="EY42" s="288"/>
      <c r="EZ42" s="288"/>
      <c r="FA42" s="288"/>
      <c r="FB42" s="288"/>
      <c r="FC42" s="288"/>
      <c r="FD42" s="288"/>
      <c r="FE42" s="288"/>
      <c r="FF42" s="288"/>
      <c r="FG42" s="288"/>
      <c r="FH42" s="288"/>
    </row>
    <row r="43" ht="14.25" customHeight="1">
      <c r="A43" s="320" t="s">
        <v>406</v>
      </c>
      <c r="B43" s="31">
        <v>40823.313299999994</v>
      </c>
      <c r="C43" s="164" t="s">
        <v>35</v>
      </c>
      <c r="D43" s="147">
        <f>$B$38*'Incomes and Costs'!B22</f>
        <v>520.1</v>
      </c>
      <c r="E43" s="314"/>
      <c r="F43" s="315"/>
      <c r="G43" s="292"/>
      <c r="H43" s="293"/>
      <c r="I43" s="293"/>
      <c r="J43" s="293"/>
      <c r="K43" s="293"/>
      <c r="L43" s="293"/>
      <c r="M43" s="293"/>
      <c r="N43" s="293"/>
      <c r="O43" s="293"/>
      <c r="P43" s="293"/>
      <c r="Q43" s="293"/>
      <c r="R43" s="293"/>
      <c r="S43" s="293"/>
      <c r="T43" s="293"/>
      <c r="U43" s="293"/>
      <c r="V43" s="293"/>
      <c r="W43" s="293"/>
      <c r="X43" s="293"/>
      <c r="Y43" s="293"/>
      <c r="Z43" s="293"/>
      <c r="AA43" s="293"/>
      <c r="AB43" s="293"/>
      <c r="AC43" s="293"/>
      <c r="AD43" s="293"/>
      <c r="AE43" s="293"/>
      <c r="AF43" s="293"/>
      <c r="AG43" s="293"/>
      <c r="AH43" s="293"/>
      <c r="AI43" s="293"/>
      <c r="AJ43" s="293"/>
      <c r="AK43" s="293"/>
      <c r="AL43" s="293"/>
      <c r="AM43" s="293"/>
      <c r="AN43" s="293"/>
      <c r="AO43" s="293"/>
      <c r="AP43" s="293"/>
      <c r="AQ43" s="293"/>
      <c r="AR43" s="293"/>
      <c r="AS43" s="293"/>
      <c r="AT43" s="293"/>
      <c r="AU43" s="293"/>
      <c r="AV43" s="293"/>
      <c r="AW43" s="293"/>
      <c r="AX43" s="293"/>
      <c r="AY43" s="293"/>
      <c r="AZ43" s="293"/>
      <c r="BA43" s="293"/>
      <c r="BB43" s="293"/>
      <c r="BC43" s="293"/>
      <c r="BD43" s="293"/>
      <c r="BE43" s="293"/>
      <c r="BF43" s="293"/>
      <c r="BG43" s="293"/>
      <c r="BH43" s="293"/>
      <c r="BI43" s="293"/>
      <c r="BJ43" s="293"/>
      <c r="BK43" s="293"/>
      <c r="BL43" s="293"/>
      <c r="BM43" s="293"/>
      <c r="BN43" s="293"/>
      <c r="BO43" s="293"/>
      <c r="BP43" s="293"/>
      <c r="BQ43" s="293"/>
      <c r="BR43" s="293"/>
      <c r="BS43" s="293"/>
      <c r="BT43" s="293"/>
      <c r="BU43" s="293"/>
      <c r="BV43" s="293"/>
      <c r="BW43" s="293"/>
      <c r="BX43" s="293"/>
      <c r="BY43" s="293"/>
      <c r="BZ43" s="293"/>
      <c r="CA43" s="293"/>
      <c r="CB43" s="293"/>
      <c r="CC43" s="293"/>
      <c r="CD43" s="293"/>
      <c r="CE43" s="293"/>
      <c r="CF43" s="293"/>
      <c r="CG43" s="293"/>
      <c r="CH43" s="293"/>
      <c r="CI43" s="293"/>
      <c r="CJ43" s="293"/>
      <c r="CK43" s="293"/>
      <c r="CL43" s="293"/>
      <c r="CM43" s="293"/>
      <c r="CN43" s="293"/>
      <c r="CO43" s="293"/>
      <c r="CP43" s="293"/>
      <c r="CQ43" s="293"/>
      <c r="CR43" s="293"/>
      <c r="CS43" s="293"/>
      <c r="CT43" s="293"/>
      <c r="CU43" s="293"/>
      <c r="CV43" s="293"/>
      <c r="CW43" s="293"/>
      <c r="CX43" s="293"/>
      <c r="CY43" s="293"/>
      <c r="CZ43" s="293"/>
      <c r="DA43" s="293"/>
      <c r="DB43" s="293"/>
      <c r="DC43" s="293"/>
      <c r="DD43" s="293"/>
      <c r="DE43" s="293"/>
      <c r="DF43" s="293"/>
      <c r="DG43" s="293"/>
      <c r="DH43" s="293"/>
      <c r="DI43" s="293"/>
      <c r="DJ43" s="293"/>
      <c r="DK43" s="293"/>
      <c r="DL43" s="293"/>
      <c r="DM43" s="293"/>
      <c r="DN43" s="293"/>
      <c r="DO43" s="293"/>
      <c r="DP43" s="293"/>
      <c r="DQ43" s="293"/>
      <c r="DR43" s="293"/>
      <c r="DS43" s="288"/>
      <c r="DT43" s="288"/>
      <c r="DU43" s="288"/>
      <c r="DV43" s="288"/>
      <c r="DW43" s="288"/>
      <c r="DX43" s="288"/>
      <c r="DY43" s="288"/>
      <c r="DZ43" s="288"/>
      <c r="EA43" s="288"/>
      <c r="EB43" s="288"/>
      <c r="EC43" s="288"/>
      <c r="ED43" s="288"/>
      <c r="EE43" s="288"/>
      <c r="EF43" s="288"/>
      <c r="EG43" s="288"/>
      <c r="EH43" s="288"/>
      <c r="EI43" s="288"/>
      <c r="EJ43" s="288"/>
      <c r="EK43" s="288"/>
      <c r="EL43" s="288"/>
      <c r="EM43" s="288"/>
      <c r="EN43" s="288"/>
      <c r="EO43" s="288"/>
      <c r="EP43" s="288"/>
      <c r="EQ43" s="288"/>
      <c r="ER43" s="288"/>
      <c r="ES43" s="288"/>
      <c r="ET43" s="288"/>
      <c r="EU43" s="288"/>
      <c r="EV43" s="288"/>
      <c r="EW43" s="288"/>
      <c r="EX43" s="288"/>
      <c r="EY43" s="288"/>
      <c r="EZ43" s="288"/>
      <c r="FA43" s="288"/>
      <c r="FB43" s="288"/>
      <c r="FC43" s="288"/>
      <c r="FD43" s="288"/>
      <c r="FE43" s="288"/>
      <c r="FF43" s="288"/>
      <c r="FG43" s="288"/>
      <c r="FH43" s="288"/>
    </row>
    <row r="44" ht="14.25" customHeight="1">
      <c r="A44" s="286"/>
      <c r="B44" s="286"/>
      <c r="C44" s="287"/>
      <c r="D44" s="316"/>
      <c r="E44" s="314"/>
      <c r="F44" s="315"/>
      <c r="G44" s="292"/>
      <c r="H44" s="293"/>
      <c r="I44" s="293"/>
      <c r="J44" s="293"/>
      <c r="K44" s="293"/>
      <c r="L44" s="293"/>
      <c r="M44" s="293"/>
      <c r="N44" s="293"/>
      <c r="O44" s="293"/>
      <c r="P44" s="293"/>
      <c r="Q44" s="293"/>
      <c r="R44" s="293"/>
      <c r="S44" s="293"/>
      <c r="T44" s="293"/>
      <c r="U44" s="293"/>
      <c r="V44" s="293"/>
      <c r="W44" s="293"/>
      <c r="X44" s="293"/>
      <c r="Y44" s="293"/>
      <c r="Z44" s="293"/>
      <c r="AA44" s="293"/>
      <c r="AB44" s="293"/>
      <c r="AC44" s="293"/>
      <c r="AD44" s="293"/>
      <c r="AE44" s="293"/>
      <c r="AF44" s="293"/>
      <c r="AG44" s="293"/>
      <c r="AH44" s="293"/>
      <c r="AI44" s="293"/>
      <c r="AJ44" s="293"/>
      <c r="AK44" s="293"/>
      <c r="AL44" s="293"/>
      <c r="AM44" s="293"/>
      <c r="AN44" s="293"/>
      <c r="AO44" s="293"/>
      <c r="AP44" s="293"/>
      <c r="AQ44" s="293"/>
      <c r="AR44" s="293"/>
      <c r="AS44" s="293"/>
      <c r="AT44" s="293"/>
      <c r="AU44" s="293"/>
      <c r="AV44" s="293"/>
      <c r="AW44" s="293"/>
      <c r="AX44" s="293"/>
      <c r="AY44" s="293"/>
      <c r="AZ44" s="293"/>
      <c r="BA44" s="293"/>
      <c r="BB44" s="293"/>
      <c r="BC44" s="293"/>
      <c r="BD44" s="293"/>
      <c r="BE44" s="293"/>
      <c r="BF44" s="293"/>
      <c r="BG44" s="293"/>
      <c r="BH44" s="293"/>
      <c r="BI44" s="293"/>
      <c r="BJ44" s="293"/>
      <c r="BK44" s="293"/>
      <c r="BL44" s="293"/>
      <c r="BM44" s="293"/>
      <c r="BN44" s="293"/>
      <c r="BO44" s="293"/>
      <c r="BP44" s="293"/>
      <c r="BQ44" s="293"/>
      <c r="BR44" s="293"/>
      <c r="BS44" s="293"/>
      <c r="BT44" s="293"/>
      <c r="BU44" s="293"/>
      <c r="BV44" s="293"/>
      <c r="BW44" s="293"/>
      <c r="BX44" s="293"/>
      <c r="BY44" s="293"/>
      <c r="BZ44" s="293"/>
      <c r="CA44" s="293"/>
      <c r="CB44" s="293"/>
      <c r="CC44" s="293"/>
      <c r="CD44" s="293"/>
      <c r="CE44" s="293"/>
      <c r="CF44" s="293"/>
      <c r="CG44" s="293"/>
      <c r="CH44" s="293"/>
      <c r="CI44" s="293"/>
      <c r="CJ44" s="293"/>
      <c r="CK44" s="293"/>
      <c r="CL44" s="293"/>
      <c r="CM44" s="293"/>
      <c r="CN44" s="293"/>
      <c r="CO44" s="293"/>
      <c r="CP44" s="293"/>
      <c r="CQ44" s="293"/>
      <c r="CR44" s="293"/>
      <c r="CS44" s="293"/>
      <c r="CT44" s="293"/>
      <c r="CU44" s="293"/>
      <c r="CV44" s="293"/>
      <c r="CW44" s="293"/>
      <c r="CX44" s="293"/>
      <c r="CY44" s="293"/>
      <c r="CZ44" s="293"/>
      <c r="DA44" s="293"/>
      <c r="DB44" s="293"/>
      <c r="DC44" s="293"/>
      <c r="DD44" s="293"/>
      <c r="DE44" s="293"/>
      <c r="DF44" s="293"/>
      <c r="DG44" s="293"/>
      <c r="DH44" s="293"/>
      <c r="DI44" s="293"/>
      <c r="DJ44" s="293"/>
      <c r="DK44" s="293"/>
      <c r="DL44" s="293"/>
      <c r="DM44" s="293"/>
      <c r="DN44" s="293"/>
      <c r="DO44" s="293"/>
      <c r="DP44" s="293"/>
      <c r="DQ44" s="293"/>
      <c r="DR44" s="293"/>
      <c r="DS44" s="288"/>
      <c r="DT44" s="288"/>
      <c r="DU44" s="288"/>
      <c r="DV44" s="288"/>
      <c r="DW44" s="288"/>
      <c r="DX44" s="288"/>
      <c r="DY44" s="288"/>
      <c r="DZ44" s="288"/>
      <c r="EA44" s="288"/>
      <c r="EB44" s="288"/>
      <c r="EC44" s="288"/>
      <c r="ED44" s="288"/>
      <c r="EE44" s="288"/>
      <c r="EF44" s="288"/>
      <c r="EG44" s="288"/>
      <c r="EH44" s="288"/>
      <c r="EI44" s="288"/>
      <c r="EJ44" s="288"/>
      <c r="EK44" s="288"/>
      <c r="EL44" s="288"/>
      <c r="EM44" s="288"/>
      <c r="EN44" s="288"/>
      <c r="EO44" s="288"/>
      <c r="EP44" s="288"/>
      <c r="EQ44" s="288"/>
      <c r="ER44" s="288"/>
      <c r="ES44" s="288"/>
      <c r="ET44" s="288"/>
      <c r="EU44" s="288"/>
      <c r="EV44" s="288"/>
      <c r="EW44" s="288"/>
      <c r="EX44" s="288"/>
      <c r="EY44" s="288"/>
      <c r="EZ44" s="288"/>
      <c r="FA44" s="288"/>
      <c r="FB44" s="288"/>
      <c r="FC44" s="288"/>
      <c r="FD44" s="288"/>
      <c r="FE44" s="288"/>
      <c r="FF44" s="288"/>
      <c r="FG44" s="288"/>
      <c r="FH44" s="288"/>
    </row>
    <row r="45" ht="14.25" customHeight="1">
      <c r="A45" s="293"/>
      <c r="B45" s="324"/>
      <c r="C45" s="320" t="s">
        <v>407</v>
      </c>
      <c r="D45" s="320">
        <f>AVERAGE(D36:D43)</f>
        <v>151.1604167</v>
      </c>
      <c r="E45" s="314"/>
      <c r="F45" s="315"/>
      <c r="G45" s="292"/>
      <c r="H45" s="293"/>
      <c r="I45" s="293"/>
      <c r="J45" s="293"/>
      <c r="K45" s="293"/>
      <c r="L45" s="293"/>
      <c r="M45" s="293"/>
      <c r="N45" s="293"/>
      <c r="O45" s="293"/>
      <c r="P45" s="293"/>
      <c r="Q45" s="293"/>
      <c r="R45" s="293"/>
      <c r="S45" s="293"/>
      <c r="T45" s="293"/>
      <c r="U45" s="293"/>
      <c r="V45" s="293"/>
      <c r="W45" s="293"/>
      <c r="X45" s="293"/>
      <c r="Y45" s="293"/>
      <c r="Z45" s="293"/>
      <c r="AA45" s="293"/>
      <c r="AB45" s="293"/>
      <c r="AC45" s="293"/>
      <c r="AD45" s="293"/>
      <c r="AE45" s="293"/>
      <c r="AF45" s="293"/>
      <c r="AG45" s="293"/>
      <c r="AH45" s="293"/>
      <c r="AI45" s="293"/>
      <c r="AJ45" s="293"/>
      <c r="AK45" s="293"/>
      <c r="AL45" s="293"/>
      <c r="AM45" s="293"/>
      <c r="AN45" s="293"/>
      <c r="AO45" s="293"/>
      <c r="AP45" s="293"/>
      <c r="AQ45" s="293"/>
      <c r="AR45" s="293"/>
      <c r="AS45" s="293"/>
      <c r="AT45" s="293"/>
      <c r="AU45" s="293"/>
      <c r="AV45" s="293"/>
      <c r="AW45" s="293"/>
      <c r="AX45" s="293"/>
      <c r="AY45" s="293"/>
      <c r="AZ45" s="293"/>
      <c r="BA45" s="293"/>
      <c r="BB45" s="293"/>
      <c r="BC45" s="293"/>
      <c r="BD45" s="293"/>
      <c r="BE45" s="293"/>
      <c r="BF45" s="293"/>
      <c r="BG45" s="293"/>
      <c r="BH45" s="293"/>
      <c r="BI45" s="293"/>
      <c r="BJ45" s="293"/>
      <c r="BK45" s="293"/>
      <c r="BL45" s="293"/>
      <c r="BM45" s="293"/>
      <c r="BN45" s="293"/>
      <c r="BO45" s="293"/>
      <c r="BP45" s="293"/>
      <c r="BQ45" s="293"/>
      <c r="BR45" s="293"/>
      <c r="BS45" s="293"/>
      <c r="BT45" s="293"/>
      <c r="BU45" s="293"/>
      <c r="BV45" s="293"/>
      <c r="BW45" s="293"/>
      <c r="BX45" s="293"/>
      <c r="BY45" s="293"/>
      <c r="BZ45" s="293"/>
      <c r="CA45" s="293"/>
      <c r="CB45" s="293"/>
      <c r="CC45" s="293"/>
      <c r="CD45" s="293"/>
      <c r="CE45" s="293"/>
      <c r="CF45" s="293"/>
      <c r="CG45" s="293"/>
      <c r="CH45" s="293"/>
      <c r="CI45" s="293"/>
      <c r="CJ45" s="293"/>
      <c r="CK45" s="293"/>
      <c r="CL45" s="293"/>
      <c r="CM45" s="293"/>
      <c r="CN45" s="293"/>
      <c r="CO45" s="293"/>
      <c r="CP45" s="293"/>
      <c r="CQ45" s="293"/>
      <c r="CR45" s="293"/>
      <c r="CS45" s="293"/>
      <c r="CT45" s="293"/>
      <c r="CU45" s="293"/>
      <c r="CV45" s="293"/>
      <c r="CW45" s="293"/>
      <c r="CX45" s="293"/>
      <c r="CY45" s="293"/>
      <c r="CZ45" s="293"/>
      <c r="DA45" s="293"/>
      <c r="DB45" s="293"/>
      <c r="DC45" s="293"/>
      <c r="DD45" s="293"/>
      <c r="DE45" s="293"/>
      <c r="DF45" s="293"/>
      <c r="DG45" s="293"/>
      <c r="DH45" s="293"/>
      <c r="DI45" s="293"/>
      <c r="DJ45" s="293"/>
      <c r="DK45" s="293"/>
      <c r="DL45" s="293"/>
      <c r="DM45" s="293"/>
      <c r="DN45" s="293"/>
      <c r="DO45" s="293"/>
      <c r="DP45" s="293"/>
      <c r="DQ45" s="293"/>
      <c r="DR45" s="293"/>
      <c r="DS45" s="288"/>
      <c r="DT45" s="288"/>
      <c r="DU45" s="288"/>
      <c r="DV45" s="288"/>
      <c r="DW45" s="288"/>
      <c r="DX45" s="288"/>
      <c r="DY45" s="288"/>
      <c r="DZ45" s="288"/>
      <c r="EA45" s="288"/>
      <c r="EB45" s="288"/>
      <c r="EC45" s="288"/>
      <c r="ED45" s="288"/>
      <c r="EE45" s="288"/>
      <c r="EF45" s="288"/>
      <c r="EG45" s="288"/>
      <c r="EH45" s="288"/>
      <c r="EI45" s="288"/>
      <c r="EJ45" s="288"/>
      <c r="EK45" s="288"/>
      <c r="EL45" s="288"/>
      <c r="EM45" s="288"/>
      <c r="EN45" s="288"/>
      <c r="EO45" s="288"/>
      <c r="EP45" s="288"/>
      <c r="EQ45" s="288"/>
      <c r="ER45" s="288"/>
      <c r="ES45" s="288"/>
      <c r="ET45" s="288"/>
      <c r="EU45" s="288"/>
      <c r="EV45" s="288"/>
      <c r="EW45" s="288"/>
      <c r="EX45" s="288"/>
      <c r="EY45" s="288"/>
      <c r="EZ45" s="288"/>
      <c r="FA45" s="288"/>
      <c r="FB45" s="288"/>
      <c r="FC45" s="288"/>
      <c r="FD45" s="288"/>
      <c r="FE45" s="288"/>
      <c r="FF45" s="288"/>
      <c r="FG45" s="288"/>
      <c r="FH45" s="288"/>
    </row>
    <row r="46" ht="14.25" customHeight="1">
      <c r="A46" s="293"/>
      <c r="B46" s="293"/>
      <c r="C46" s="286"/>
      <c r="D46" s="325"/>
      <c r="E46" s="155"/>
      <c r="F46" s="326"/>
      <c r="G46" s="293"/>
      <c r="H46" s="293"/>
      <c r="I46" s="293"/>
      <c r="J46" s="293"/>
      <c r="K46" s="293"/>
      <c r="L46" s="293"/>
      <c r="M46" s="293"/>
      <c r="N46" s="293"/>
      <c r="O46" s="293"/>
      <c r="P46" s="293"/>
      <c r="Q46" s="293"/>
      <c r="R46" s="293"/>
      <c r="S46" s="293"/>
      <c r="T46" s="293"/>
      <c r="U46" s="293"/>
      <c r="V46" s="293"/>
      <c r="W46" s="293"/>
      <c r="X46" s="293"/>
      <c r="Y46" s="293"/>
      <c r="Z46" s="293"/>
      <c r="AA46" s="293"/>
      <c r="AB46" s="293"/>
      <c r="AC46" s="293"/>
      <c r="AD46" s="293"/>
      <c r="AE46" s="293"/>
      <c r="AF46" s="293"/>
      <c r="AG46" s="293"/>
      <c r="AH46" s="293"/>
      <c r="AI46" s="293"/>
      <c r="AJ46" s="293"/>
      <c r="AK46" s="293"/>
      <c r="AL46" s="293"/>
      <c r="AM46" s="293"/>
      <c r="AN46" s="293"/>
      <c r="AO46" s="293"/>
      <c r="AP46" s="293"/>
      <c r="AQ46" s="293"/>
      <c r="AR46" s="293"/>
      <c r="AS46" s="293"/>
      <c r="AT46" s="293"/>
      <c r="AU46" s="293"/>
      <c r="AV46" s="293"/>
      <c r="AW46" s="293"/>
      <c r="AX46" s="293"/>
      <c r="AY46" s="293"/>
      <c r="AZ46" s="293"/>
      <c r="BA46" s="293"/>
      <c r="BB46" s="293"/>
      <c r="BC46" s="293"/>
      <c r="BD46" s="293"/>
      <c r="BE46" s="293"/>
      <c r="BF46" s="293"/>
      <c r="BG46" s="293"/>
      <c r="BH46" s="293"/>
      <c r="BI46" s="293"/>
      <c r="BJ46" s="293"/>
      <c r="BK46" s="293"/>
      <c r="BL46" s="293"/>
      <c r="BM46" s="293"/>
      <c r="BN46" s="293"/>
      <c r="BO46" s="293"/>
      <c r="BP46" s="293"/>
      <c r="BQ46" s="293"/>
      <c r="BR46" s="293"/>
      <c r="BS46" s="293"/>
      <c r="BT46" s="293"/>
      <c r="BU46" s="293"/>
      <c r="BV46" s="293"/>
      <c r="BW46" s="293"/>
      <c r="BX46" s="293"/>
      <c r="BY46" s="293"/>
      <c r="BZ46" s="293"/>
      <c r="CA46" s="293"/>
      <c r="CB46" s="293"/>
      <c r="CC46" s="293"/>
      <c r="CD46" s="293"/>
      <c r="CE46" s="293"/>
      <c r="CF46" s="293"/>
      <c r="CG46" s="293"/>
      <c r="CH46" s="293"/>
      <c r="CI46" s="293"/>
      <c r="CJ46" s="293"/>
      <c r="CK46" s="293"/>
      <c r="CL46" s="293"/>
      <c r="CM46" s="293"/>
      <c r="CN46" s="293"/>
      <c r="CO46" s="293"/>
      <c r="CP46" s="293"/>
      <c r="CQ46" s="293"/>
      <c r="CR46" s="293"/>
      <c r="CS46" s="293"/>
      <c r="CT46" s="293"/>
      <c r="CU46" s="293"/>
      <c r="CV46" s="293"/>
      <c r="CW46" s="293"/>
      <c r="CX46" s="293"/>
      <c r="CY46" s="293"/>
      <c r="CZ46" s="293"/>
      <c r="DA46" s="293"/>
      <c r="DB46" s="293"/>
      <c r="DC46" s="293"/>
      <c r="DD46" s="293"/>
      <c r="DE46" s="293"/>
      <c r="DF46" s="293"/>
      <c r="DG46" s="293"/>
      <c r="DH46" s="293"/>
      <c r="DI46" s="293"/>
      <c r="DJ46" s="293"/>
      <c r="DK46" s="293"/>
      <c r="DL46" s="293"/>
      <c r="DM46" s="293"/>
      <c r="DN46" s="293"/>
      <c r="DO46" s="293"/>
      <c r="DP46" s="293"/>
      <c r="DQ46" s="293"/>
      <c r="DR46" s="293"/>
      <c r="DS46" s="288"/>
      <c r="DT46" s="288"/>
      <c r="DU46" s="288"/>
      <c r="DV46" s="288"/>
      <c r="DW46" s="288"/>
      <c r="DX46" s="288"/>
      <c r="DY46" s="288"/>
      <c r="DZ46" s="288"/>
      <c r="EA46" s="288"/>
      <c r="EB46" s="288"/>
      <c r="EC46" s="288"/>
      <c r="ED46" s="288"/>
      <c r="EE46" s="288"/>
      <c r="EF46" s="288"/>
      <c r="EG46" s="288"/>
      <c r="EH46" s="288"/>
      <c r="EI46" s="288"/>
      <c r="EJ46" s="288"/>
      <c r="EK46" s="288"/>
      <c r="EL46" s="288"/>
      <c r="EM46" s="288"/>
      <c r="EN46" s="288"/>
      <c r="EO46" s="288"/>
      <c r="EP46" s="288"/>
      <c r="EQ46" s="288"/>
      <c r="ER46" s="288"/>
      <c r="ES46" s="288"/>
      <c r="ET46" s="288"/>
      <c r="EU46" s="288"/>
      <c r="EV46" s="288"/>
      <c r="EW46" s="288"/>
      <c r="EX46" s="288"/>
      <c r="EY46" s="288"/>
      <c r="EZ46" s="288"/>
      <c r="FA46" s="288"/>
      <c r="FB46" s="288"/>
      <c r="FC46" s="288"/>
      <c r="FD46" s="288"/>
      <c r="FE46" s="288"/>
      <c r="FF46" s="288"/>
      <c r="FG46" s="288"/>
      <c r="FH46" s="288"/>
    </row>
    <row r="47" ht="14.25" customHeight="1">
      <c r="A47" s="293"/>
      <c r="B47" s="293"/>
      <c r="C47" s="293"/>
      <c r="D47" s="293"/>
      <c r="E47" s="286"/>
      <c r="F47" s="293"/>
      <c r="G47" s="293"/>
      <c r="H47" s="293"/>
      <c r="I47" s="293"/>
      <c r="J47" s="293"/>
      <c r="K47" s="293"/>
      <c r="L47" s="293"/>
      <c r="M47" s="293"/>
      <c r="N47" s="293"/>
      <c r="O47" s="293"/>
      <c r="P47" s="293"/>
      <c r="Q47" s="293"/>
      <c r="R47" s="293"/>
      <c r="S47" s="293"/>
      <c r="T47" s="293"/>
      <c r="U47" s="293"/>
      <c r="V47" s="293"/>
      <c r="W47" s="293"/>
      <c r="X47" s="293"/>
      <c r="Y47" s="293"/>
      <c r="Z47" s="293"/>
      <c r="AA47" s="293"/>
      <c r="AB47" s="293"/>
      <c r="AC47" s="293"/>
      <c r="AD47" s="293"/>
      <c r="AE47" s="293"/>
      <c r="AF47" s="293"/>
      <c r="AG47" s="293"/>
      <c r="AH47" s="293"/>
      <c r="AI47" s="293"/>
      <c r="AJ47" s="293"/>
      <c r="AK47" s="293"/>
      <c r="AL47" s="293"/>
      <c r="AM47" s="293"/>
      <c r="AN47" s="293"/>
      <c r="AO47" s="293"/>
      <c r="AP47" s="293"/>
      <c r="AQ47" s="293"/>
      <c r="AR47" s="293"/>
      <c r="AS47" s="293"/>
      <c r="AT47" s="293"/>
      <c r="AU47" s="293"/>
      <c r="AV47" s="293"/>
      <c r="AW47" s="293"/>
      <c r="AX47" s="293"/>
      <c r="AY47" s="293"/>
      <c r="AZ47" s="293"/>
      <c r="BA47" s="293"/>
      <c r="BB47" s="293"/>
      <c r="BC47" s="293"/>
      <c r="BD47" s="293"/>
      <c r="BE47" s="293"/>
      <c r="BF47" s="293"/>
      <c r="BG47" s="293"/>
      <c r="BH47" s="293"/>
      <c r="BI47" s="293"/>
      <c r="BJ47" s="293"/>
      <c r="BK47" s="293"/>
      <c r="BL47" s="293"/>
      <c r="BM47" s="293"/>
      <c r="BN47" s="293"/>
      <c r="BO47" s="293"/>
      <c r="BP47" s="293"/>
      <c r="BQ47" s="293"/>
      <c r="BR47" s="293"/>
      <c r="BS47" s="293"/>
      <c r="BT47" s="293"/>
      <c r="BU47" s="293"/>
      <c r="BV47" s="293"/>
      <c r="BW47" s="293"/>
      <c r="BX47" s="293"/>
      <c r="BY47" s="293"/>
      <c r="BZ47" s="293"/>
      <c r="CA47" s="293"/>
      <c r="CB47" s="293"/>
      <c r="CC47" s="293"/>
      <c r="CD47" s="293"/>
      <c r="CE47" s="293"/>
      <c r="CF47" s="293"/>
      <c r="CG47" s="293"/>
      <c r="CH47" s="293"/>
      <c r="CI47" s="293"/>
      <c r="CJ47" s="293"/>
      <c r="CK47" s="293"/>
      <c r="CL47" s="293"/>
      <c r="CM47" s="293"/>
      <c r="CN47" s="293"/>
      <c r="CO47" s="293"/>
      <c r="CP47" s="293"/>
      <c r="CQ47" s="293"/>
      <c r="CR47" s="293"/>
      <c r="CS47" s="293"/>
      <c r="CT47" s="293"/>
      <c r="CU47" s="293"/>
      <c r="CV47" s="293"/>
      <c r="CW47" s="293"/>
      <c r="CX47" s="293"/>
      <c r="CY47" s="293"/>
      <c r="CZ47" s="293"/>
      <c r="DA47" s="293"/>
      <c r="DB47" s="293"/>
      <c r="DC47" s="293"/>
      <c r="DD47" s="293"/>
      <c r="DE47" s="293"/>
      <c r="DF47" s="293"/>
      <c r="DG47" s="293"/>
      <c r="DH47" s="293"/>
      <c r="DI47" s="293"/>
      <c r="DJ47" s="293"/>
      <c r="DK47" s="293"/>
      <c r="DL47" s="293"/>
      <c r="DM47" s="293"/>
      <c r="DN47" s="293"/>
      <c r="DO47" s="293"/>
      <c r="DP47" s="293"/>
      <c r="DQ47" s="293"/>
      <c r="DR47" s="293"/>
      <c r="DS47" s="288"/>
      <c r="DT47" s="288"/>
      <c r="DU47" s="288"/>
      <c r="DV47" s="288"/>
      <c r="DW47" s="288"/>
      <c r="DX47" s="288"/>
      <c r="DY47" s="288"/>
      <c r="DZ47" s="288"/>
      <c r="EA47" s="288"/>
      <c r="EB47" s="288"/>
      <c r="EC47" s="288"/>
      <c r="ED47" s="288"/>
      <c r="EE47" s="288"/>
      <c r="EF47" s="288"/>
      <c r="EG47" s="288"/>
      <c r="EH47" s="288"/>
      <c r="EI47" s="288"/>
      <c r="EJ47" s="288"/>
      <c r="EK47" s="288"/>
      <c r="EL47" s="288"/>
      <c r="EM47" s="288"/>
      <c r="EN47" s="288"/>
      <c r="EO47" s="288"/>
      <c r="EP47" s="288"/>
      <c r="EQ47" s="288"/>
      <c r="ER47" s="288"/>
      <c r="ES47" s="288"/>
      <c r="ET47" s="288"/>
      <c r="EU47" s="288"/>
      <c r="EV47" s="288"/>
      <c r="EW47" s="288"/>
      <c r="EX47" s="288"/>
      <c r="EY47" s="288"/>
      <c r="EZ47" s="288"/>
      <c r="FA47" s="288"/>
      <c r="FB47" s="288"/>
      <c r="FC47" s="288"/>
      <c r="FD47" s="288"/>
      <c r="FE47" s="288"/>
      <c r="FF47" s="288"/>
      <c r="FG47" s="288"/>
      <c r="FH47" s="288"/>
    </row>
    <row r="48" ht="14.25" customHeight="1">
      <c r="A48" s="293"/>
      <c r="B48" s="293"/>
      <c r="C48" s="293"/>
      <c r="D48" s="293"/>
      <c r="E48" s="293"/>
      <c r="F48" s="293"/>
      <c r="G48" s="293"/>
      <c r="H48" s="293"/>
      <c r="I48" s="293"/>
      <c r="J48" s="293"/>
      <c r="K48" s="293"/>
      <c r="L48" s="293"/>
      <c r="M48" s="293"/>
      <c r="N48" s="293"/>
      <c r="O48" s="293"/>
      <c r="P48" s="293"/>
      <c r="Q48" s="293"/>
      <c r="R48" s="293"/>
      <c r="S48" s="293"/>
      <c r="T48" s="293"/>
      <c r="U48" s="293"/>
      <c r="V48" s="293"/>
      <c r="W48" s="293"/>
      <c r="X48" s="293"/>
      <c r="Y48" s="293"/>
      <c r="Z48" s="293"/>
      <c r="AA48" s="293"/>
      <c r="AB48" s="293"/>
      <c r="AC48" s="293"/>
      <c r="AD48" s="293"/>
      <c r="AE48" s="293"/>
      <c r="AF48" s="293"/>
      <c r="AG48" s="293"/>
      <c r="AH48" s="293"/>
      <c r="AI48" s="293"/>
      <c r="AJ48" s="293"/>
      <c r="AK48" s="293"/>
      <c r="AL48" s="293"/>
      <c r="AM48" s="293"/>
      <c r="AN48" s="293"/>
      <c r="AO48" s="293"/>
      <c r="AP48" s="293"/>
      <c r="AQ48" s="293"/>
      <c r="AR48" s="293"/>
      <c r="AS48" s="293"/>
      <c r="AT48" s="293"/>
      <c r="AU48" s="293"/>
      <c r="AV48" s="293"/>
      <c r="AW48" s="293"/>
      <c r="AX48" s="293"/>
      <c r="AY48" s="293"/>
      <c r="AZ48" s="293"/>
      <c r="BA48" s="293"/>
      <c r="BB48" s="293"/>
      <c r="BC48" s="293"/>
      <c r="BD48" s="293"/>
      <c r="BE48" s="293"/>
      <c r="BF48" s="293"/>
      <c r="BG48" s="293"/>
      <c r="BH48" s="293"/>
      <c r="BI48" s="293"/>
      <c r="BJ48" s="293"/>
      <c r="BK48" s="293"/>
      <c r="BL48" s="293"/>
      <c r="BM48" s="293"/>
      <c r="BN48" s="293"/>
      <c r="BO48" s="293"/>
      <c r="BP48" s="293"/>
      <c r="BQ48" s="293"/>
      <c r="BR48" s="293"/>
      <c r="BS48" s="293"/>
      <c r="BT48" s="293"/>
      <c r="BU48" s="293"/>
      <c r="BV48" s="293"/>
      <c r="BW48" s="293"/>
      <c r="BX48" s="293"/>
      <c r="BY48" s="293"/>
      <c r="BZ48" s="293"/>
      <c r="CA48" s="293"/>
      <c r="CB48" s="293"/>
      <c r="CC48" s="293"/>
      <c r="CD48" s="293"/>
      <c r="CE48" s="293"/>
      <c r="CF48" s="293"/>
      <c r="CG48" s="293"/>
      <c r="CH48" s="293"/>
      <c r="CI48" s="293"/>
      <c r="CJ48" s="293"/>
      <c r="CK48" s="293"/>
      <c r="CL48" s="293"/>
      <c r="CM48" s="293"/>
      <c r="CN48" s="293"/>
      <c r="CO48" s="293"/>
      <c r="CP48" s="293"/>
      <c r="CQ48" s="293"/>
      <c r="CR48" s="293"/>
      <c r="CS48" s="293"/>
      <c r="CT48" s="293"/>
      <c r="CU48" s="293"/>
      <c r="CV48" s="293"/>
      <c r="CW48" s="293"/>
      <c r="CX48" s="293"/>
      <c r="CY48" s="293"/>
      <c r="CZ48" s="293"/>
      <c r="DA48" s="293"/>
      <c r="DB48" s="293"/>
      <c r="DC48" s="293"/>
      <c r="DD48" s="293"/>
      <c r="DE48" s="293"/>
      <c r="DF48" s="293"/>
      <c r="DG48" s="293"/>
      <c r="DH48" s="293"/>
      <c r="DI48" s="293"/>
      <c r="DJ48" s="293"/>
      <c r="DK48" s="293"/>
      <c r="DL48" s="293"/>
      <c r="DM48" s="293"/>
      <c r="DN48" s="293"/>
      <c r="DO48" s="293"/>
      <c r="DP48" s="293"/>
      <c r="DQ48" s="293"/>
      <c r="DR48" s="293"/>
      <c r="DS48" s="288"/>
      <c r="DT48" s="288"/>
      <c r="DU48" s="288"/>
      <c r="DV48" s="288"/>
      <c r="DW48" s="288"/>
      <c r="DX48" s="288"/>
      <c r="DY48" s="288"/>
      <c r="DZ48" s="288"/>
      <c r="EA48" s="288"/>
      <c r="EB48" s="288"/>
      <c r="EC48" s="288"/>
      <c r="ED48" s="288"/>
      <c r="EE48" s="288"/>
      <c r="EF48" s="288"/>
      <c r="EG48" s="288"/>
      <c r="EH48" s="288"/>
      <c r="EI48" s="288"/>
      <c r="EJ48" s="288"/>
      <c r="EK48" s="288"/>
      <c r="EL48" s="288"/>
      <c r="EM48" s="288"/>
      <c r="EN48" s="288"/>
      <c r="EO48" s="288"/>
      <c r="EP48" s="288"/>
      <c r="EQ48" s="288"/>
      <c r="ER48" s="288"/>
      <c r="ES48" s="288"/>
      <c r="ET48" s="288"/>
      <c r="EU48" s="288"/>
      <c r="EV48" s="288"/>
      <c r="EW48" s="288"/>
      <c r="EX48" s="288"/>
      <c r="EY48" s="288"/>
      <c r="EZ48" s="288"/>
      <c r="FA48" s="288"/>
      <c r="FB48" s="288"/>
      <c r="FC48" s="288"/>
      <c r="FD48" s="288"/>
      <c r="FE48" s="288"/>
      <c r="FF48" s="288"/>
      <c r="FG48" s="288"/>
      <c r="FH48" s="288"/>
    </row>
    <row r="49" ht="14.25" customHeight="1">
      <c r="A49" s="293"/>
      <c r="B49" s="293"/>
      <c r="C49" s="293"/>
      <c r="D49" s="293"/>
      <c r="E49" s="293"/>
      <c r="F49" s="293"/>
      <c r="G49" s="293"/>
      <c r="H49" s="293"/>
      <c r="I49" s="293"/>
      <c r="J49" s="293"/>
      <c r="K49" s="293"/>
      <c r="L49" s="293"/>
      <c r="M49" s="293"/>
      <c r="N49" s="293"/>
      <c r="O49" s="293"/>
      <c r="P49" s="293"/>
      <c r="Q49" s="293"/>
      <c r="R49" s="293"/>
      <c r="S49" s="293"/>
      <c r="T49" s="293"/>
      <c r="U49" s="293"/>
      <c r="V49" s="293"/>
      <c r="W49" s="293"/>
      <c r="X49" s="293"/>
      <c r="Y49" s="293"/>
      <c r="Z49" s="293"/>
      <c r="AA49" s="293"/>
      <c r="AB49" s="293"/>
      <c r="AC49" s="293"/>
      <c r="AD49" s="293"/>
      <c r="AE49" s="293"/>
      <c r="AF49" s="293"/>
      <c r="AG49" s="293"/>
      <c r="AH49" s="293"/>
      <c r="AI49" s="293"/>
      <c r="AJ49" s="293"/>
      <c r="AK49" s="293"/>
      <c r="AL49" s="293"/>
      <c r="AM49" s="293"/>
      <c r="AN49" s="293"/>
      <c r="AO49" s="293"/>
      <c r="AP49" s="293"/>
      <c r="AQ49" s="293"/>
      <c r="AR49" s="293"/>
      <c r="AS49" s="293"/>
      <c r="AT49" s="293"/>
      <c r="AU49" s="293"/>
      <c r="AV49" s="293"/>
      <c r="AW49" s="293"/>
      <c r="AX49" s="293"/>
      <c r="AY49" s="293"/>
      <c r="AZ49" s="293"/>
      <c r="BA49" s="293"/>
      <c r="BB49" s="293"/>
      <c r="BC49" s="293"/>
      <c r="BD49" s="293"/>
      <c r="BE49" s="293"/>
      <c r="BF49" s="293"/>
      <c r="BG49" s="293"/>
      <c r="BH49" s="293"/>
      <c r="BI49" s="293"/>
      <c r="BJ49" s="293"/>
      <c r="BK49" s="293"/>
      <c r="BL49" s="293"/>
      <c r="BM49" s="293"/>
      <c r="BN49" s="293"/>
      <c r="BO49" s="293"/>
      <c r="BP49" s="293"/>
      <c r="BQ49" s="293"/>
      <c r="BR49" s="293"/>
      <c r="BS49" s="293"/>
      <c r="BT49" s="293"/>
      <c r="BU49" s="293"/>
      <c r="BV49" s="293"/>
      <c r="BW49" s="293"/>
      <c r="BX49" s="293"/>
      <c r="BY49" s="293"/>
      <c r="BZ49" s="293"/>
      <c r="CA49" s="293"/>
      <c r="CB49" s="293"/>
      <c r="CC49" s="293"/>
      <c r="CD49" s="293"/>
      <c r="CE49" s="293"/>
      <c r="CF49" s="293"/>
      <c r="CG49" s="293"/>
      <c r="CH49" s="293"/>
      <c r="CI49" s="293"/>
      <c r="CJ49" s="293"/>
      <c r="CK49" s="293"/>
      <c r="CL49" s="293"/>
      <c r="CM49" s="293"/>
      <c r="CN49" s="293"/>
      <c r="CO49" s="293"/>
      <c r="CP49" s="293"/>
      <c r="CQ49" s="293"/>
      <c r="CR49" s="293"/>
      <c r="CS49" s="293"/>
      <c r="CT49" s="293"/>
      <c r="CU49" s="293"/>
      <c r="CV49" s="293"/>
      <c r="CW49" s="293"/>
      <c r="CX49" s="293"/>
      <c r="CY49" s="293"/>
      <c r="CZ49" s="293"/>
      <c r="DA49" s="293"/>
      <c r="DB49" s="293"/>
      <c r="DC49" s="293"/>
      <c r="DD49" s="293"/>
      <c r="DE49" s="293"/>
      <c r="DF49" s="293"/>
      <c r="DG49" s="293"/>
      <c r="DH49" s="293"/>
      <c r="DI49" s="293"/>
      <c r="DJ49" s="293"/>
      <c r="DK49" s="293"/>
      <c r="DL49" s="293"/>
      <c r="DM49" s="293"/>
      <c r="DN49" s="293"/>
      <c r="DO49" s="293"/>
      <c r="DP49" s="293"/>
      <c r="DQ49" s="293"/>
      <c r="DR49" s="293"/>
      <c r="DS49" s="288"/>
      <c r="DT49" s="288"/>
      <c r="DU49" s="288"/>
      <c r="DV49" s="288"/>
      <c r="DW49" s="288"/>
      <c r="DX49" s="288"/>
      <c r="DY49" s="288"/>
      <c r="DZ49" s="288"/>
      <c r="EA49" s="288"/>
      <c r="EB49" s="288"/>
      <c r="EC49" s="288"/>
      <c r="ED49" s="288"/>
      <c r="EE49" s="288"/>
      <c r="EF49" s="288"/>
      <c r="EG49" s="288"/>
      <c r="EH49" s="288"/>
      <c r="EI49" s="288"/>
      <c r="EJ49" s="288"/>
      <c r="EK49" s="288"/>
      <c r="EL49" s="288"/>
      <c r="EM49" s="288"/>
      <c r="EN49" s="288"/>
      <c r="EO49" s="288"/>
      <c r="EP49" s="288"/>
      <c r="EQ49" s="288"/>
      <c r="ER49" s="288"/>
      <c r="ES49" s="288"/>
      <c r="ET49" s="288"/>
      <c r="EU49" s="288"/>
      <c r="EV49" s="288"/>
      <c r="EW49" s="288"/>
      <c r="EX49" s="288"/>
      <c r="EY49" s="288"/>
      <c r="EZ49" s="288"/>
      <c r="FA49" s="288"/>
      <c r="FB49" s="288"/>
      <c r="FC49" s="288"/>
      <c r="FD49" s="288"/>
      <c r="FE49" s="288"/>
      <c r="FF49" s="288"/>
      <c r="FG49" s="288"/>
      <c r="FH49" s="288"/>
    </row>
    <row r="50" ht="14.25" customHeight="1">
      <c r="A50" s="293"/>
      <c r="B50" s="293"/>
      <c r="C50" s="293"/>
      <c r="D50" s="293"/>
      <c r="E50" s="293"/>
      <c r="F50" s="293"/>
      <c r="G50" s="293"/>
      <c r="H50" s="293"/>
      <c r="I50" s="293"/>
      <c r="J50" s="293"/>
      <c r="K50" s="293"/>
      <c r="L50" s="293"/>
      <c r="M50" s="293"/>
      <c r="N50" s="293"/>
      <c r="O50" s="293"/>
      <c r="P50" s="293"/>
      <c r="Q50" s="293"/>
      <c r="R50" s="293"/>
      <c r="S50" s="293"/>
      <c r="T50" s="293"/>
      <c r="U50" s="293"/>
      <c r="V50" s="293"/>
      <c r="W50" s="293"/>
      <c r="X50" s="293"/>
      <c r="Y50" s="293"/>
      <c r="Z50" s="293"/>
      <c r="AA50" s="293"/>
      <c r="AB50" s="293"/>
      <c r="AC50" s="293"/>
      <c r="AD50" s="293"/>
      <c r="AE50" s="293"/>
      <c r="AF50" s="293"/>
      <c r="AG50" s="293"/>
      <c r="AH50" s="293"/>
      <c r="AI50" s="293"/>
      <c r="AJ50" s="293"/>
      <c r="AK50" s="293"/>
      <c r="AL50" s="293"/>
      <c r="AM50" s="293"/>
      <c r="AN50" s="293"/>
      <c r="AO50" s="293"/>
      <c r="AP50" s="293"/>
      <c r="AQ50" s="293"/>
      <c r="AR50" s="293"/>
      <c r="AS50" s="293"/>
      <c r="AT50" s="293"/>
      <c r="AU50" s="293"/>
      <c r="AV50" s="293"/>
      <c r="AW50" s="293"/>
      <c r="AX50" s="293"/>
      <c r="AY50" s="293"/>
      <c r="AZ50" s="293"/>
      <c r="BA50" s="293"/>
      <c r="BB50" s="293"/>
      <c r="BC50" s="293"/>
      <c r="BD50" s="293"/>
      <c r="BE50" s="293"/>
      <c r="BF50" s="293"/>
      <c r="BG50" s="293"/>
      <c r="BH50" s="293"/>
      <c r="BI50" s="293"/>
      <c r="BJ50" s="293"/>
      <c r="BK50" s="293"/>
      <c r="BL50" s="293"/>
      <c r="BM50" s="293"/>
      <c r="BN50" s="293"/>
      <c r="BO50" s="293"/>
      <c r="BP50" s="293"/>
      <c r="BQ50" s="293"/>
      <c r="BR50" s="293"/>
      <c r="BS50" s="293"/>
      <c r="BT50" s="293"/>
      <c r="BU50" s="293"/>
      <c r="BV50" s="293"/>
      <c r="BW50" s="293"/>
      <c r="BX50" s="293"/>
      <c r="BY50" s="293"/>
      <c r="BZ50" s="293"/>
      <c r="CA50" s="293"/>
      <c r="CB50" s="293"/>
      <c r="CC50" s="293"/>
      <c r="CD50" s="293"/>
      <c r="CE50" s="293"/>
      <c r="CF50" s="293"/>
      <c r="CG50" s="293"/>
      <c r="CH50" s="293"/>
      <c r="CI50" s="293"/>
      <c r="CJ50" s="293"/>
      <c r="CK50" s="293"/>
      <c r="CL50" s="293"/>
      <c r="CM50" s="293"/>
      <c r="CN50" s="293"/>
      <c r="CO50" s="293"/>
      <c r="CP50" s="293"/>
      <c r="CQ50" s="293"/>
      <c r="CR50" s="293"/>
      <c r="CS50" s="293"/>
      <c r="CT50" s="293"/>
      <c r="CU50" s="293"/>
      <c r="CV50" s="293"/>
      <c r="CW50" s="293"/>
      <c r="CX50" s="293"/>
      <c r="CY50" s="293"/>
      <c r="CZ50" s="293"/>
      <c r="DA50" s="293"/>
      <c r="DB50" s="293"/>
      <c r="DC50" s="293"/>
      <c r="DD50" s="293"/>
      <c r="DE50" s="293"/>
      <c r="DF50" s="293"/>
      <c r="DG50" s="293"/>
      <c r="DH50" s="293"/>
      <c r="DI50" s="293"/>
      <c r="DJ50" s="293"/>
      <c r="DK50" s="293"/>
      <c r="DL50" s="293"/>
      <c r="DM50" s="293"/>
      <c r="DN50" s="293"/>
      <c r="DO50" s="293"/>
      <c r="DP50" s="293"/>
      <c r="DQ50" s="293"/>
      <c r="DR50" s="293"/>
      <c r="DS50" s="288"/>
      <c r="DT50" s="288"/>
      <c r="DU50" s="288"/>
      <c r="DV50" s="288"/>
      <c r="DW50" s="288"/>
      <c r="DX50" s="288"/>
      <c r="DY50" s="288"/>
      <c r="DZ50" s="288"/>
      <c r="EA50" s="288"/>
      <c r="EB50" s="288"/>
      <c r="EC50" s="288"/>
      <c r="ED50" s="288"/>
      <c r="EE50" s="288"/>
      <c r="EF50" s="288"/>
      <c r="EG50" s="288"/>
      <c r="EH50" s="288"/>
      <c r="EI50" s="288"/>
      <c r="EJ50" s="288"/>
      <c r="EK50" s="288"/>
      <c r="EL50" s="288"/>
      <c r="EM50" s="288"/>
      <c r="EN50" s="288"/>
      <c r="EO50" s="288"/>
      <c r="EP50" s="288"/>
      <c r="EQ50" s="288"/>
      <c r="ER50" s="288"/>
      <c r="ES50" s="288"/>
      <c r="ET50" s="288"/>
      <c r="EU50" s="288"/>
      <c r="EV50" s="288"/>
      <c r="EW50" s="288"/>
      <c r="EX50" s="288"/>
      <c r="EY50" s="288"/>
      <c r="EZ50" s="288"/>
      <c r="FA50" s="288"/>
      <c r="FB50" s="288"/>
      <c r="FC50" s="288"/>
      <c r="FD50" s="288"/>
      <c r="FE50" s="288"/>
      <c r="FF50" s="288"/>
      <c r="FG50" s="288"/>
      <c r="FH50" s="288"/>
    </row>
    <row r="51" ht="14.25" customHeight="1">
      <c r="A51" s="293"/>
      <c r="B51" s="293"/>
      <c r="C51" s="293"/>
      <c r="D51" s="293"/>
      <c r="E51" s="293"/>
      <c r="F51" s="293"/>
      <c r="G51" s="293"/>
      <c r="H51" s="293"/>
      <c r="I51" s="293"/>
      <c r="J51" s="293"/>
      <c r="K51" s="293"/>
      <c r="L51" s="293"/>
      <c r="M51" s="293"/>
      <c r="N51" s="293"/>
      <c r="O51" s="293"/>
      <c r="P51" s="293"/>
      <c r="Q51" s="293"/>
      <c r="R51" s="293"/>
      <c r="S51" s="293"/>
      <c r="T51" s="293"/>
      <c r="U51" s="293"/>
      <c r="V51" s="293"/>
      <c r="W51" s="293"/>
      <c r="X51" s="293"/>
      <c r="Y51" s="293"/>
      <c r="Z51" s="293"/>
      <c r="AA51" s="293"/>
      <c r="AB51" s="293"/>
      <c r="AC51" s="293"/>
      <c r="AD51" s="293"/>
      <c r="AE51" s="293"/>
      <c r="AF51" s="293"/>
      <c r="AG51" s="293"/>
      <c r="AH51" s="293"/>
      <c r="AI51" s="293"/>
      <c r="AJ51" s="293"/>
      <c r="AK51" s="293"/>
      <c r="AL51" s="293"/>
      <c r="AM51" s="293"/>
      <c r="AN51" s="293"/>
      <c r="AO51" s="293"/>
      <c r="AP51" s="293"/>
      <c r="AQ51" s="293"/>
      <c r="AR51" s="293"/>
      <c r="AS51" s="293"/>
      <c r="AT51" s="293"/>
      <c r="AU51" s="293"/>
      <c r="AV51" s="293"/>
      <c r="AW51" s="293"/>
      <c r="AX51" s="293"/>
      <c r="AY51" s="293"/>
      <c r="AZ51" s="293"/>
      <c r="BA51" s="293"/>
      <c r="BB51" s="293"/>
      <c r="BC51" s="293"/>
      <c r="BD51" s="293"/>
      <c r="BE51" s="293"/>
      <c r="BF51" s="293"/>
      <c r="BG51" s="293"/>
      <c r="BH51" s="293"/>
      <c r="BI51" s="293"/>
      <c r="BJ51" s="293"/>
      <c r="BK51" s="293"/>
      <c r="BL51" s="293"/>
      <c r="BM51" s="293"/>
      <c r="BN51" s="293"/>
      <c r="BO51" s="293"/>
      <c r="BP51" s="293"/>
      <c r="BQ51" s="293"/>
      <c r="BR51" s="293"/>
      <c r="BS51" s="293"/>
      <c r="BT51" s="293"/>
      <c r="BU51" s="293"/>
      <c r="BV51" s="293"/>
      <c r="BW51" s="293"/>
      <c r="BX51" s="293"/>
      <c r="BY51" s="293"/>
      <c r="BZ51" s="293"/>
      <c r="CA51" s="293"/>
      <c r="CB51" s="293"/>
      <c r="CC51" s="293"/>
      <c r="CD51" s="293"/>
      <c r="CE51" s="293"/>
      <c r="CF51" s="293"/>
      <c r="CG51" s="293"/>
      <c r="CH51" s="293"/>
      <c r="CI51" s="293"/>
      <c r="CJ51" s="293"/>
      <c r="CK51" s="293"/>
      <c r="CL51" s="293"/>
      <c r="CM51" s="293"/>
      <c r="CN51" s="293"/>
      <c r="CO51" s="293"/>
      <c r="CP51" s="293"/>
      <c r="CQ51" s="293"/>
      <c r="CR51" s="293"/>
      <c r="CS51" s="293"/>
      <c r="CT51" s="293"/>
      <c r="CU51" s="293"/>
      <c r="CV51" s="293"/>
      <c r="CW51" s="293"/>
      <c r="CX51" s="293"/>
      <c r="CY51" s="293"/>
      <c r="CZ51" s="293"/>
      <c r="DA51" s="293"/>
      <c r="DB51" s="293"/>
      <c r="DC51" s="293"/>
      <c r="DD51" s="293"/>
      <c r="DE51" s="293"/>
      <c r="DF51" s="293"/>
      <c r="DG51" s="293"/>
      <c r="DH51" s="293"/>
      <c r="DI51" s="293"/>
      <c r="DJ51" s="293"/>
      <c r="DK51" s="293"/>
      <c r="DL51" s="293"/>
      <c r="DM51" s="293"/>
      <c r="DN51" s="293"/>
      <c r="DO51" s="293"/>
      <c r="DP51" s="293"/>
      <c r="DQ51" s="293"/>
      <c r="DR51" s="293"/>
      <c r="DS51" s="288"/>
      <c r="DT51" s="288"/>
      <c r="DU51" s="288"/>
      <c r="DV51" s="288"/>
      <c r="DW51" s="288"/>
      <c r="DX51" s="288"/>
      <c r="DY51" s="288"/>
      <c r="DZ51" s="288"/>
      <c r="EA51" s="288"/>
      <c r="EB51" s="288"/>
      <c r="EC51" s="288"/>
      <c r="ED51" s="288"/>
      <c r="EE51" s="288"/>
      <c r="EF51" s="288"/>
      <c r="EG51" s="288"/>
      <c r="EH51" s="288"/>
      <c r="EI51" s="288"/>
      <c r="EJ51" s="288"/>
      <c r="EK51" s="288"/>
      <c r="EL51" s="288"/>
      <c r="EM51" s="288"/>
      <c r="EN51" s="288"/>
      <c r="EO51" s="288"/>
      <c r="EP51" s="288"/>
      <c r="EQ51" s="288"/>
      <c r="ER51" s="288"/>
      <c r="ES51" s="288"/>
      <c r="ET51" s="288"/>
      <c r="EU51" s="288"/>
      <c r="EV51" s="288"/>
      <c r="EW51" s="288"/>
      <c r="EX51" s="288"/>
      <c r="EY51" s="288"/>
      <c r="EZ51" s="288"/>
      <c r="FA51" s="288"/>
      <c r="FB51" s="288"/>
      <c r="FC51" s="288"/>
      <c r="FD51" s="288"/>
      <c r="FE51" s="288"/>
      <c r="FF51" s="288"/>
      <c r="FG51" s="288"/>
      <c r="FH51" s="288"/>
    </row>
    <row r="52" ht="14.25" customHeight="1">
      <c r="A52" s="293"/>
      <c r="B52" s="293"/>
      <c r="C52" s="293"/>
      <c r="D52" s="293"/>
      <c r="E52" s="293"/>
      <c r="F52" s="293"/>
      <c r="G52" s="293"/>
      <c r="H52" s="293"/>
      <c r="I52" s="293"/>
      <c r="J52" s="293"/>
      <c r="K52" s="293"/>
      <c r="L52" s="293"/>
      <c r="M52" s="293"/>
      <c r="N52" s="293"/>
      <c r="O52" s="293"/>
      <c r="P52" s="293"/>
      <c r="Q52" s="293"/>
      <c r="R52" s="293"/>
      <c r="S52" s="293"/>
      <c r="T52" s="293"/>
      <c r="U52" s="293"/>
      <c r="V52" s="293"/>
      <c r="W52" s="293"/>
      <c r="X52" s="293"/>
      <c r="Y52" s="293"/>
      <c r="Z52" s="293"/>
      <c r="AA52" s="293"/>
      <c r="AB52" s="293"/>
      <c r="AC52" s="293"/>
      <c r="AD52" s="293"/>
      <c r="AE52" s="293"/>
      <c r="AF52" s="293"/>
      <c r="AG52" s="293"/>
      <c r="AH52" s="293"/>
      <c r="AI52" s="293"/>
      <c r="AJ52" s="293"/>
      <c r="AK52" s="293"/>
      <c r="AL52" s="293"/>
      <c r="AM52" s="293"/>
      <c r="AN52" s="293"/>
      <c r="AO52" s="293"/>
      <c r="AP52" s="293"/>
      <c r="AQ52" s="293"/>
      <c r="AR52" s="293"/>
      <c r="AS52" s="293"/>
      <c r="AT52" s="293"/>
      <c r="AU52" s="293"/>
      <c r="AV52" s="293"/>
      <c r="AW52" s="293"/>
      <c r="AX52" s="293"/>
      <c r="AY52" s="293"/>
      <c r="AZ52" s="293"/>
      <c r="BA52" s="293"/>
      <c r="BB52" s="293"/>
      <c r="BC52" s="293"/>
      <c r="BD52" s="293"/>
      <c r="BE52" s="293"/>
      <c r="BF52" s="293"/>
      <c r="BG52" s="293"/>
      <c r="BH52" s="293"/>
      <c r="BI52" s="293"/>
      <c r="BJ52" s="293"/>
      <c r="BK52" s="293"/>
      <c r="BL52" s="293"/>
      <c r="BM52" s="293"/>
      <c r="BN52" s="293"/>
      <c r="BO52" s="293"/>
      <c r="BP52" s="293"/>
      <c r="BQ52" s="293"/>
      <c r="BR52" s="293"/>
      <c r="BS52" s="293"/>
      <c r="BT52" s="293"/>
      <c r="BU52" s="293"/>
      <c r="BV52" s="293"/>
      <c r="BW52" s="293"/>
      <c r="BX52" s="293"/>
      <c r="BY52" s="293"/>
      <c r="BZ52" s="293"/>
      <c r="CA52" s="293"/>
      <c r="CB52" s="293"/>
      <c r="CC52" s="293"/>
      <c r="CD52" s="293"/>
      <c r="CE52" s="293"/>
      <c r="CF52" s="293"/>
      <c r="CG52" s="293"/>
      <c r="CH52" s="293"/>
      <c r="CI52" s="293"/>
      <c r="CJ52" s="293"/>
      <c r="CK52" s="293"/>
      <c r="CL52" s="293"/>
      <c r="CM52" s="293"/>
      <c r="CN52" s="293"/>
      <c r="CO52" s="293"/>
      <c r="CP52" s="293"/>
      <c r="CQ52" s="293"/>
      <c r="CR52" s="293"/>
      <c r="CS52" s="293"/>
      <c r="CT52" s="293"/>
      <c r="CU52" s="293"/>
      <c r="CV52" s="293"/>
      <c r="CW52" s="293"/>
      <c r="CX52" s="293"/>
      <c r="CY52" s="293"/>
      <c r="CZ52" s="293"/>
      <c r="DA52" s="293"/>
      <c r="DB52" s="293"/>
      <c r="DC52" s="293"/>
      <c r="DD52" s="293"/>
      <c r="DE52" s="293"/>
      <c r="DF52" s="293"/>
      <c r="DG52" s="293"/>
      <c r="DH52" s="293"/>
      <c r="DI52" s="293"/>
      <c r="DJ52" s="293"/>
      <c r="DK52" s="293"/>
      <c r="DL52" s="293"/>
      <c r="DM52" s="293"/>
      <c r="DN52" s="293"/>
      <c r="DO52" s="293"/>
      <c r="DP52" s="293"/>
      <c r="DQ52" s="293"/>
      <c r="DR52" s="293"/>
      <c r="DS52" s="288"/>
      <c r="DT52" s="288"/>
      <c r="DU52" s="288"/>
      <c r="DV52" s="288"/>
      <c r="DW52" s="288"/>
      <c r="DX52" s="288"/>
      <c r="DY52" s="288"/>
      <c r="DZ52" s="288"/>
      <c r="EA52" s="288"/>
      <c r="EB52" s="288"/>
      <c r="EC52" s="288"/>
      <c r="ED52" s="288"/>
      <c r="EE52" s="288"/>
      <c r="EF52" s="288"/>
      <c r="EG52" s="288"/>
      <c r="EH52" s="288"/>
      <c r="EI52" s="288"/>
      <c r="EJ52" s="288"/>
      <c r="EK52" s="288"/>
      <c r="EL52" s="288"/>
      <c r="EM52" s="288"/>
      <c r="EN52" s="288"/>
      <c r="EO52" s="288"/>
      <c r="EP52" s="288"/>
      <c r="EQ52" s="288"/>
      <c r="ER52" s="288"/>
      <c r="ES52" s="288"/>
      <c r="ET52" s="288"/>
      <c r="EU52" s="288"/>
      <c r="EV52" s="288"/>
      <c r="EW52" s="288"/>
      <c r="EX52" s="288"/>
      <c r="EY52" s="288"/>
      <c r="EZ52" s="288"/>
      <c r="FA52" s="288"/>
      <c r="FB52" s="288"/>
      <c r="FC52" s="288"/>
      <c r="FD52" s="288"/>
      <c r="FE52" s="288"/>
      <c r="FF52" s="288"/>
      <c r="FG52" s="288"/>
      <c r="FH52" s="288"/>
    </row>
    <row r="53" ht="14.25" customHeight="1">
      <c r="A53" s="293"/>
      <c r="B53" s="293"/>
      <c r="C53" s="293"/>
      <c r="D53" s="293"/>
      <c r="E53" s="293"/>
      <c r="F53" s="293"/>
      <c r="G53" s="293"/>
      <c r="H53" s="293"/>
      <c r="I53" s="293"/>
      <c r="J53" s="293"/>
      <c r="K53" s="293"/>
      <c r="L53" s="293"/>
      <c r="M53" s="293"/>
      <c r="N53" s="293"/>
      <c r="O53" s="293"/>
      <c r="P53" s="293"/>
      <c r="Q53" s="293"/>
      <c r="R53" s="293"/>
      <c r="S53" s="293"/>
      <c r="T53" s="293"/>
      <c r="U53" s="293"/>
      <c r="V53" s="293"/>
      <c r="W53" s="293"/>
      <c r="X53" s="293"/>
      <c r="Y53" s="293"/>
      <c r="Z53" s="293"/>
      <c r="AA53" s="293"/>
      <c r="AB53" s="293"/>
      <c r="AC53" s="293"/>
      <c r="AD53" s="293"/>
      <c r="AE53" s="293"/>
      <c r="AF53" s="293"/>
      <c r="AG53" s="293"/>
      <c r="AH53" s="293"/>
      <c r="AI53" s="293"/>
      <c r="AJ53" s="293"/>
      <c r="AK53" s="293"/>
      <c r="AL53" s="293"/>
      <c r="AM53" s="293"/>
      <c r="AN53" s="293"/>
      <c r="AO53" s="293"/>
      <c r="AP53" s="293"/>
      <c r="AQ53" s="293"/>
      <c r="AR53" s="293"/>
      <c r="AS53" s="293"/>
      <c r="AT53" s="293"/>
      <c r="AU53" s="293"/>
      <c r="AV53" s="293"/>
      <c r="AW53" s="293"/>
      <c r="AX53" s="293"/>
      <c r="AY53" s="293"/>
      <c r="AZ53" s="293"/>
      <c r="BA53" s="293"/>
      <c r="BB53" s="293"/>
      <c r="BC53" s="293"/>
      <c r="BD53" s="293"/>
      <c r="BE53" s="293"/>
      <c r="BF53" s="293"/>
      <c r="BG53" s="293"/>
      <c r="BH53" s="293"/>
      <c r="BI53" s="293"/>
      <c r="BJ53" s="293"/>
      <c r="BK53" s="293"/>
      <c r="BL53" s="293"/>
      <c r="BM53" s="293"/>
      <c r="BN53" s="293"/>
      <c r="BO53" s="293"/>
      <c r="BP53" s="293"/>
      <c r="BQ53" s="293"/>
      <c r="BR53" s="293"/>
      <c r="BS53" s="293"/>
      <c r="BT53" s="293"/>
      <c r="BU53" s="293"/>
      <c r="BV53" s="293"/>
      <c r="BW53" s="293"/>
      <c r="BX53" s="293"/>
      <c r="BY53" s="293"/>
      <c r="BZ53" s="293"/>
      <c r="CA53" s="293"/>
      <c r="CB53" s="293"/>
      <c r="CC53" s="293"/>
      <c r="CD53" s="293"/>
      <c r="CE53" s="293"/>
      <c r="CF53" s="293"/>
      <c r="CG53" s="293"/>
      <c r="CH53" s="293"/>
      <c r="CI53" s="293"/>
      <c r="CJ53" s="293"/>
      <c r="CK53" s="293"/>
      <c r="CL53" s="293"/>
      <c r="CM53" s="293"/>
      <c r="CN53" s="293"/>
      <c r="CO53" s="293"/>
      <c r="CP53" s="293"/>
      <c r="CQ53" s="293"/>
      <c r="CR53" s="293"/>
      <c r="CS53" s="293"/>
      <c r="CT53" s="293"/>
      <c r="CU53" s="293"/>
      <c r="CV53" s="293"/>
      <c r="CW53" s="293"/>
      <c r="CX53" s="293"/>
      <c r="CY53" s="293"/>
      <c r="CZ53" s="293"/>
      <c r="DA53" s="293"/>
      <c r="DB53" s="293"/>
      <c r="DC53" s="293"/>
      <c r="DD53" s="293"/>
      <c r="DE53" s="293"/>
      <c r="DF53" s="293"/>
      <c r="DG53" s="293"/>
      <c r="DH53" s="293"/>
      <c r="DI53" s="293"/>
      <c r="DJ53" s="293"/>
      <c r="DK53" s="293"/>
      <c r="DL53" s="293"/>
      <c r="DM53" s="293"/>
      <c r="DN53" s="293"/>
      <c r="DO53" s="293"/>
      <c r="DP53" s="293"/>
      <c r="DQ53" s="293"/>
      <c r="DR53" s="293"/>
      <c r="DS53" s="288"/>
      <c r="DT53" s="288"/>
      <c r="DU53" s="288"/>
      <c r="DV53" s="288"/>
      <c r="DW53" s="288"/>
      <c r="DX53" s="288"/>
      <c r="DY53" s="288"/>
      <c r="DZ53" s="288"/>
      <c r="EA53" s="288"/>
      <c r="EB53" s="288"/>
      <c r="EC53" s="288"/>
      <c r="ED53" s="288"/>
      <c r="EE53" s="288"/>
      <c r="EF53" s="288"/>
      <c r="EG53" s="288"/>
      <c r="EH53" s="288"/>
      <c r="EI53" s="288"/>
      <c r="EJ53" s="288"/>
      <c r="EK53" s="288"/>
      <c r="EL53" s="288"/>
      <c r="EM53" s="288"/>
      <c r="EN53" s="288"/>
      <c r="EO53" s="288"/>
      <c r="EP53" s="288"/>
      <c r="EQ53" s="288"/>
      <c r="ER53" s="288"/>
      <c r="ES53" s="288"/>
      <c r="ET53" s="288"/>
      <c r="EU53" s="288"/>
      <c r="EV53" s="288"/>
      <c r="EW53" s="288"/>
      <c r="EX53" s="288"/>
      <c r="EY53" s="288"/>
      <c r="EZ53" s="288"/>
      <c r="FA53" s="288"/>
      <c r="FB53" s="288"/>
      <c r="FC53" s="288"/>
      <c r="FD53" s="288"/>
      <c r="FE53" s="288"/>
      <c r="FF53" s="288"/>
      <c r="FG53" s="288"/>
      <c r="FH53" s="288"/>
    </row>
    <row r="54" ht="14.25" customHeight="1">
      <c r="A54" s="293"/>
      <c r="B54" s="293"/>
      <c r="C54" s="293"/>
      <c r="D54" s="293"/>
      <c r="E54" s="293"/>
      <c r="F54" s="293"/>
      <c r="G54" s="293"/>
      <c r="H54" s="293"/>
      <c r="I54" s="293"/>
      <c r="J54" s="293"/>
      <c r="K54" s="293"/>
      <c r="L54" s="293"/>
      <c r="M54" s="293"/>
      <c r="N54" s="293"/>
      <c r="O54" s="293"/>
      <c r="P54" s="293"/>
      <c r="Q54" s="293"/>
      <c r="R54" s="293"/>
      <c r="S54" s="293"/>
      <c r="T54" s="293"/>
      <c r="U54" s="293"/>
      <c r="V54" s="293"/>
      <c r="W54" s="293"/>
      <c r="X54" s="293"/>
      <c r="Y54" s="293"/>
      <c r="Z54" s="293"/>
      <c r="AA54" s="293"/>
      <c r="AB54" s="293"/>
      <c r="AC54" s="293"/>
      <c r="AD54" s="293"/>
      <c r="AE54" s="293"/>
      <c r="AF54" s="293"/>
      <c r="AG54" s="293"/>
      <c r="AH54" s="293"/>
      <c r="AI54" s="293"/>
      <c r="AJ54" s="293"/>
      <c r="AK54" s="293"/>
      <c r="AL54" s="293"/>
      <c r="AM54" s="293"/>
      <c r="AN54" s="293"/>
      <c r="AO54" s="293"/>
      <c r="AP54" s="293"/>
      <c r="AQ54" s="293"/>
      <c r="AR54" s="293"/>
      <c r="AS54" s="293"/>
      <c r="AT54" s="293"/>
      <c r="AU54" s="293"/>
      <c r="AV54" s="293"/>
      <c r="AW54" s="293"/>
      <c r="AX54" s="293"/>
      <c r="AY54" s="293"/>
      <c r="AZ54" s="293"/>
      <c r="BA54" s="293"/>
      <c r="BB54" s="293"/>
      <c r="BC54" s="293"/>
      <c r="BD54" s="293"/>
      <c r="BE54" s="293"/>
      <c r="BF54" s="293"/>
      <c r="BG54" s="293"/>
      <c r="BH54" s="293"/>
      <c r="BI54" s="293"/>
      <c r="BJ54" s="293"/>
      <c r="BK54" s="293"/>
      <c r="BL54" s="293"/>
      <c r="BM54" s="293"/>
      <c r="BN54" s="293"/>
      <c r="BO54" s="293"/>
      <c r="BP54" s="293"/>
      <c r="BQ54" s="293"/>
      <c r="BR54" s="293"/>
      <c r="BS54" s="293"/>
      <c r="BT54" s="293"/>
      <c r="BU54" s="293"/>
      <c r="BV54" s="293"/>
      <c r="BW54" s="293"/>
      <c r="BX54" s="293"/>
      <c r="BY54" s="293"/>
      <c r="BZ54" s="293"/>
      <c r="CA54" s="293"/>
      <c r="CB54" s="293"/>
      <c r="CC54" s="293"/>
      <c r="CD54" s="293"/>
      <c r="CE54" s="293"/>
      <c r="CF54" s="293"/>
      <c r="CG54" s="293"/>
      <c r="CH54" s="293"/>
      <c r="CI54" s="293"/>
      <c r="CJ54" s="293"/>
      <c r="CK54" s="293"/>
      <c r="CL54" s="293"/>
      <c r="CM54" s="293"/>
      <c r="CN54" s="293"/>
      <c r="CO54" s="293"/>
      <c r="CP54" s="293"/>
      <c r="CQ54" s="293"/>
      <c r="CR54" s="293"/>
      <c r="CS54" s="293"/>
      <c r="CT54" s="293"/>
      <c r="CU54" s="293"/>
      <c r="CV54" s="293"/>
      <c r="CW54" s="293"/>
      <c r="CX54" s="293"/>
      <c r="CY54" s="293"/>
      <c r="CZ54" s="293"/>
      <c r="DA54" s="293"/>
      <c r="DB54" s="293"/>
      <c r="DC54" s="293"/>
      <c r="DD54" s="293"/>
      <c r="DE54" s="293"/>
      <c r="DF54" s="293"/>
      <c r="DG54" s="293"/>
      <c r="DH54" s="293"/>
      <c r="DI54" s="293"/>
      <c r="DJ54" s="293"/>
      <c r="DK54" s="293"/>
      <c r="DL54" s="293"/>
      <c r="DM54" s="293"/>
      <c r="DN54" s="293"/>
      <c r="DO54" s="293"/>
      <c r="DP54" s="293"/>
      <c r="DQ54" s="293"/>
      <c r="DR54" s="293"/>
      <c r="DS54" s="288"/>
      <c r="DT54" s="288"/>
      <c r="DU54" s="288"/>
      <c r="DV54" s="288"/>
      <c r="DW54" s="288"/>
      <c r="DX54" s="288"/>
      <c r="DY54" s="288"/>
      <c r="DZ54" s="288"/>
      <c r="EA54" s="288"/>
      <c r="EB54" s="288"/>
      <c r="EC54" s="288"/>
      <c r="ED54" s="288"/>
      <c r="EE54" s="288"/>
      <c r="EF54" s="288"/>
      <c r="EG54" s="288"/>
      <c r="EH54" s="288"/>
      <c r="EI54" s="288"/>
      <c r="EJ54" s="288"/>
      <c r="EK54" s="288"/>
      <c r="EL54" s="288"/>
      <c r="EM54" s="288"/>
      <c r="EN54" s="288"/>
      <c r="EO54" s="288"/>
      <c r="EP54" s="288"/>
      <c r="EQ54" s="288"/>
      <c r="ER54" s="288"/>
      <c r="ES54" s="288"/>
      <c r="ET54" s="288"/>
      <c r="EU54" s="288"/>
      <c r="EV54" s="288"/>
      <c r="EW54" s="288"/>
      <c r="EX54" s="288"/>
      <c r="EY54" s="288"/>
      <c r="EZ54" s="288"/>
      <c r="FA54" s="288"/>
      <c r="FB54" s="288"/>
      <c r="FC54" s="288"/>
      <c r="FD54" s="288"/>
      <c r="FE54" s="288"/>
      <c r="FF54" s="288"/>
      <c r="FG54" s="288"/>
      <c r="FH54" s="288"/>
    </row>
    <row r="55" ht="14.25" customHeight="1">
      <c r="A55" s="293"/>
      <c r="B55" s="293"/>
      <c r="C55" s="293"/>
      <c r="D55" s="293"/>
      <c r="E55" s="293"/>
      <c r="F55" s="293"/>
      <c r="G55" s="293"/>
      <c r="H55" s="293"/>
      <c r="I55" s="293"/>
      <c r="J55" s="293"/>
      <c r="K55" s="293"/>
      <c r="L55" s="293"/>
      <c r="M55" s="293"/>
      <c r="N55" s="293"/>
      <c r="O55" s="293"/>
      <c r="P55" s="293"/>
      <c r="Q55" s="293"/>
      <c r="R55" s="293"/>
      <c r="S55" s="293"/>
      <c r="T55" s="293"/>
      <c r="U55" s="293"/>
      <c r="V55" s="293"/>
      <c r="W55" s="293"/>
      <c r="X55" s="293"/>
      <c r="Y55" s="293"/>
      <c r="Z55" s="293"/>
      <c r="AA55" s="293"/>
      <c r="AB55" s="293"/>
      <c r="AC55" s="293"/>
      <c r="AD55" s="293"/>
      <c r="AE55" s="293"/>
      <c r="AF55" s="293"/>
      <c r="AG55" s="293"/>
      <c r="AH55" s="293"/>
      <c r="AI55" s="293"/>
      <c r="AJ55" s="293"/>
      <c r="AK55" s="293"/>
      <c r="AL55" s="293"/>
      <c r="AM55" s="293"/>
      <c r="AN55" s="293"/>
      <c r="AO55" s="293"/>
      <c r="AP55" s="293"/>
      <c r="AQ55" s="293"/>
      <c r="AR55" s="293"/>
      <c r="AS55" s="293"/>
      <c r="AT55" s="293"/>
      <c r="AU55" s="293"/>
      <c r="AV55" s="293"/>
      <c r="AW55" s="293"/>
      <c r="AX55" s="293"/>
      <c r="AY55" s="293"/>
      <c r="AZ55" s="293"/>
      <c r="BA55" s="293"/>
      <c r="BB55" s="293"/>
      <c r="BC55" s="293"/>
      <c r="BD55" s="293"/>
      <c r="BE55" s="293"/>
      <c r="BF55" s="293"/>
      <c r="BG55" s="293"/>
      <c r="BH55" s="293"/>
      <c r="BI55" s="293"/>
      <c r="BJ55" s="293"/>
      <c r="BK55" s="293"/>
      <c r="BL55" s="293"/>
      <c r="BM55" s="293"/>
      <c r="BN55" s="293"/>
      <c r="BO55" s="293"/>
      <c r="BP55" s="293"/>
      <c r="BQ55" s="293"/>
      <c r="BR55" s="293"/>
      <c r="BS55" s="293"/>
      <c r="BT55" s="293"/>
      <c r="BU55" s="293"/>
      <c r="BV55" s="293"/>
      <c r="BW55" s="293"/>
      <c r="BX55" s="293"/>
      <c r="BY55" s="293"/>
      <c r="BZ55" s="293"/>
      <c r="CA55" s="293"/>
      <c r="CB55" s="293"/>
      <c r="CC55" s="293"/>
      <c r="CD55" s="293"/>
      <c r="CE55" s="293"/>
      <c r="CF55" s="293"/>
      <c r="CG55" s="293"/>
      <c r="CH55" s="293"/>
      <c r="CI55" s="293"/>
      <c r="CJ55" s="293"/>
      <c r="CK55" s="293"/>
      <c r="CL55" s="293"/>
      <c r="CM55" s="293"/>
      <c r="CN55" s="293"/>
      <c r="CO55" s="293"/>
      <c r="CP55" s="293"/>
      <c r="CQ55" s="293"/>
      <c r="CR55" s="293"/>
      <c r="CS55" s="293"/>
      <c r="CT55" s="293"/>
      <c r="CU55" s="293"/>
      <c r="CV55" s="293"/>
      <c r="CW55" s="293"/>
      <c r="CX55" s="293"/>
      <c r="CY55" s="293"/>
      <c r="CZ55" s="293"/>
      <c r="DA55" s="293"/>
      <c r="DB55" s="293"/>
      <c r="DC55" s="293"/>
      <c r="DD55" s="293"/>
      <c r="DE55" s="293"/>
      <c r="DF55" s="293"/>
      <c r="DG55" s="293"/>
      <c r="DH55" s="293"/>
      <c r="DI55" s="293"/>
      <c r="DJ55" s="293"/>
      <c r="DK55" s="293"/>
      <c r="DL55" s="293"/>
      <c r="DM55" s="293"/>
      <c r="DN55" s="293"/>
      <c r="DO55" s="293"/>
      <c r="DP55" s="293"/>
      <c r="DQ55" s="293"/>
      <c r="DR55" s="293"/>
      <c r="DS55" s="288"/>
      <c r="DT55" s="288"/>
      <c r="DU55" s="288"/>
      <c r="DV55" s="288"/>
      <c r="DW55" s="288"/>
      <c r="DX55" s="288"/>
      <c r="DY55" s="288"/>
      <c r="DZ55" s="288"/>
      <c r="EA55" s="288"/>
      <c r="EB55" s="288"/>
      <c r="EC55" s="288"/>
      <c r="ED55" s="288"/>
      <c r="EE55" s="288"/>
      <c r="EF55" s="288"/>
      <c r="EG55" s="288"/>
      <c r="EH55" s="288"/>
      <c r="EI55" s="288"/>
      <c r="EJ55" s="288"/>
      <c r="EK55" s="288"/>
      <c r="EL55" s="288"/>
      <c r="EM55" s="288"/>
      <c r="EN55" s="288"/>
      <c r="EO55" s="288"/>
      <c r="EP55" s="288"/>
      <c r="EQ55" s="288"/>
      <c r="ER55" s="288"/>
      <c r="ES55" s="288"/>
      <c r="ET55" s="288"/>
      <c r="EU55" s="288"/>
      <c r="EV55" s="288"/>
      <c r="EW55" s="288"/>
      <c r="EX55" s="288"/>
      <c r="EY55" s="288"/>
      <c r="EZ55" s="288"/>
      <c r="FA55" s="288"/>
      <c r="FB55" s="288"/>
      <c r="FC55" s="288"/>
      <c r="FD55" s="288"/>
      <c r="FE55" s="288"/>
      <c r="FF55" s="288"/>
      <c r="FG55" s="288"/>
      <c r="FH55" s="288"/>
    </row>
    <row r="56" ht="14.25" customHeight="1">
      <c r="A56" s="293"/>
      <c r="B56" s="293"/>
      <c r="C56" s="293"/>
      <c r="D56" s="293"/>
      <c r="E56" s="293"/>
      <c r="F56" s="293"/>
      <c r="G56" s="293"/>
      <c r="H56" s="293"/>
      <c r="I56" s="293"/>
      <c r="J56" s="293"/>
      <c r="K56" s="293"/>
      <c r="L56" s="293"/>
      <c r="M56" s="293"/>
      <c r="N56" s="293"/>
      <c r="O56" s="293"/>
      <c r="P56" s="293"/>
      <c r="Q56" s="293"/>
      <c r="R56" s="293"/>
      <c r="S56" s="293"/>
      <c r="T56" s="293"/>
      <c r="U56" s="293"/>
      <c r="V56" s="293"/>
      <c r="W56" s="293"/>
      <c r="X56" s="293"/>
      <c r="Y56" s="293"/>
      <c r="Z56" s="293"/>
      <c r="AA56" s="293"/>
      <c r="AB56" s="293"/>
      <c r="AC56" s="293"/>
      <c r="AD56" s="293"/>
      <c r="AE56" s="293"/>
      <c r="AF56" s="293"/>
      <c r="AG56" s="293"/>
      <c r="AH56" s="293"/>
      <c r="AI56" s="293"/>
      <c r="AJ56" s="293"/>
      <c r="AK56" s="293"/>
      <c r="AL56" s="293"/>
      <c r="AM56" s="293"/>
      <c r="AN56" s="293"/>
      <c r="AO56" s="293"/>
      <c r="AP56" s="293"/>
      <c r="AQ56" s="293"/>
      <c r="AR56" s="293"/>
      <c r="AS56" s="293"/>
      <c r="AT56" s="293"/>
      <c r="AU56" s="293"/>
      <c r="AV56" s="293"/>
      <c r="AW56" s="293"/>
      <c r="AX56" s="293"/>
      <c r="AY56" s="293"/>
      <c r="AZ56" s="293"/>
      <c r="BA56" s="293"/>
      <c r="BB56" s="293"/>
      <c r="BC56" s="293"/>
      <c r="BD56" s="293"/>
      <c r="BE56" s="293"/>
      <c r="BF56" s="293"/>
      <c r="BG56" s="293"/>
      <c r="BH56" s="293"/>
      <c r="BI56" s="293"/>
      <c r="BJ56" s="293"/>
      <c r="BK56" s="293"/>
      <c r="BL56" s="293"/>
      <c r="BM56" s="293"/>
      <c r="BN56" s="293"/>
      <c r="BO56" s="293"/>
      <c r="BP56" s="293"/>
      <c r="BQ56" s="293"/>
      <c r="BR56" s="293"/>
      <c r="BS56" s="293"/>
      <c r="BT56" s="293"/>
      <c r="BU56" s="293"/>
      <c r="BV56" s="293"/>
      <c r="BW56" s="293"/>
      <c r="BX56" s="293"/>
      <c r="BY56" s="293"/>
      <c r="BZ56" s="293"/>
      <c r="CA56" s="293"/>
      <c r="CB56" s="293"/>
      <c r="CC56" s="293"/>
      <c r="CD56" s="293"/>
      <c r="CE56" s="293"/>
      <c r="CF56" s="293"/>
      <c r="CG56" s="293"/>
      <c r="CH56" s="293"/>
      <c r="CI56" s="293"/>
      <c r="CJ56" s="293"/>
      <c r="CK56" s="293"/>
      <c r="CL56" s="293"/>
      <c r="CM56" s="293"/>
      <c r="CN56" s="293"/>
      <c r="CO56" s="293"/>
      <c r="CP56" s="293"/>
      <c r="CQ56" s="293"/>
      <c r="CR56" s="293"/>
      <c r="CS56" s="293"/>
      <c r="CT56" s="293"/>
      <c r="CU56" s="293"/>
      <c r="CV56" s="293"/>
      <c r="CW56" s="293"/>
      <c r="CX56" s="293"/>
      <c r="CY56" s="293"/>
      <c r="CZ56" s="293"/>
      <c r="DA56" s="293"/>
      <c r="DB56" s="293"/>
      <c r="DC56" s="293"/>
      <c r="DD56" s="293"/>
      <c r="DE56" s="293"/>
      <c r="DF56" s="293"/>
      <c r="DG56" s="293"/>
      <c r="DH56" s="293"/>
      <c r="DI56" s="293"/>
      <c r="DJ56" s="293"/>
      <c r="DK56" s="293"/>
      <c r="DL56" s="293"/>
      <c r="DM56" s="293"/>
      <c r="DN56" s="293"/>
      <c r="DO56" s="293"/>
      <c r="DP56" s="293"/>
      <c r="DQ56" s="293"/>
      <c r="DR56" s="293"/>
      <c r="DS56" s="288"/>
      <c r="DT56" s="288"/>
      <c r="DU56" s="288"/>
      <c r="DV56" s="288"/>
      <c r="DW56" s="288"/>
      <c r="DX56" s="288"/>
      <c r="DY56" s="288"/>
      <c r="DZ56" s="288"/>
      <c r="EA56" s="288"/>
      <c r="EB56" s="288"/>
      <c r="EC56" s="288"/>
      <c r="ED56" s="288"/>
      <c r="EE56" s="288"/>
      <c r="EF56" s="288"/>
      <c r="EG56" s="288"/>
      <c r="EH56" s="288"/>
      <c r="EI56" s="288"/>
      <c r="EJ56" s="288"/>
      <c r="EK56" s="288"/>
      <c r="EL56" s="288"/>
      <c r="EM56" s="288"/>
      <c r="EN56" s="288"/>
      <c r="EO56" s="288"/>
      <c r="EP56" s="288"/>
      <c r="EQ56" s="288"/>
      <c r="ER56" s="288"/>
      <c r="ES56" s="288"/>
      <c r="ET56" s="288"/>
      <c r="EU56" s="288"/>
      <c r="EV56" s="288"/>
      <c r="EW56" s="288"/>
      <c r="EX56" s="288"/>
      <c r="EY56" s="288"/>
      <c r="EZ56" s="288"/>
      <c r="FA56" s="288"/>
      <c r="FB56" s="288"/>
      <c r="FC56" s="288"/>
      <c r="FD56" s="288"/>
      <c r="FE56" s="288"/>
      <c r="FF56" s="288"/>
      <c r="FG56" s="288"/>
      <c r="FH56" s="288"/>
    </row>
    <row r="57" ht="14.25" customHeight="1">
      <c r="A57" s="293"/>
      <c r="B57" s="293"/>
      <c r="C57" s="293"/>
      <c r="D57" s="293"/>
      <c r="E57" s="293"/>
      <c r="F57" s="293"/>
      <c r="G57" s="293"/>
      <c r="H57" s="293"/>
      <c r="I57" s="293"/>
      <c r="J57" s="293"/>
      <c r="K57" s="293"/>
      <c r="L57" s="293"/>
      <c r="M57" s="293"/>
      <c r="N57" s="293"/>
      <c r="O57" s="293"/>
      <c r="P57" s="293"/>
      <c r="Q57" s="293"/>
      <c r="R57" s="293"/>
      <c r="S57" s="293"/>
      <c r="T57" s="293"/>
      <c r="U57" s="293"/>
      <c r="V57" s="293"/>
      <c r="W57" s="293"/>
      <c r="X57" s="293"/>
      <c r="Y57" s="293"/>
      <c r="Z57" s="293"/>
      <c r="AA57" s="293"/>
      <c r="AB57" s="293"/>
      <c r="AC57" s="293"/>
      <c r="AD57" s="293"/>
      <c r="AE57" s="293"/>
      <c r="AF57" s="293"/>
      <c r="AG57" s="293"/>
      <c r="AH57" s="293"/>
      <c r="AI57" s="293"/>
      <c r="AJ57" s="293"/>
      <c r="AK57" s="293"/>
      <c r="AL57" s="293"/>
      <c r="AM57" s="293"/>
      <c r="AN57" s="293"/>
      <c r="AO57" s="293"/>
      <c r="AP57" s="293"/>
      <c r="AQ57" s="293"/>
      <c r="AR57" s="293"/>
      <c r="AS57" s="293"/>
      <c r="AT57" s="293"/>
      <c r="AU57" s="293"/>
      <c r="AV57" s="293"/>
      <c r="AW57" s="293"/>
      <c r="AX57" s="293"/>
      <c r="AY57" s="293"/>
      <c r="AZ57" s="293"/>
      <c r="BA57" s="293"/>
      <c r="BB57" s="293"/>
      <c r="BC57" s="293"/>
      <c r="BD57" s="293"/>
      <c r="BE57" s="293"/>
      <c r="BF57" s="293"/>
      <c r="BG57" s="293"/>
      <c r="BH57" s="293"/>
      <c r="BI57" s="293"/>
      <c r="BJ57" s="293"/>
      <c r="BK57" s="293"/>
      <c r="BL57" s="293"/>
      <c r="BM57" s="293"/>
      <c r="BN57" s="293"/>
      <c r="BO57" s="293"/>
      <c r="BP57" s="293"/>
      <c r="BQ57" s="293"/>
      <c r="BR57" s="293"/>
      <c r="BS57" s="293"/>
      <c r="BT57" s="293"/>
      <c r="BU57" s="293"/>
      <c r="BV57" s="293"/>
      <c r="BW57" s="293"/>
      <c r="BX57" s="293"/>
      <c r="BY57" s="293"/>
      <c r="BZ57" s="293"/>
      <c r="CA57" s="293"/>
      <c r="CB57" s="293"/>
      <c r="CC57" s="293"/>
      <c r="CD57" s="293"/>
      <c r="CE57" s="293"/>
      <c r="CF57" s="293"/>
      <c r="CG57" s="293"/>
      <c r="CH57" s="293"/>
      <c r="CI57" s="293"/>
      <c r="CJ57" s="293"/>
      <c r="CK57" s="293"/>
      <c r="CL57" s="293"/>
      <c r="CM57" s="293"/>
      <c r="CN57" s="293"/>
      <c r="CO57" s="293"/>
      <c r="CP57" s="293"/>
      <c r="CQ57" s="293"/>
      <c r="CR57" s="293"/>
      <c r="CS57" s="293"/>
      <c r="CT57" s="293"/>
      <c r="CU57" s="293"/>
      <c r="CV57" s="293"/>
      <c r="CW57" s="293"/>
      <c r="CX57" s="293"/>
      <c r="CY57" s="293"/>
      <c r="CZ57" s="293"/>
      <c r="DA57" s="293"/>
      <c r="DB57" s="293"/>
      <c r="DC57" s="293"/>
      <c r="DD57" s="293"/>
      <c r="DE57" s="293"/>
      <c r="DF57" s="293"/>
      <c r="DG57" s="293"/>
      <c r="DH57" s="293"/>
      <c r="DI57" s="293"/>
      <c r="DJ57" s="293"/>
      <c r="DK57" s="293"/>
      <c r="DL57" s="293"/>
      <c r="DM57" s="293"/>
      <c r="DN57" s="293"/>
      <c r="DO57" s="293"/>
      <c r="DP57" s="293"/>
      <c r="DQ57" s="293"/>
      <c r="DR57" s="293"/>
      <c r="DS57" s="288"/>
      <c r="DT57" s="288"/>
      <c r="DU57" s="288"/>
      <c r="DV57" s="288"/>
      <c r="DW57" s="288"/>
      <c r="DX57" s="288"/>
      <c r="DY57" s="288"/>
      <c r="DZ57" s="288"/>
      <c r="EA57" s="288"/>
      <c r="EB57" s="288"/>
      <c r="EC57" s="288"/>
      <c r="ED57" s="288"/>
      <c r="EE57" s="288"/>
      <c r="EF57" s="288"/>
      <c r="EG57" s="288"/>
      <c r="EH57" s="288"/>
      <c r="EI57" s="288"/>
      <c r="EJ57" s="288"/>
      <c r="EK57" s="288"/>
      <c r="EL57" s="288"/>
      <c r="EM57" s="288"/>
      <c r="EN57" s="288"/>
      <c r="EO57" s="288"/>
      <c r="EP57" s="288"/>
      <c r="EQ57" s="288"/>
      <c r="ER57" s="288"/>
      <c r="ES57" s="288"/>
      <c r="ET57" s="288"/>
      <c r="EU57" s="288"/>
      <c r="EV57" s="288"/>
      <c r="EW57" s="288"/>
      <c r="EX57" s="288"/>
      <c r="EY57" s="288"/>
      <c r="EZ57" s="288"/>
      <c r="FA57" s="288"/>
      <c r="FB57" s="288"/>
      <c r="FC57" s="288"/>
      <c r="FD57" s="288"/>
      <c r="FE57" s="288"/>
      <c r="FF57" s="288"/>
      <c r="FG57" s="288"/>
      <c r="FH57" s="288"/>
    </row>
    <row r="58" ht="14.25" customHeight="1">
      <c r="A58" s="293"/>
      <c r="B58" s="293"/>
      <c r="C58" s="293"/>
      <c r="D58" s="293"/>
      <c r="E58" s="293"/>
      <c r="F58" s="293"/>
      <c r="G58" s="293"/>
      <c r="H58" s="293"/>
      <c r="I58" s="293"/>
      <c r="J58" s="293"/>
      <c r="K58" s="293"/>
      <c r="L58" s="293"/>
      <c r="M58" s="293"/>
      <c r="N58" s="293"/>
      <c r="O58" s="293"/>
      <c r="P58" s="293"/>
      <c r="Q58" s="293"/>
      <c r="R58" s="293"/>
      <c r="S58" s="293"/>
      <c r="T58" s="293"/>
      <c r="U58" s="293"/>
      <c r="V58" s="293"/>
      <c r="W58" s="293"/>
      <c r="X58" s="293"/>
      <c r="Y58" s="293"/>
      <c r="Z58" s="293"/>
      <c r="AA58" s="293"/>
      <c r="AB58" s="293"/>
      <c r="AC58" s="293"/>
      <c r="AD58" s="293"/>
      <c r="AE58" s="293"/>
      <c r="AF58" s="293"/>
      <c r="AG58" s="293"/>
      <c r="AH58" s="293"/>
      <c r="AI58" s="293"/>
      <c r="AJ58" s="293"/>
      <c r="AK58" s="293"/>
      <c r="AL58" s="293"/>
      <c r="AM58" s="293"/>
      <c r="AN58" s="293"/>
      <c r="AO58" s="293"/>
      <c r="AP58" s="293"/>
      <c r="AQ58" s="293"/>
      <c r="AR58" s="293"/>
      <c r="AS58" s="293"/>
      <c r="AT58" s="293"/>
      <c r="AU58" s="293"/>
      <c r="AV58" s="293"/>
      <c r="AW58" s="293"/>
      <c r="AX58" s="293"/>
      <c r="AY58" s="293"/>
      <c r="AZ58" s="293"/>
      <c r="BA58" s="293"/>
      <c r="BB58" s="293"/>
      <c r="BC58" s="293"/>
      <c r="BD58" s="293"/>
      <c r="BE58" s="293"/>
      <c r="BF58" s="293"/>
      <c r="BG58" s="293"/>
      <c r="BH58" s="293"/>
      <c r="BI58" s="293"/>
      <c r="BJ58" s="293"/>
      <c r="BK58" s="293"/>
      <c r="BL58" s="293"/>
      <c r="BM58" s="293"/>
      <c r="BN58" s="293"/>
      <c r="BO58" s="293"/>
      <c r="BP58" s="293"/>
      <c r="BQ58" s="293"/>
      <c r="BR58" s="293"/>
      <c r="BS58" s="293"/>
      <c r="BT58" s="293"/>
      <c r="BU58" s="293"/>
      <c r="BV58" s="293"/>
      <c r="BW58" s="293"/>
      <c r="BX58" s="293"/>
      <c r="BY58" s="293"/>
      <c r="BZ58" s="293"/>
      <c r="CA58" s="293"/>
      <c r="CB58" s="293"/>
      <c r="CC58" s="293"/>
      <c r="CD58" s="293"/>
      <c r="CE58" s="293"/>
      <c r="CF58" s="293"/>
      <c r="CG58" s="293"/>
      <c r="CH58" s="293"/>
      <c r="CI58" s="293"/>
      <c r="CJ58" s="293"/>
      <c r="CK58" s="293"/>
      <c r="CL58" s="293"/>
      <c r="CM58" s="293"/>
      <c r="CN58" s="293"/>
      <c r="CO58" s="293"/>
      <c r="CP58" s="293"/>
      <c r="CQ58" s="293"/>
      <c r="CR58" s="293"/>
      <c r="CS58" s="293"/>
      <c r="CT58" s="293"/>
      <c r="CU58" s="293"/>
      <c r="CV58" s="293"/>
      <c r="CW58" s="293"/>
      <c r="CX58" s="293"/>
      <c r="CY58" s="293"/>
      <c r="CZ58" s="293"/>
      <c r="DA58" s="293"/>
      <c r="DB58" s="293"/>
      <c r="DC58" s="293"/>
      <c r="DD58" s="293"/>
      <c r="DE58" s="293"/>
      <c r="DF58" s="293"/>
      <c r="DG58" s="293"/>
      <c r="DH58" s="293"/>
      <c r="DI58" s="293"/>
      <c r="DJ58" s="293"/>
      <c r="DK58" s="293"/>
      <c r="DL58" s="293"/>
      <c r="DM58" s="293"/>
      <c r="DN58" s="293"/>
      <c r="DO58" s="293"/>
      <c r="DP58" s="293"/>
      <c r="DQ58" s="293"/>
      <c r="DR58" s="293"/>
      <c r="DS58" s="288"/>
      <c r="DT58" s="288"/>
      <c r="DU58" s="288"/>
      <c r="DV58" s="288"/>
      <c r="DW58" s="288"/>
      <c r="DX58" s="288"/>
      <c r="DY58" s="288"/>
      <c r="DZ58" s="288"/>
      <c r="EA58" s="288"/>
      <c r="EB58" s="288"/>
      <c r="EC58" s="288"/>
      <c r="ED58" s="288"/>
      <c r="EE58" s="288"/>
      <c r="EF58" s="288"/>
      <c r="EG58" s="288"/>
      <c r="EH58" s="288"/>
      <c r="EI58" s="288"/>
      <c r="EJ58" s="288"/>
      <c r="EK58" s="288"/>
      <c r="EL58" s="288"/>
      <c r="EM58" s="288"/>
      <c r="EN58" s="288"/>
      <c r="EO58" s="288"/>
      <c r="EP58" s="288"/>
      <c r="EQ58" s="288"/>
      <c r="ER58" s="288"/>
      <c r="ES58" s="288"/>
      <c r="ET58" s="288"/>
      <c r="EU58" s="288"/>
      <c r="EV58" s="288"/>
      <c r="EW58" s="288"/>
      <c r="EX58" s="288"/>
      <c r="EY58" s="288"/>
      <c r="EZ58" s="288"/>
      <c r="FA58" s="288"/>
      <c r="FB58" s="288"/>
      <c r="FC58" s="288"/>
      <c r="FD58" s="288"/>
      <c r="FE58" s="288"/>
      <c r="FF58" s="288"/>
      <c r="FG58" s="288"/>
      <c r="FH58" s="288"/>
    </row>
    <row r="59" ht="14.25" customHeight="1">
      <c r="A59" s="293"/>
      <c r="B59" s="293"/>
      <c r="C59" s="293"/>
      <c r="D59" s="293"/>
      <c r="E59" s="293"/>
      <c r="F59" s="293"/>
      <c r="G59" s="293"/>
      <c r="H59" s="293"/>
      <c r="I59" s="293"/>
      <c r="J59" s="293"/>
      <c r="K59" s="293"/>
      <c r="L59" s="293"/>
      <c r="M59" s="293"/>
      <c r="N59" s="293"/>
      <c r="O59" s="293"/>
      <c r="P59" s="293"/>
      <c r="Q59" s="293"/>
      <c r="R59" s="293"/>
      <c r="S59" s="293"/>
      <c r="T59" s="293"/>
      <c r="U59" s="293"/>
      <c r="V59" s="293"/>
      <c r="W59" s="293"/>
      <c r="X59" s="293"/>
      <c r="Y59" s="293"/>
      <c r="Z59" s="293"/>
      <c r="AA59" s="293"/>
      <c r="AB59" s="293"/>
      <c r="AC59" s="293"/>
      <c r="AD59" s="293"/>
      <c r="AE59" s="293"/>
      <c r="AF59" s="293"/>
      <c r="AG59" s="293"/>
      <c r="AH59" s="293"/>
      <c r="AI59" s="293"/>
      <c r="AJ59" s="293"/>
      <c r="AK59" s="293"/>
      <c r="AL59" s="293"/>
      <c r="AM59" s="293"/>
      <c r="AN59" s="293"/>
      <c r="AO59" s="293"/>
      <c r="AP59" s="293"/>
      <c r="AQ59" s="293"/>
      <c r="AR59" s="293"/>
      <c r="AS59" s="293"/>
      <c r="AT59" s="293"/>
      <c r="AU59" s="293"/>
      <c r="AV59" s="293"/>
      <c r="AW59" s="293"/>
      <c r="AX59" s="293"/>
      <c r="AY59" s="293"/>
      <c r="AZ59" s="293"/>
      <c r="BA59" s="293"/>
      <c r="BB59" s="293"/>
      <c r="BC59" s="293"/>
      <c r="BD59" s="293"/>
      <c r="BE59" s="293"/>
      <c r="BF59" s="293"/>
      <c r="BG59" s="293"/>
      <c r="BH59" s="293"/>
      <c r="BI59" s="293"/>
      <c r="BJ59" s="293"/>
      <c r="BK59" s="293"/>
      <c r="BL59" s="293"/>
      <c r="BM59" s="293"/>
      <c r="BN59" s="293"/>
      <c r="BO59" s="293"/>
      <c r="BP59" s="293"/>
      <c r="BQ59" s="293"/>
      <c r="BR59" s="293"/>
      <c r="BS59" s="293"/>
      <c r="BT59" s="293"/>
      <c r="BU59" s="293"/>
      <c r="BV59" s="293"/>
      <c r="BW59" s="293"/>
      <c r="BX59" s="293"/>
      <c r="BY59" s="293"/>
      <c r="BZ59" s="293"/>
      <c r="CA59" s="293"/>
      <c r="CB59" s="293"/>
      <c r="CC59" s="293"/>
      <c r="CD59" s="293"/>
      <c r="CE59" s="293"/>
      <c r="CF59" s="293"/>
      <c r="CG59" s="293"/>
      <c r="CH59" s="293"/>
      <c r="CI59" s="293"/>
      <c r="CJ59" s="293"/>
      <c r="CK59" s="293"/>
      <c r="CL59" s="293"/>
      <c r="CM59" s="293"/>
      <c r="CN59" s="293"/>
      <c r="CO59" s="293"/>
      <c r="CP59" s="293"/>
      <c r="CQ59" s="293"/>
      <c r="CR59" s="293"/>
      <c r="CS59" s="293"/>
      <c r="CT59" s="293"/>
      <c r="CU59" s="293"/>
      <c r="CV59" s="293"/>
      <c r="CW59" s="293"/>
      <c r="CX59" s="293"/>
      <c r="CY59" s="293"/>
      <c r="CZ59" s="293"/>
      <c r="DA59" s="293"/>
      <c r="DB59" s="293"/>
      <c r="DC59" s="293"/>
      <c r="DD59" s="293"/>
      <c r="DE59" s="293"/>
      <c r="DF59" s="293"/>
      <c r="DG59" s="293"/>
      <c r="DH59" s="293"/>
      <c r="DI59" s="293"/>
      <c r="DJ59" s="293"/>
      <c r="DK59" s="293"/>
      <c r="DL59" s="293"/>
      <c r="DM59" s="293"/>
      <c r="DN59" s="293"/>
      <c r="DO59" s="293"/>
      <c r="DP59" s="293"/>
      <c r="DQ59" s="293"/>
      <c r="DR59" s="293"/>
      <c r="DS59" s="288"/>
      <c r="DT59" s="288"/>
      <c r="DU59" s="288"/>
      <c r="DV59" s="288"/>
      <c r="DW59" s="288"/>
      <c r="DX59" s="288"/>
      <c r="DY59" s="288"/>
      <c r="DZ59" s="288"/>
      <c r="EA59" s="288"/>
      <c r="EB59" s="288"/>
      <c r="EC59" s="288"/>
      <c r="ED59" s="288"/>
      <c r="EE59" s="288"/>
      <c r="EF59" s="288"/>
      <c r="EG59" s="288"/>
      <c r="EH59" s="288"/>
      <c r="EI59" s="288"/>
      <c r="EJ59" s="288"/>
      <c r="EK59" s="288"/>
      <c r="EL59" s="288"/>
      <c r="EM59" s="288"/>
      <c r="EN59" s="288"/>
      <c r="EO59" s="288"/>
      <c r="EP59" s="288"/>
      <c r="EQ59" s="288"/>
      <c r="ER59" s="288"/>
      <c r="ES59" s="288"/>
      <c r="ET59" s="288"/>
      <c r="EU59" s="288"/>
      <c r="EV59" s="288"/>
      <c r="EW59" s="288"/>
      <c r="EX59" s="288"/>
      <c r="EY59" s="288"/>
      <c r="EZ59" s="288"/>
      <c r="FA59" s="288"/>
      <c r="FB59" s="288"/>
      <c r="FC59" s="288"/>
      <c r="FD59" s="288"/>
      <c r="FE59" s="288"/>
      <c r="FF59" s="288"/>
      <c r="FG59" s="288"/>
      <c r="FH59" s="288"/>
    </row>
    <row r="60" ht="14.25" customHeight="1">
      <c r="A60" s="293"/>
      <c r="B60" s="293"/>
      <c r="C60" s="293"/>
      <c r="D60" s="293"/>
      <c r="E60" s="293"/>
      <c r="F60" s="293"/>
      <c r="G60" s="293"/>
      <c r="H60" s="293"/>
      <c r="I60" s="293"/>
      <c r="J60" s="293"/>
      <c r="K60" s="293"/>
      <c r="L60" s="293"/>
      <c r="M60" s="293"/>
      <c r="N60" s="293"/>
      <c r="O60" s="293"/>
      <c r="P60" s="293"/>
      <c r="Q60" s="293"/>
      <c r="R60" s="293"/>
      <c r="S60" s="293"/>
      <c r="T60" s="293"/>
      <c r="U60" s="293"/>
      <c r="V60" s="293"/>
      <c r="W60" s="293"/>
      <c r="X60" s="293"/>
      <c r="Y60" s="293"/>
      <c r="Z60" s="293"/>
      <c r="AA60" s="293"/>
      <c r="AB60" s="293"/>
      <c r="AC60" s="293"/>
      <c r="AD60" s="293"/>
      <c r="AE60" s="293"/>
      <c r="AF60" s="293"/>
      <c r="AG60" s="293"/>
      <c r="AH60" s="293"/>
      <c r="AI60" s="293"/>
      <c r="AJ60" s="293"/>
      <c r="AK60" s="293"/>
      <c r="AL60" s="293"/>
      <c r="AM60" s="293"/>
      <c r="AN60" s="293"/>
      <c r="AO60" s="293"/>
      <c r="AP60" s="293"/>
      <c r="AQ60" s="293"/>
      <c r="AR60" s="293"/>
      <c r="AS60" s="293"/>
      <c r="AT60" s="293"/>
      <c r="AU60" s="293"/>
      <c r="AV60" s="293"/>
      <c r="AW60" s="293"/>
      <c r="AX60" s="293"/>
      <c r="AY60" s="293"/>
      <c r="AZ60" s="293"/>
      <c r="BA60" s="293"/>
      <c r="BB60" s="293"/>
      <c r="BC60" s="293"/>
      <c r="BD60" s="293"/>
      <c r="BE60" s="293"/>
      <c r="BF60" s="293"/>
      <c r="BG60" s="293"/>
      <c r="BH60" s="293"/>
      <c r="BI60" s="293"/>
      <c r="BJ60" s="293"/>
      <c r="BK60" s="293"/>
      <c r="BL60" s="293"/>
      <c r="BM60" s="293"/>
      <c r="BN60" s="293"/>
      <c r="BO60" s="293"/>
      <c r="BP60" s="293"/>
      <c r="BQ60" s="293"/>
      <c r="BR60" s="293"/>
      <c r="BS60" s="293"/>
      <c r="BT60" s="293"/>
      <c r="BU60" s="293"/>
      <c r="BV60" s="293"/>
      <c r="BW60" s="293"/>
      <c r="BX60" s="293"/>
      <c r="BY60" s="293"/>
      <c r="BZ60" s="293"/>
      <c r="CA60" s="293"/>
      <c r="CB60" s="293"/>
      <c r="CC60" s="293"/>
      <c r="CD60" s="293"/>
      <c r="CE60" s="293"/>
      <c r="CF60" s="293"/>
      <c r="CG60" s="293"/>
      <c r="CH60" s="293"/>
      <c r="CI60" s="293"/>
      <c r="CJ60" s="293"/>
      <c r="CK60" s="293"/>
      <c r="CL60" s="293"/>
      <c r="CM60" s="293"/>
      <c r="CN60" s="293"/>
      <c r="CO60" s="293"/>
      <c r="CP60" s="293"/>
      <c r="CQ60" s="293"/>
      <c r="CR60" s="293"/>
      <c r="CS60" s="293"/>
      <c r="CT60" s="293"/>
      <c r="CU60" s="293"/>
      <c r="CV60" s="293"/>
      <c r="CW60" s="293"/>
      <c r="CX60" s="293"/>
      <c r="CY60" s="293"/>
      <c r="CZ60" s="293"/>
      <c r="DA60" s="293"/>
      <c r="DB60" s="293"/>
      <c r="DC60" s="293"/>
      <c r="DD60" s="293"/>
      <c r="DE60" s="293"/>
      <c r="DF60" s="293"/>
      <c r="DG60" s="293"/>
      <c r="DH60" s="293"/>
      <c r="DI60" s="293"/>
      <c r="DJ60" s="293"/>
      <c r="DK60" s="293"/>
      <c r="DL60" s="293"/>
      <c r="DM60" s="293"/>
      <c r="DN60" s="293"/>
      <c r="DO60" s="293"/>
      <c r="DP60" s="293"/>
      <c r="DQ60" s="293"/>
      <c r="DR60" s="293"/>
      <c r="DS60" s="288"/>
      <c r="DT60" s="288"/>
      <c r="DU60" s="288"/>
      <c r="DV60" s="288"/>
      <c r="DW60" s="288"/>
      <c r="DX60" s="288"/>
      <c r="DY60" s="288"/>
      <c r="DZ60" s="288"/>
      <c r="EA60" s="288"/>
      <c r="EB60" s="288"/>
      <c r="EC60" s="288"/>
      <c r="ED60" s="288"/>
      <c r="EE60" s="288"/>
      <c r="EF60" s="288"/>
      <c r="EG60" s="288"/>
      <c r="EH60" s="288"/>
      <c r="EI60" s="288"/>
      <c r="EJ60" s="288"/>
      <c r="EK60" s="288"/>
      <c r="EL60" s="288"/>
      <c r="EM60" s="288"/>
      <c r="EN60" s="288"/>
      <c r="EO60" s="288"/>
      <c r="EP60" s="288"/>
      <c r="EQ60" s="288"/>
      <c r="ER60" s="288"/>
      <c r="ES60" s="288"/>
      <c r="ET60" s="288"/>
      <c r="EU60" s="288"/>
      <c r="EV60" s="288"/>
      <c r="EW60" s="288"/>
      <c r="EX60" s="288"/>
      <c r="EY60" s="288"/>
      <c r="EZ60" s="288"/>
      <c r="FA60" s="288"/>
      <c r="FB60" s="288"/>
      <c r="FC60" s="288"/>
      <c r="FD60" s="288"/>
      <c r="FE60" s="288"/>
      <c r="FF60" s="288"/>
      <c r="FG60" s="288"/>
      <c r="FH60" s="288"/>
    </row>
    <row r="61" ht="14.25" customHeight="1">
      <c r="A61" s="293"/>
      <c r="B61" s="293"/>
      <c r="C61" s="293"/>
      <c r="D61" s="293"/>
      <c r="E61" s="293"/>
      <c r="F61" s="293"/>
      <c r="G61" s="293"/>
      <c r="H61" s="293"/>
      <c r="I61" s="293"/>
      <c r="J61" s="293"/>
      <c r="K61" s="293"/>
      <c r="L61" s="293"/>
      <c r="M61" s="293"/>
      <c r="N61" s="293"/>
      <c r="O61" s="293"/>
      <c r="P61" s="293"/>
      <c r="Q61" s="293"/>
      <c r="R61" s="293"/>
      <c r="S61" s="293"/>
      <c r="T61" s="293"/>
      <c r="U61" s="293"/>
      <c r="V61" s="293"/>
      <c r="W61" s="293"/>
      <c r="X61" s="293"/>
      <c r="Y61" s="293"/>
      <c r="Z61" s="293"/>
      <c r="AA61" s="293"/>
      <c r="AB61" s="293"/>
      <c r="AC61" s="293"/>
      <c r="AD61" s="293"/>
      <c r="AE61" s="293"/>
      <c r="AF61" s="293"/>
      <c r="AG61" s="293"/>
      <c r="AH61" s="293"/>
      <c r="AI61" s="293"/>
      <c r="AJ61" s="293"/>
      <c r="AK61" s="293"/>
      <c r="AL61" s="293"/>
      <c r="AM61" s="293"/>
      <c r="AN61" s="293"/>
      <c r="AO61" s="293"/>
      <c r="AP61" s="293"/>
      <c r="AQ61" s="293"/>
      <c r="AR61" s="293"/>
      <c r="AS61" s="293"/>
      <c r="AT61" s="293"/>
      <c r="AU61" s="293"/>
      <c r="AV61" s="293"/>
      <c r="AW61" s="293"/>
      <c r="AX61" s="293"/>
      <c r="AY61" s="293"/>
      <c r="AZ61" s="293"/>
      <c r="BA61" s="293"/>
      <c r="BB61" s="293"/>
      <c r="BC61" s="293"/>
      <c r="BD61" s="293"/>
      <c r="BE61" s="293"/>
      <c r="BF61" s="293"/>
      <c r="BG61" s="293"/>
      <c r="BH61" s="293"/>
      <c r="BI61" s="293"/>
      <c r="BJ61" s="293"/>
      <c r="BK61" s="293"/>
      <c r="BL61" s="293"/>
      <c r="BM61" s="293"/>
      <c r="BN61" s="293"/>
      <c r="BO61" s="293"/>
      <c r="BP61" s="293"/>
      <c r="BQ61" s="293"/>
      <c r="BR61" s="293"/>
      <c r="BS61" s="293"/>
      <c r="BT61" s="293"/>
      <c r="BU61" s="293"/>
      <c r="BV61" s="293"/>
      <c r="BW61" s="293"/>
      <c r="BX61" s="293"/>
      <c r="BY61" s="293"/>
      <c r="BZ61" s="293"/>
      <c r="CA61" s="293"/>
      <c r="CB61" s="293"/>
      <c r="CC61" s="293"/>
      <c r="CD61" s="293"/>
      <c r="CE61" s="293"/>
      <c r="CF61" s="293"/>
      <c r="CG61" s="293"/>
      <c r="CH61" s="293"/>
      <c r="CI61" s="293"/>
      <c r="CJ61" s="293"/>
      <c r="CK61" s="293"/>
      <c r="CL61" s="293"/>
      <c r="CM61" s="293"/>
      <c r="CN61" s="293"/>
      <c r="CO61" s="293"/>
      <c r="CP61" s="293"/>
      <c r="CQ61" s="293"/>
      <c r="CR61" s="293"/>
      <c r="CS61" s="293"/>
      <c r="CT61" s="293"/>
      <c r="CU61" s="293"/>
      <c r="CV61" s="293"/>
      <c r="CW61" s="293"/>
      <c r="CX61" s="293"/>
      <c r="CY61" s="293"/>
      <c r="CZ61" s="293"/>
      <c r="DA61" s="293"/>
      <c r="DB61" s="293"/>
      <c r="DC61" s="293"/>
      <c r="DD61" s="293"/>
      <c r="DE61" s="293"/>
      <c r="DF61" s="293"/>
      <c r="DG61" s="293"/>
      <c r="DH61" s="293"/>
      <c r="DI61" s="293"/>
      <c r="DJ61" s="293"/>
      <c r="DK61" s="293"/>
      <c r="DL61" s="293"/>
      <c r="DM61" s="293"/>
      <c r="DN61" s="293"/>
      <c r="DO61" s="293"/>
      <c r="DP61" s="293"/>
      <c r="DQ61" s="293"/>
      <c r="DR61" s="293"/>
      <c r="DS61" s="288"/>
      <c r="DT61" s="288"/>
      <c r="DU61" s="288"/>
      <c r="DV61" s="288"/>
      <c r="DW61" s="288"/>
      <c r="DX61" s="288"/>
      <c r="DY61" s="288"/>
      <c r="DZ61" s="288"/>
      <c r="EA61" s="288"/>
      <c r="EB61" s="288"/>
      <c r="EC61" s="288"/>
      <c r="ED61" s="288"/>
      <c r="EE61" s="288"/>
      <c r="EF61" s="288"/>
      <c r="EG61" s="288"/>
      <c r="EH61" s="288"/>
      <c r="EI61" s="288"/>
      <c r="EJ61" s="288"/>
      <c r="EK61" s="288"/>
      <c r="EL61" s="288"/>
      <c r="EM61" s="288"/>
      <c r="EN61" s="288"/>
      <c r="EO61" s="288"/>
      <c r="EP61" s="288"/>
      <c r="EQ61" s="288"/>
      <c r="ER61" s="288"/>
      <c r="ES61" s="288"/>
      <c r="ET61" s="288"/>
      <c r="EU61" s="288"/>
      <c r="EV61" s="288"/>
      <c r="EW61" s="288"/>
      <c r="EX61" s="288"/>
      <c r="EY61" s="288"/>
      <c r="EZ61" s="288"/>
      <c r="FA61" s="288"/>
      <c r="FB61" s="288"/>
      <c r="FC61" s="288"/>
      <c r="FD61" s="288"/>
      <c r="FE61" s="288"/>
      <c r="FF61" s="288"/>
      <c r="FG61" s="288"/>
      <c r="FH61" s="288"/>
    </row>
    <row r="62" ht="14.25" customHeight="1">
      <c r="A62" s="293"/>
      <c r="B62" s="293"/>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3"/>
      <c r="AC62" s="293"/>
      <c r="AD62" s="293"/>
      <c r="AE62" s="293"/>
      <c r="AF62" s="293"/>
      <c r="AG62" s="293"/>
      <c r="AH62" s="293"/>
      <c r="AI62" s="293"/>
      <c r="AJ62" s="293"/>
      <c r="AK62" s="293"/>
      <c r="AL62" s="293"/>
      <c r="AM62" s="293"/>
      <c r="AN62" s="293"/>
      <c r="AO62" s="293"/>
      <c r="AP62" s="293"/>
      <c r="AQ62" s="293"/>
      <c r="AR62" s="293"/>
      <c r="AS62" s="293"/>
      <c r="AT62" s="293"/>
      <c r="AU62" s="293"/>
      <c r="AV62" s="293"/>
      <c r="AW62" s="293"/>
      <c r="AX62" s="293"/>
      <c r="AY62" s="293"/>
      <c r="AZ62" s="293"/>
      <c r="BA62" s="293"/>
      <c r="BB62" s="293"/>
      <c r="BC62" s="293"/>
      <c r="BD62" s="293"/>
      <c r="BE62" s="293"/>
      <c r="BF62" s="293"/>
      <c r="BG62" s="293"/>
      <c r="BH62" s="293"/>
      <c r="BI62" s="293"/>
      <c r="BJ62" s="293"/>
      <c r="BK62" s="293"/>
      <c r="BL62" s="293"/>
      <c r="BM62" s="293"/>
      <c r="BN62" s="293"/>
      <c r="BO62" s="293"/>
      <c r="BP62" s="293"/>
      <c r="BQ62" s="293"/>
      <c r="BR62" s="293"/>
      <c r="BS62" s="293"/>
      <c r="BT62" s="293"/>
      <c r="BU62" s="293"/>
      <c r="BV62" s="293"/>
      <c r="BW62" s="293"/>
      <c r="BX62" s="293"/>
      <c r="BY62" s="293"/>
      <c r="BZ62" s="293"/>
      <c r="CA62" s="293"/>
      <c r="CB62" s="293"/>
      <c r="CC62" s="293"/>
      <c r="CD62" s="293"/>
      <c r="CE62" s="293"/>
      <c r="CF62" s="293"/>
      <c r="CG62" s="293"/>
      <c r="CH62" s="293"/>
      <c r="CI62" s="293"/>
      <c r="CJ62" s="293"/>
      <c r="CK62" s="293"/>
      <c r="CL62" s="293"/>
      <c r="CM62" s="293"/>
      <c r="CN62" s="293"/>
      <c r="CO62" s="293"/>
      <c r="CP62" s="293"/>
      <c r="CQ62" s="293"/>
      <c r="CR62" s="293"/>
      <c r="CS62" s="293"/>
      <c r="CT62" s="293"/>
      <c r="CU62" s="293"/>
      <c r="CV62" s="293"/>
      <c r="CW62" s="293"/>
      <c r="CX62" s="293"/>
      <c r="CY62" s="293"/>
      <c r="CZ62" s="293"/>
      <c r="DA62" s="293"/>
      <c r="DB62" s="293"/>
      <c r="DC62" s="293"/>
      <c r="DD62" s="293"/>
      <c r="DE62" s="293"/>
      <c r="DF62" s="293"/>
      <c r="DG62" s="293"/>
      <c r="DH62" s="293"/>
      <c r="DI62" s="293"/>
      <c r="DJ62" s="293"/>
      <c r="DK62" s="293"/>
      <c r="DL62" s="293"/>
      <c r="DM62" s="293"/>
      <c r="DN62" s="293"/>
      <c r="DO62" s="293"/>
      <c r="DP62" s="293"/>
      <c r="DQ62" s="293"/>
      <c r="DR62" s="293"/>
      <c r="DS62" s="288"/>
      <c r="DT62" s="288"/>
      <c r="DU62" s="288"/>
      <c r="DV62" s="288"/>
      <c r="DW62" s="288"/>
      <c r="DX62" s="288"/>
      <c r="DY62" s="288"/>
      <c r="DZ62" s="288"/>
      <c r="EA62" s="288"/>
      <c r="EB62" s="288"/>
      <c r="EC62" s="288"/>
      <c r="ED62" s="288"/>
      <c r="EE62" s="288"/>
      <c r="EF62" s="288"/>
      <c r="EG62" s="288"/>
      <c r="EH62" s="288"/>
      <c r="EI62" s="288"/>
      <c r="EJ62" s="288"/>
      <c r="EK62" s="288"/>
      <c r="EL62" s="288"/>
      <c r="EM62" s="288"/>
      <c r="EN62" s="288"/>
      <c r="EO62" s="288"/>
      <c r="EP62" s="288"/>
      <c r="EQ62" s="288"/>
      <c r="ER62" s="288"/>
      <c r="ES62" s="288"/>
      <c r="ET62" s="288"/>
      <c r="EU62" s="288"/>
      <c r="EV62" s="288"/>
      <c r="EW62" s="288"/>
      <c r="EX62" s="288"/>
      <c r="EY62" s="288"/>
      <c r="EZ62" s="288"/>
      <c r="FA62" s="288"/>
      <c r="FB62" s="288"/>
      <c r="FC62" s="288"/>
      <c r="FD62" s="288"/>
      <c r="FE62" s="288"/>
      <c r="FF62" s="288"/>
      <c r="FG62" s="288"/>
      <c r="FH62" s="288"/>
    </row>
    <row r="63" ht="14.25" customHeight="1">
      <c r="A63" s="293"/>
      <c r="B63" s="293"/>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3"/>
      <c r="AC63" s="293"/>
      <c r="AD63" s="293"/>
      <c r="AE63" s="293"/>
      <c r="AF63" s="293"/>
      <c r="AG63" s="293"/>
      <c r="AH63" s="293"/>
      <c r="AI63" s="293"/>
      <c r="AJ63" s="293"/>
      <c r="AK63" s="293"/>
      <c r="AL63" s="293"/>
      <c r="AM63" s="293"/>
      <c r="AN63" s="293"/>
      <c r="AO63" s="293"/>
      <c r="AP63" s="293"/>
      <c r="AQ63" s="293"/>
      <c r="AR63" s="293"/>
      <c r="AS63" s="293"/>
      <c r="AT63" s="293"/>
      <c r="AU63" s="293"/>
      <c r="AV63" s="293"/>
      <c r="AW63" s="293"/>
      <c r="AX63" s="293"/>
      <c r="AY63" s="293"/>
      <c r="AZ63" s="293"/>
      <c r="BA63" s="293"/>
      <c r="BB63" s="293"/>
      <c r="BC63" s="293"/>
      <c r="BD63" s="293"/>
      <c r="BE63" s="293"/>
      <c r="BF63" s="293"/>
      <c r="BG63" s="293"/>
      <c r="BH63" s="293"/>
      <c r="BI63" s="293"/>
      <c r="BJ63" s="293"/>
      <c r="BK63" s="293"/>
      <c r="BL63" s="293"/>
      <c r="BM63" s="293"/>
      <c r="BN63" s="293"/>
      <c r="BO63" s="293"/>
      <c r="BP63" s="293"/>
      <c r="BQ63" s="293"/>
      <c r="BR63" s="293"/>
      <c r="BS63" s="293"/>
      <c r="BT63" s="293"/>
      <c r="BU63" s="293"/>
      <c r="BV63" s="293"/>
      <c r="BW63" s="293"/>
      <c r="BX63" s="293"/>
      <c r="BY63" s="293"/>
      <c r="BZ63" s="293"/>
      <c r="CA63" s="293"/>
      <c r="CB63" s="293"/>
      <c r="CC63" s="293"/>
      <c r="CD63" s="293"/>
      <c r="CE63" s="293"/>
      <c r="CF63" s="293"/>
      <c r="CG63" s="293"/>
      <c r="CH63" s="293"/>
      <c r="CI63" s="293"/>
      <c r="CJ63" s="293"/>
      <c r="CK63" s="293"/>
      <c r="CL63" s="293"/>
      <c r="CM63" s="293"/>
      <c r="CN63" s="293"/>
      <c r="CO63" s="293"/>
      <c r="CP63" s="293"/>
      <c r="CQ63" s="293"/>
      <c r="CR63" s="293"/>
      <c r="CS63" s="293"/>
      <c r="CT63" s="293"/>
      <c r="CU63" s="293"/>
      <c r="CV63" s="293"/>
      <c r="CW63" s="293"/>
      <c r="CX63" s="293"/>
      <c r="CY63" s="293"/>
      <c r="CZ63" s="293"/>
      <c r="DA63" s="293"/>
      <c r="DB63" s="293"/>
      <c r="DC63" s="293"/>
      <c r="DD63" s="293"/>
      <c r="DE63" s="293"/>
      <c r="DF63" s="293"/>
      <c r="DG63" s="293"/>
      <c r="DH63" s="293"/>
      <c r="DI63" s="293"/>
      <c r="DJ63" s="293"/>
      <c r="DK63" s="293"/>
      <c r="DL63" s="293"/>
      <c r="DM63" s="293"/>
      <c r="DN63" s="293"/>
      <c r="DO63" s="293"/>
      <c r="DP63" s="293"/>
      <c r="DQ63" s="293"/>
      <c r="DR63" s="293"/>
      <c r="DS63" s="288"/>
      <c r="DT63" s="288"/>
      <c r="DU63" s="288"/>
      <c r="DV63" s="288"/>
      <c r="DW63" s="288"/>
      <c r="DX63" s="288"/>
      <c r="DY63" s="288"/>
      <c r="DZ63" s="288"/>
      <c r="EA63" s="288"/>
      <c r="EB63" s="288"/>
      <c r="EC63" s="288"/>
      <c r="ED63" s="288"/>
      <c r="EE63" s="288"/>
      <c r="EF63" s="288"/>
      <c r="EG63" s="288"/>
      <c r="EH63" s="288"/>
      <c r="EI63" s="288"/>
      <c r="EJ63" s="288"/>
      <c r="EK63" s="288"/>
      <c r="EL63" s="288"/>
      <c r="EM63" s="288"/>
      <c r="EN63" s="288"/>
      <c r="EO63" s="288"/>
      <c r="EP63" s="288"/>
      <c r="EQ63" s="288"/>
      <c r="ER63" s="288"/>
      <c r="ES63" s="288"/>
      <c r="ET63" s="288"/>
      <c r="EU63" s="288"/>
      <c r="EV63" s="288"/>
      <c r="EW63" s="288"/>
      <c r="EX63" s="288"/>
      <c r="EY63" s="288"/>
      <c r="EZ63" s="288"/>
      <c r="FA63" s="288"/>
      <c r="FB63" s="288"/>
      <c r="FC63" s="288"/>
      <c r="FD63" s="288"/>
      <c r="FE63" s="288"/>
      <c r="FF63" s="288"/>
      <c r="FG63" s="288"/>
      <c r="FH63" s="288"/>
    </row>
    <row r="64" ht="14.25" customHeight="1">
      <c r="A64" s="293"/>
      <c r="B64" s="293"/>
      <c r="C64" s="293"/>
      <c r="D64" s="293"/>
      <c r="E64" s="293"/>
      <c r="F64" s="293"/>
      <c r="G64" s="293"/>
      <c r="H64" s="293"/>
      <c r="I64" s="293"/>
      <c r="J64" s="293"/>
      <c r="K64" s="293"/>
      <c r="L64" s="293"/>
      <c r="M64" s="293"/>
      <c r="N64" s="293"/>
      <c r="O64" s="293"/>
      <c r="P64" s="293"/>
      <c r="Q64" s="293"/>
      <c r="R64" s="293"/>
      <c r="S64" s="293"/>
      <c r="T64" s="293"/>
      <c r="U64" s="293"/>
      <c r="V64" s="293"/>
      <c r="W64" s="293"/>
      <c r="X64" s="293"/>
      <c r="Y64" s="293"/>
      <c r="Z64" s="293"/>
      <c r="AA64" s="293"/>
      <c r="AB64" s="293"/>
      <c r="AC64" s="293"/>
      <c r="AD64" s="293"/>
      <c r="AE64" s="293"/>
      <c r="AF64" s="293"/>
      <c r="AG64" s="293"/>
      <c r="AH64" s="293"/>
      <c r="AI64" s="293"/>
      <c r="AJ64" s="293"/>
      <c r="AK64" s="293"/>
      <c r="AL64" s="293"/>
      <c r="AM64" s="293"/>
      <c r="AN64" s="293"/>
      <c r="AO64" s="293"/>
      <c r="AP64" s="293"/>
      <c r="AQ64" s="293"/>
      <c r="AR64" s="293"/>
      <c r="AS64" s="293"/>
      <c r="AT64" s="293"/>
      <c r="AU64" s="293"/>
      <c r="AV64" s="293"/>
      <c r="AW64" s="293"/>
      <c r="AX64" s="293"/>
      <c r="AY64" s="293"/>
      <c r="AZ64" s="293"/>
      <c r="BA64" s="293"/>
      <c r="BB64" s="293"/>
      <c r="BC64" s="293"/>
      <c r="BD64" s="293"/>
      <c r="BE64" s="293"/>
      <c r="BF64" s="293"/>
      <c r="BG64" s="293"/>
      <c r="BH64" s="293"/>
      <c r="BI64" s="293"/>
      <c r="BJ64" s="293"/>
      <c r="BK64" s="293"/>
      <c r="BL64" s="293"/>
      <c r="BM64" s="293"/>
      <c r="BN64" s="293"/>
      <c r="BO64" s="293"/>
      <c r="BP64" s="293"/>
      <c r="BQ64" s="293"/>
      <c r="BR64" s="293"/>
      <c r="BS64" s="293"/>
      <c r="BT64" s="293"/>
      <c r="BU64" s="293"/>
      <c r="BV64" s="293"/>
      <c r="BW64" s="293"/>
      <c r="BX64" s="293"/>
      <c r="BY64" s="293"/>
      <c r="BZ64" s="293"/>
      <c r="CA64" s="293"/>
      <c r="CB64" s="293"/>
      <c r="CC64" s="293"/>
      <c r="CD64" s="293"/>
      <c r="CE64" s="293"/>
      <c r="CF64" s="293"/>
      <c r="CG64" s="293"/>
      <c r="CH64" s="293"/>
      <c r="CI64" s="293"/>
      <c r="CJ64" s="293"/>
      <c r="CK64" s="293"/>
      <c r="CL64" s="293"/>
      <c r="CM64" s="293"/>
      <c r="CN64" s="293"/>
      <c r="CO64" s="293"/>
      <c r="CP64" s="293"/>
      <c r="CQ64" s="293"/>
      <c r="CR64" s="293"/>
      <c r="CS64" s="293"/>
      <c r="CT64" s="293"/>
      <c r="CU64" s="293"/>
      <c r="CV64" s="293"/>
      <c r="CW64" s="293"/>
      <c r="CX64" s="293"/>
      <c r="CY64" s="293"/>
      <c r="CZ64" s="293"/>
      <c r="DA64" s="293"/>
      <c r="DB64" s="293"/>
      <c r="DC64" s="293"/>
      <c r="DD64" s="293"/>
      <c r="DE64" s="293"/>
      <c r="DF64" s="293"/>
      <c r="DG64" s="293"/>
      <c r="DH64" s="293"/>
      <c r="DI64" s="293"/>
      <c r="DJ64" s="293"/>
      <c r="DK64" s="293"/>
      <c r="DL64" s="293"/>
      <c r="DM64" s="293"/>
      <c r="DN64" s="293"/>
      <c r="DO64" s="293"/>
      <c r="DP64" s="293"/>
      <c r="DQ64" s="293"/>
      <c r="DR64" s="293"/>
      <c r="DS64" s="288"/>
      <c r="DT64" s="288"/>
      <c r="DU64" s="288"/>
      <c r="DV64" s="288"/>
      <c r="DW64" s="288"/>
      <c r="DX64" s="288"/>
      <c r="DY64" s="288"/>
      <c r="DZ64" s="288"/>
      <c r="EA64" s="288"/>
      <c r="EB64" s="288"/>
      <c r="EC64" s="288"/>
      <c r="ED64" s="288"/>
      <c r="EE64" s="288"/>
      <c r="EF64" s="288"/>
      <c r="EG64" s="288"/>
      <c r="EH64" s="288"/>
      <c r="EI64" s="288"/>
      <c r="EJ64" s="288"/>
      <c r="EK64" s="288"/>
      <c r="EL64" s="288"/>
      <c r="EM64" s="288"/>
      <c r="EN64" s="288"/>
      <c r="EO64" s="288"/>
      <c r="EP64" s="288"/>
      <c r="EQ64" s="288"/>
      <c r="ER64" s="288"/>
      <c r="ES64" s="288"/>
      <c r="ET64" s="288"/>
      <c r="EU64" s="288"/>
      <c r="EV64" s="288"/>
      <c r="EW64" s="288"/>
      <c r="EX64" s="288"/>
      <c r="EY64" s="288"/>
      <c r="EZ64" s="288"/>
      <c r="FA64" s="288"/>
      <c r="FB64" s="288"/>
      <c r="FC64" s="288"/>
      <c r="FD64" s="288"/>
      <c r="FE64" s="288"/>
      <c r="FF64" s="288"/>
      <c r="FG64" s="288"/>
      <c r="FH64" s="288"/>
    </row>
    <row r="65" ht="14.25" customHeight="1">
      <c r="A65" s="293"/>
      <c r="B65" s="293"/>
      <c r="C65" s="293"/>
      <c r="D65" s="293"/>
      <c r="E65" s="293"/>
      <c r="F65" s="293"/>
      <c r="G65" s="293"/>
      <c r="H65" s="293"/>
      <c r="I65" s="293"/>
      <c r="J65" s="293"/>
      <c r="K65" s="293"/>
      <c r="L65" s="293"/>
      <c r="M65" s="293"/>
      <c r="N65" s="293"/>
      <c r="O65" s="293"/>
      <c r="P65" s="293"/>
      <c r="Q65" s="293"/>
      <c r="R65" s="293"/>
      <c r="S65" s="293"/>
      <c r="T65" s="293"/>
      <c r="U65" s="293"/>
      <c r="V65" s="293"/>
      <c r="W65" s="293"/>
      <c r="X65" s="293"/>
      <c r="Y65" s="293"/>
      <c r="Z65" s="293"/>
      <c r="AA65" s="293"/>
      <c r="AB65" s="293"/>
      <c r="AC65" s="293"/>
      <c r="AD65" s="293"/>
      <c r="AE65" s="293"/>
      <c r="AF65" s="293"/>
      <c r="AG65" s="293"/>
      <c r="AH65" s="293"/>
      <c r="AI65" s="293"/>
      <c r="AJ65" s="293"/>
      <c r="AK65" s="293"/>
      <c r="AL65" s="293"/>
      <c r="AM65" s="293"/>
      <c r="AN65" s="293"/>
      <c r="AO65" s="293"/>
      <c r="AP65" s="293"/>
      <c r="AQ65" s="293"/>
      <c r="AR65" s="293"/>
      <c r="AS65" s="293"/>
      <c r="AT65" s="293"/>
      <c r="AU65" s="293"/>
      <c r="AV65" s="293"/>
      <c r="AW65" s="293"/>
      <c r="AX65" s="293"/>
      <c r="AY65" s="293"/>
      <c r="AZ65" s="293"/>
      <c r="BA65" s="293"/>
      <c r="BB65" s="293"/>
      <c r="BC65" s="293"/>
      <c r="BD65" s="293"/>
      <c r="BE65" s="293"/>
      <c r="BF65" s="293"/>
      <c r="BG65" s="293"/>
      <c r="BH65" s="293"/>
      <c r="BI65" s="293"/>
      <c r="BJ65" s="293"/>
      <c r="BK65" s="293"/>
      <c r="BL65" s="293"/>
      <c r="BM65" s="293"/>
      <c r="BN65" s="293"/>
      <c r="BO65" s="293"/>
      <c r="BP65" s="293"/>
      <c r="BQ65" s="293"/>
      <c r="BR65" s="293"/>
      <c r="BS65" s="293"/>
      <c r="BT65" s="293"/>
      <c r="BU65" s="293"/>
      <c r="BV65" s="293"/>
      <c r="BW65" s="293"/>
      <c r="BX65" s="293"/>
      <c r="BY65" s="293"/>
      <c r="BZ65" s="293"/>
      <c r="CA65" s="293"/>
      <c r="CB65" s="293"/>
      <c r="CC65" s="293"/>
      <c r="CD65" s="293"/>
      <c r="CE65" s="293"/>
      <c r="CF65" s="293"/>
      <c r="CG65" s="293"/>
      <c r="CH65" s="293"/>
      <c r="CI65" s="293"/>
      <c r="CJ65" s="293"/>
      <c r="CK65" s="293"/>
      <c r="CL65" s="293"/>
      <c r="CM65" s="293"/>
      <c r="CN65" s="293"/>
      <c r="CO65" s="293"/>
      <c r="CP65" s="293"/>
      <c r="CQ65" s="293"/>
      <c r="CR65" s="293"/>
      <c r="CS65" s="293"/>
      <c r="CT65" s="293"/>
      <c r="CU65" s="293"/>
      <c r="CV65" s="293"/>
      <c r="CW65" s="293"/>
      <c r="CX65" s="293"/>
      <c r="CY65" s="293"/>
      <c r="CZ65" s="293"/>
      <c r="DA65" s="293"/>
      <c r="DB65" s="293"/>
      <c r="DC65" s="293"/>
      <c r="DD65" s="293"/>
      <c r="DE65" s="293"/>
      <c r="DF65" s="293"/>
      <c r="DG65" s="293"/>
      <c r="DH65" s="293"/>
      <c r="DI65" s="293"/>
      <c r="DJ65" s="293"/>
      <c r="DK65" s="293"/>
      <c r="DL65" s="293"/>
      <c r="DM65" s="293"/>
      <c r="DN65" s="293"/>
      <c r="DO65" s="293"/>
      <c r="DP65" s="293"/>
      <c r="DQ65" s="293"/>
      <c r="DR65" s="293"/>
      <c r="DS65" s="288"/>
      <c r="DT65" s="288"/>
      <c r="DU65" s="288"/>
      <c r="DV65" s="288"/>
      <c r="DW65" s="288"/>
      <c r="DX65" s="288"/>
      <c r="DY65" s="288"/>
      <c r="DZ65" s="288"/>
      <c r="EA65" s="288"/>
      <c r="EB65" s="288"/>
      <c r="EC65" s="288"/>
      <c r="ED65" s="288"/>
      <c r="EE65" s="288"/>
      <c r="EF65" s="288"/>
      <c r="EG65" s="288"/>
      <c r="EH65" s="288"/>
      <c r="EI65" s="288"/>
      <c r="EJ65" s="288"/>
      <c r="EK65" s="288"/>
      <c r="EL65" s="288"/>
      <c r="EM65" s="288"/>
      <c r="EN65" s="288"/>
      <c r="EO65" s="288"/>
      <c r="EP65" s="288"/>
      <c r="EQ65" s="288"/>
      <c r="ER65" s="288"/>
      <c r="ES65" s="288"/>
      <c r="ET65" s="288"/>
      <c r="EU65" s="288"/>
      <c r="EV65" s="288"/>
      <c r="EW65" s="288"/>
      <c r="EX65" s="288"/>
      <c r="EY65" s="288"/>
      <c r="EZ65" s="288"/>
      <c r="FA65" s="288"/>
      <c r="FB65" s="288"/>
      <c r="FC65" s="288"/>
      <c r="FD65" s="288"/>
      <c r="FE65" s="288"/>
      <c r="FF65" s="288"/>
      <c r="FG65" s="288"/>
      <c r="FH65" s="288"/>
    </row>
    <row r="66" ht="14.25" customHeight="1">
      <c r="A66" s="293"/>
      <c r="B66" s="293"/>
      <c r="C66" s="293"/>
      <c r="D66" s="293"/>
      <c r="E66" s="293"/>
      <c r="F66" s="293"/>
      <c r="G66" s="293"/>
      <c r="H66" s="293"/>
      <c r="I66" s="293"/>
      <c r="J66" s="293"/>
      <c r="K66" s="293"/>
      <c r="L66" s="293"/>
      <c r="M66" s="293"/>
      <c r="N66" s="293"/>
      <c r="O66" s="293"/>
      <c r="P66" s="293"/>
      <c r="Q66" s="293"/>
      <c r="R66" s="293"/>
      <c r="S66" s="293"/>
      <c r="T66" s="293"/>
      <c r="U66" s="293"/>
      <c r="V66" s="293"/>
      <c r="W66" s="293"/>
      <c r="X66" s="293"/>
      <c r="Y66" s="293"/>
      <c r="Z66" s="293"/>
      <c r="AA66" s="293"/>
      <c r="AB66" s="293"/>
      <c r="AC66" s="293"/>
      <c r="AD66" s="293"/>
      <c r="AE66" s="293"/>
      <c r="AF66" s="293"/>
      <c r="AG66" s="293"/>
      <c r="AH66" s="293"/>
      <c r="AI66" s="293"/>
      <c r="AJ66" s="293"/>
      <c r="AK66" s="293"/>
      <c r="AL66" s="293"/>
      <c r="AM66" s="293"/>
      <c r="AN66" s="293"/>
      <c r="AO66" s="293"/>
      <c r="AP66" s="293"/>
      <c r="AQ66" s="293"/>
      <c r="AR66" s="293"/>
      <c r="AS66" s="293"/>
      <c r="AT66" s="293"/>
      <c r="AU66" s="293"/>
      <c r="AV66" s="293"/>
      <c r="AW66" s="293"/>
      <c r="AX66" s="293"/>
      <c r="AY66" s="293"/>
      <c r="AZ66" s="293"/>
      <c r="BA66" s="293"/>
      <c r="BB66" s="293"/>
      <c r="BC66" s="293"/>
      <c r="BD66" s="293"/>
      <c r="BE66" s="293"/>
      <c r="BF66" s="293"/>
      <c r="BG66" s="293"/>
      <c r="BH66" s="293"/>
      <c r="BI66" s="293"/>
      <c r="BJ66" s="293"/>
      <c r="BK66" s="293"/>
      <c r="BL66" s="293"/>
      <c r="BM66" s="293"/>
      <c r="BN66" s="293"/>
      <c r="BO66" s="293"/>
      <c r="BP66" s="293"/>
      <c r="BQ66" s="293"/>
      <c r="BR66" s="293"/>
      <c r="BS66" s="293"/>
      <c r="BT66" s="293"/>
      <c r="BU66" s="293"/>
      <c r="BV66" s="293"/>
      <c r="BW66" s="293"/>
      <c r="BX66" s="293"/>
      <c r="BY66" s="293"/>
      <c r="BZ66" s="293"/>
      <c r="CA66" s="293"/>
      <c r="CB66" s="293"/>
      <c r="CC66" s="293"/>
      <c r="CD66" s="293"/>
      <c r="CE66" s="293"/>
      <c r="CF66" s="293"/>
      <c r="CG66" s="293"/>
      <c r="CH66" s="293"/>
      <c r="CI66" s="293"/>
      <c r="CJ66" s="293"/>
      <c r="CK66" s="293"/>
      <c r="CL66" s="293"/>
      <c r="CM66" s="293"/>
      <c r="CN66" s="293"/>
      <c r="CO66" s="293"/>
      <c r="CP66" s="293"/>
      <c r="CQ66" s="293"/>
      <c r="CR66" s="293"/>
      <c r="CS66" s="293"/>
      <c r="CT66" s="293"/>
      <c r="CU66" s="293"/>
      <c r="CV66" s="293"/>
      <c r="CW66" s="293"/>
      <c r="CX66" s="293"/>
      <c r="CY66" s="293"/>
      <c r="CZ66" s="293"/>
      <c r="DA66" s="293"/>
      <c r="DB66" s="293"/>
      <c r="DC66" s="293"/>
      <c r="DD66" s="293"/>
      <c r="DE66" s="293"/>
      <c r="DF66" s="293"/>
      <c r="DG66" s="293"/>
      <c r="DH66" s="293"/>
      <c r="DI66" s="293"/>
      <c r="DJ66" s="293"/>
      <c r="DK66" s="293"/>
      <c r="DL66" s="293"/>
      <c r="DM66" s="293"/>
      <c r="DN66" s="293"/>
      <c r="DO66" s="293"/>
      <c r="DP66" s="293"/>
      <c r="DQ66" s="293"/>
      <c r="DR66" s="293"/>
      <c r="DS66" s="288"/>
      <c r="DT66" s="288"/>
      <c r="DU66" s="288"/>
      <c r="DV66" s="288"/>
      <c r="DW66" s="288"/>
      <c r="DX66" s="288"/>
      <c r="DY66" s="288"/>
      <c r="DZ66" s="288"/>
      <c r="EA66" s="288"/>
      <c r="EB66" s="288"/>
      <c r="EC66" s="288"/>
      <c r="ED66" s="288"/>
      <c r="EE66" s="288"/>
      <c r="EF66" s="288"/>
      <c r="EG66" s="288"/>
      <c r="EH66" s="288"/>
      <c r="EI66" s="288"/>
      <c r="EJ66" s="288"/>
      <c r="EK66" s="288"/>
      <c r="EL66" s="288"/>
      <c r="EM66" s="288"/>
      <c r="EN66" s="288"/>
      <c r="EO66" s="288"/>
      <c r="EP66" s="288"/>
      <c r="EQ66" s="288"/>
      <c r="ER66" s="288"/>
      <c r="ES66" s="288"/>
      <c r="ET66" s="288"/>
      <c r="EU66" s="288"/>
      <c r="EV66" s="288"/>
      <c r="EW66" s="288"/>
      <c r="EX66" s="288"/>
      <c r="EY66" s="288"/>
      <c r="EZ66" s="288"/>
      <c r="FA66" s="288"/>
      <c r="FB66" s="288"/>
      <c r="FC66" s="288"/>
      <c r="FD66" s="288"/>
      <c r="FE66" s="288"/>
      <c r="FF66" s="288"/>
      <c r="FG66" s="288"/>
      <c r="FH66" s="288"/>
    </row>
    <row r="67" ht="14.25" customHeight="1">
      <c r="A67" s="54"/>
      <c r="B67" s="327"/>
      <c r="C67" s="23"/>
      <c r="D67" s="23"/>
      <c r="E67" s="23"/>
      <c r="F67" s="328"/>
      <c r="G67" s="329"/>
      <c r="H67" s="293"/>
      <c r="I67" s="293"/>
      <c r="J67" s="293"/>
      <c r="K67" s="293"/>
      <c r="L67" s="293"/>
      <c r="M67" s="293"/>
      <c r="N67" s="293"/>
      <c r="O67" s="293"/>
      <c r="P67" s="293"/>
      <c r="Q67" s="293"/>
      <c r="R67" s="293"/>
      <c r="S67" s="293"/>
      <c r="T67" s="293"/>
      <c r="U67" s="293"/>
      <c r="V67" s="293"/>
      <c r="W67" s="293"/>
      <c r="X67" s="293"/>
      <c r="Y67" s="293"/>
      <c r="Z67" s="293"/>
      <c r="AA67" s="293"/>
      <c r="AB67" s="293"/>
      <c r="AC67" s="293"/>
      <c r="AD67" s="293"/>
      <c r="AE67" s="293"/>
      <c r="AF67" s="293"/>
      <c r="AG67" s="293"/>
      <c r="AH67" s="293"/>
      <c r="AI67" s="293"/>
      <c r="AJ67" s="293"/>
      <c r="AK67" s="293"/>
      <c r="AL67" s="293"/>
      <c r="AM67" s="293"/>
      <c r="AN67" s="293"/>
      <c r="AO67" s="293"/>
      <c r="AP67" s="293"/>
      <c r="AQ67" s="293"/>
      <c r="AR67" s="293"/>
      <c r="AS67" s="293"/>
      <c r="AT67" s="293"/>
      <c r="AU67" s="293"/>
      <c r="AV67" s="293"/>
      <c r="AW67" s="293"/>
      <c r="AX67" s="293"/>
      <c r="AY67" s="293"/>
      <c r="AZ67" s="293"/>
      <c r="BA67" s="293"/>
      <c r="BB67" s="293"/>
      <c r="BC67" s="293"/>
      <c r="BD67" s="293"/>
      <c r="BE67" s="293"/>
      <c r="BF67" s="293"/>
      <c r="BG67" s="293"/>
      <c r="BH67" s="293"/>
      <c r="BI67" s="293"/>
      <c r="BJ67" s="293"/>
      <c r="BK67" s="293"/>
      <c r="BL67" s="293"/>
      <c r="BM67" s="293"/>
      <c r="BN67" s="293"/>
      <c r="BO67" s="293"/>
      <c r="BP67" s="293"/>
      <c r="BQ67" s="293"/>
      <c r="BR67" s="293"/>
      <c r="BS67" s="293"/>
      <c r="BT67" s="293"/>
      <c r="BU67" s="293"/>
      <c r="BV67" s="293"/>
      <c r="BW67" s="293"/>
      <c r="BX67" s="293"/>
      <c r="BY67" s="293"/>
      <c r="BZ67" s="293"/>
      <c r="CA67" s="293"/>
      <c r="CB67" s="293"/>
      <c r="CC67" s="293"/>
      <c r="CD67" s="293"/>
      <c r="CE67" s="293"/>
      <c r="CF67" s="293"/>
      <c r="CG67" s="293"/>
      <c r="CH67" s="293"/>
      <c r="CI67" s="293"/>
      <c r="CJ67" s="293"/>
      <c r="CK67" s="293"/>
      <c r="CL67" s="293"/>
      <c r="CM67" s="293"/>
      <c r="CN67" s="293"/>
      <c r="CO67" s="293"/>
      <c r="CP67" s="293"/>
      <c r="CQ67" s="293"/>
      <c r="CR67" s="293"/>
      <c r="CS67" s="293"/>
      <c r="CT67" s="293"/>
      <c r="CU67" s="293"/>
      <c r="CV67" s="293"/>
      <c r="CW67" s="293"/>
      <c r="CX67" s="293"/>
      <c r="CY67" s="293"/>
      <c r="CZ67" s="293"/>
      <c r="DA67" s="293"/>
      <c r="DB67" s="293"/>
      <c r="DC67" s="293"/>
      <c r="DD67" s="293"/>
      <c r="DE67" s="293"/>
      <c r="DF67" s="293"/>
      <c r="DG67" s="293"/>
      <c r="DH67" s="293"/>
      <c r="DI67" s="293"/>
      <c r="DJ67" s="293"/>
      <c r="DK67" s="293"/>
      <c r="DL67" s="293"/>
      <c r="DM67" s="293"/>
      <c r="DN67" s="293"/>
      <c r="DO67" s="293"/>
      <c r="DP67" s="293"/>
      <c r="DQ67" s="293"/>
      <c r="DR67" s="293"/>
      <c r="DS67" s="288"/>
      <c r="DT67" s="288"/>
      <c r="DU67" s="288"/>
      <c r="DV67" s="288"/>
      <c r="DW67" s="288"/>
      <c r="DX67" s="288"/>
      <c r="DY67" s="288"/>
      <c r="DZ67" s="288"/>
      <c r="EA67" s="288"/>
      <c r="EB67" s="288"/>
      <c r="EC67" s="288"/>
      <c r="ED67" s="288"/>
      <c r="EE67" s="288"/>
      <c r="EF67" s="288"/>
      <c r="EG67" s="288"/>
      <c r="EH67" s="288"/>
      <c r="EI67" s="288"/>
      <c r="EJ67" s="288"/>
      <c r="EK67" s="288"/>
      <c r="EL67" s="288"/>
      <c r="EM67" s="288"/>
      <c r="EN67" s="288"/>
      <c r="EO67" s="288"/>
      <c r="EP67" s="288"/>
      <c r="EQ67" s="288"/>
      <c r="ER67" s="288"/>
      <c r="ES67" s="288"/>
      <c r="ET67" s="288"/>
      <c r="EU67" s="288"/>
      <c r="EV67" s="288"/>
      <c r="EW67" s="288"/>
      <c r="EX67" s="288"/>
      <c r="EY67" s="288"/>
      <c r="EZ67" s="288"/>
      <c r="FA67" s="288"/>
      <c r="FB67" s="288"/>
      <c r="FC67" s="288"/>
      <c r="FD67" s="288"/>
      <c r="FE67" s="288"/>
      <c r="FF67" s="288"/>
      <c r="FG67" s="288"/>
      <c r="FH67" s="288"/>
    </row>
    <row r="68" ht="14.25" customHeight="1">
      <c r="A68" s="293"/>
      <c r="B68" s="293"/>
      <c r="C68" s="293"/>
      <c r="D68" s="293"/>
      <c r="E68" s="293"/>
      <c r="F68" s="293"/>
      <c r="G68" s="293"/>
      <c r="H68" s="293"/>
      <c r="I68" s="293"/>
      <c r="J68" s="293"/>
      <c r="K68" s="293"/>
      <c r="L68" s="293"/>
      <c r="M68" s="293"/>
      <c r="N68" s="293"/>
      <c r="O68" s="293"/>
      <c r="P68" s="293"/>
      <c r="Q68" s="293"/>
      <c r="R68" s="293"/>
      <c r="S68" s="293"/>
      <c r="T68" s="293"/>
      <c r="U68" s="293"/>
      <c r="V68" s="293"/>
      <c r="W68" s="293"/>
      <c r="X68" s="293"/>
      <c r="Y68" s="293"/>
      <c r="Z68" s="293"/>
      <c r="AA68" s="293"/>
      <c r="AB68" s="293"/>
      <c r="AC68" s="293"/>
      <c r="AD68" s="293"/>
      <c r="AE68" s="293"/>
      <c r="AF68" s="293"/>
      <c r="AG68" s="293"/>
      <c r="AH68" s="293"/>
      <c r="AI68" s="293"/>
      <c r="AJ68" s="293"/>
      <c r="AK68" s="293"/>
      <c r="AL68" s="293"/>
      <c r="AM68" s="293"/>
      <c r="AN68" s="293"/>
      <c r="AO68" s="293"/>
      <c r="AP68" s="293"/>
      <c r="AQ68" s="293"/>
      <c r="AR68" s="293"/>
      <c r="AS68" s="293"/>
      <c r="AT68" s="293"/>
      <c r="AU68" s="293"/>
      <c r="AV68" s="293"/>
      <c r="AW68" s="293"/>
      <c r="AX68" s="293"/>
      <c r="AY68" s="293"/>
      <c r="AZ68" s="293"/>
      <c r="BA68" s="293"/>
      <c r="BB68" s="293"/>
      <c r="BC68" s="293"/>
      <c r="BD68" s="293"/>
      <c r="BE68" s="293"/>
      <c r="BF68" s="293"/>
      <c r="BG68" s="293"/>
      <c r="BH68" s="293"/>
      <c r="BI68" s="293"/>
      <c r="BJ68" s="293"/>
      <c r="BK68" s="293"/>
      <c r="BL68" s="293"/>
      <c r="BM68" s="293"/>
      <c r="BN68" s="293"/>
      <c r="BO68" s="293"/>
      <c r="BP68" s="293"/>
      <c r="BQ68" s="293"/>
      <c r="BR68" s="293"/>
      <c r="BS68" s="293"/>
      <c r="BT68" s="293"/>
      <c r="BU68" s="293"/>
      <c r="BV68" s="293"/>
      <c r="BW68" s="293"/>
      <c r="BX68" s="293"/>
      <c r="BY68" s="293"/>
      <c r="BZ68" s="293"/>
      <c r="CA68" s="293"/>
      <c r="CB68" s="293"/>
      <c r="CC68" s="293"/>
      <c r="CD68" s="293"/>
      <c r="CE68" s="293"/>
      <c r="CF68" s="293"/>
      <c r="CG68" s="293"/>
      <c r="CH68" s="293"/>
      <c r="CI68" s="293"/>
      <c r="CJ68" s="293"/>
      <c r="CK68" s="293"/>
      <c r="CL68" s="293"/>
      <c r="CM68" s="293"/>
      <c r="CN68" s="293"/>
      <c r="CO68" s="293"/>
      <c r="CP68" s="293"/>
      <c r="CQ68" s="293"/>
      <c r="CR68" s="293"/>
      <c r="CS68" s="293"/>
      <c r="CT68" s="293"/>
      <c r="CU68" s="293"/>
      <c r="CV68" s="293"/>
      <c r="CW68" s="293"/>
      <c r="CX68" s="293"/>
      <c r="CY68" s="293"/>
      <c r="CZ68" s="293"/>
      <c r="DA68" s="293"/>
      <c r="DB68" s="293"/>
      <c r="DC68" s="293"/>
      <c r="DD68" s="293"/>
      <c r="DE68" s="293"/>
      <c r="DF68" s="293"/>
      <c r="DG68" s="293"/>
      <c r="DH68" s="293"/>
      <c r="DI68" s="293"/>
      <c r="DJ68" s="293"/>
      <c r="DK68" s="293"/>
      <c r="DL68" s="293"/>
      <c r="DM68" s="293"/>
      <c r="DN68" s="293"/>
      <c r="DO68" s="293"/>
      <c r="DP68" s="293"/>
      <c r="DQ68" s="293"/>
      <c r="DR68" s="293"/>
      <c r="DS68" s="288"/>
      <c r="DT68" s="288"/>
      <c r="DU68" s="288"/>
      <c r="DV68" s="288"/>
      <c r="DW68" s="288"/>
      <c r="DX68" s="288"/>
      <c r="DY68" s="288"/>
      <c r="DZ68" s="288"/>
      <c r="EA68" s="288"/>
      <c r="EB68" s="288"/>
      <c r="EC68" s="288"/>
      <c r="ED68" s="288"/>
      <c r="EE68" s="288"/>
      <c r="EF68" s="288"/>
      <c r="EG68" s="288"/>
      <c r="EH68" s="288"/>
      <c r="EI68" s="288"/>
      <c r="EJ68" s="288"/>
      <c r="EK68" s="288"/>
      <c r="EL68" s="288"/>
      <c r="EM68" s="288"/>
      <c r="EN68" s="288"/>
      <c r="EO68" s="288"/>
      <c r="EP68" s="288"/>
      <c r="EQ68" s="288"/>
      <c r="ER68" s="288"/>
      <c r="ES68" s="288"/>
      <c r="ET68" s="288"/>
      <c r="EU68" s="288"/>
      <c r="EV68" s="288"/>
      <c r="EW68" s="288"/>
      <c r="EX68" s="288"/>
      <c r="EY68" s="288"/>
      <c r="EZ68" s="288"/>
      <c r="FA68" s="288"/>
      <c r="FB68" s="288"/>
      <c r="FC68" s="288"/>
      <c r="FD68" s="288"/>
      <c r="FE68" s="288"/>
      <c r="FF68" s="288"/>
      <c r="FG68" s="288"/>
      <c r="FH68" s="288"/>
    </row>
    <row r="69" ht="14.25" customHeight="1">
      <c r="A69" s="293"/>
      <c r="B69" s="293"/>
      <c r="C69" s="293"/>
      <c r="D69" s="293"/>
      <c r="E69" s="293"/>
      <c r="F69" s="293"/>
      <c r="G69" s="293"/>
      <c r="H69" s="293"/>
      <c r="I69" s="293"/>
      <c r="J69" s="293"/>
      <c r="K69" s="293"/>
      <c r="L69" s="293"/>
      <c r="M69" s="293"/>
      <c r="N69" s="293"/>
      <c r="O69" s="293"/>
      <c r="P69" s="293"/>
      <c r="Q69" s="293"/>
      <c r="R69" s="293"/>
      <c r="S69" s="293"/>
      <c r="T69" s="293"/>
      <c r="U69" s="293"/>
      <c r="V69" s="293"/>
      <c r="W69" s="293"/>
      <c r="X69" s="293"/>
      <c r="Y69" s="293"/>
      <c r="Z69" s="293"/>
      <c r="AA69" s="293"/>
      <c r="AB69" s="293"/>
      <c r="AC69" s="293"/>
      <c r="AD69" s="293"/>
      <c r="AE69" s="293"/>
      <c r="AF69" s="293"/>
      <c r="AG69" s="293"/>
      <c r="AH69" s="293"/>
      <c r="AI69" s="293"/>
      <c r="AJ69" s="293"/>
      <c r="AK69" s="293"/>
      <c r="AL69" s="293"/>
      <c r="AM69" s="293"/>
      <c r="AN69" s="293"/>
      <c r="AO69" s="293"/>
      <c r="AP69" s="293"/>
      <c r="AQ69" s="293"/>
      <c r="AR69" s="293"/>
      <c r="AS69" s="293"/>
      <c r="AT69" s="293"/>
      <c r="AU69" s="293"/>
      <c r="AV69" s="293"/>
      <c r="AW69" s="293"/>
      <c r="AX69" s="293"/>
      <c r="AY69" s="293"/>
      <c r="AZ69" s="293"/>
      <c r="BA69" s="293"/>
      <c r="BB69" s="293"/>
      <c r="BC69" s="293"/>
      <c r="BD69" s="293"/>
      <c r="BE69" s="293"/>
      <c r="BF69" s="293"/>
      <c r="BG69" s="293"/>
      <c r="BH69" s="293"/>
      <c r="BI69" s="293"/>
      <c r="BJ69" s="293"/>
      <c r="BK69" s="293"/>
      <c r="BL69" s="293"/>
      <c r="BM69" s="293"/>
      <c r="BN69" s="293"/>
      <c r="BO69" s="293"/>
      <c r="BP69" s="293"/>
      <c r="BQ69" s="293"/>
      <c r="BR69" s="293"/>
      <c r="BS69" s="293"/>
      <c r="BT69" s="293"/>
      <c r="BU69" s="293"/>
      <c r="BV69" s="293"/>
      <c r="BW69" s="293"/>
      <c r="BX69" s="293"/>
      <c r="BY69" s="293"/>
      <c r="BZ69" s="293"/>
      <c r="CA69" s="293"/>
      <c r="CB69" s="293"/>
      <c r="CC69" s="293"/>
      <c r="CD69" s="293"/>
      <c r="CE69" s="293"/>
      <c r="CF69" s="293"/>
      <c r="CG69" s="293"/>
      <c r="CH69" s="293"/>
      <c r="CI69" s="293"/>
      <c r="CJ69" s="293"/>
      <c r="CK69" s="293"/>
      <c r="CL69" s="293"/>
      <c r="CM69" s="293"/>
      <c r="CN69" s="293"/>
      <c r="CO69" s="293"/>
      <c r="CP69" s="293"/>
      <c r="CQ69" s="293"/>
      <c r="CR69" s="293"/>
      <c r="CS69" s="293"/>
      <c r="CT69" s="293"/>
      <c r="CU69" s="293"/>
      <c r="CV69" s="293"/>
      <c r="CW69" s="293"/>
      <c r="CX69" s="293"/>
      <c r="CY69" s="293"/>
      <c r="CZ69" s="293"/>
      <c r="DA69" s="293"/>
      <c r="DB69" s="293"/>
      <c r="DC69" s="293"/>
      <c r="DD69" s="293"/>
      <c r="DE69" s="293"/>
      <c r="DF69" s="293"/>
      <c r="DG69" s="293"/>
      <c r="DH69" s="293"/>
      <c r="DI69" s="293"/>
      <c r="DJ69" s="293"/>
      <c r="DK69" s="293"/>
      <c r="DL69" s="293"/>
      <c r="DM69" s="293"/>
      <c r="DN69" s="293"/>
      <c r="DO69" s="293"/>
      <c r="DP69" s="293"/>
      <c r="DQ69" s="293"/>
      <c r="DR69" s="293"/>
      <c r="DS69" s="288"/>
      <c r="DT69" s="288"/>
      <c r="DU69" s="288"/>
      <c r="DV69" s="288"/>
      <c r="DW69" s="288"/>
      <c r="DX69" s="288"/>
      <c r="DY69" s="288"/>
      <c r="DZ69" s="288"/>
      <c r="EA69" s="288"/>
      <c r="EB69" s="288"/>
      <c r="EC69" s="288"/>
      <c r="ED69" s="288"/>
      <c r="EE69" s="288"/>
      <c r="EF69" s="288"/>
      <c r="EG69" s="288"/>
      <c r="EH69" s="288"/>
      <c r="EI69" s="288"/>
      <c r="EJ69" s="288"/>
      <c r="EK69" s="288"/>
      <c r="EL69" s="288"/>
      <c r="EM69" s="288"/>
      <c r="EN69" s="288"/>
      <c r="EO69" s="288"/>
      <c r="EP69" s="288"/>
      <c r="EQ69" s="288"/>
      <c r="ER69" s="288"/>
      <c r="ES69" s="288"/>
      <c r="ET69" s="288"/>
      <c r="EU69" s="288"/>
      <c r="EV69" s="288"/>
      <c r="EW69" s="288"/>
      <c r="EX69" s="288"/>
      <c r="EY69" s="288"/>
      <c r="EZ69" s="288"/>
      <c r="FA69" s="288"/>
      <c r="FB69" s="288"/>
      <c r="FC69" s="288"/>
      <c r="FD69" s="288"/>
      <c r="FE69" s="288"/>
      <c r="FF69" s="288"/>
      <c r="FG69" s="288"/>
      <c r="FH69" s="288"/>
    </row>
    <row r="70" ht="14.25" customHeight="1">
      <c r="A70" s="293"/>
      <c r="B70" s="293"/>
      <c r="C70" s="293"/>
      <c r="D70" s="293"/>
      <c r="E70" s="293"/>
      <c r="F70" s="293"/>
      <c r="G70" s="293"/>
      <c r="H70" s="293"/>
      <c r="I70" s="293"/>
      <c r="J70" s="293"/>
      <c r="K70" s="293"/>
      <c r="L70" s="293"/>
      <c r="M70" s="293"/>
      <c r="N70" s="293"/>
      <c r="O70" s="293"/>
      <c r="P70" s="293"/>
      <c r="Q70" s="293"/>
      <c r="R70" s="293"/>
      <c r="S70" s="293"/>
      <c r="T70" s="293"/>
      <c r="U70" s="293"/>
      <c r="V70" s="293"/>
      <c r="W70" s="293"/>
      <c r="X70" s="293"/>
      <c r="Y70" s="293"/>
      <c r="Z70" s="293"/>
      <c r="AA70" s="293"/>
      <c r="AB70" s="293"/>
      <c r="AC70" s="293"/>
      <c r="AD70" s="293"/>
      <c r="AE70" s="293"/>
      <c r="AF70" s="293"/>
      <c r="AG70" s="293"/>
      <c r="AH70" s="293"/>
      <c r="AI70" s="293"/>
      <c r="AJ70" s="293"/>
      <c r="AK70" s="293"/>
      <c r="AL70" s="293"/>
      <c r="AM70" s="293"/>
      <c r="AN70" s="293"/>
      <c r="AO70" s="293"/>
      <c r="AP70" s="293"/>
      <c r="AQ70" s="293"/>
      <c r="AR70" s="293"/>
      <c r="AS70" s="293"/>
      <c r="AT70" s="293"/>
      <c r="AU70" s="293"/>
      <c r="AV70" s="293"/>
      <c r="AW70" s="293"/>
      <c r="AX70" s="293"/>
      <c r="AY70" s="293"/>
      <c r="AZ70" s="293"/>
      <c r="BA70" s="293"/>
      <c r="BB70" s="293"/>
      <c r="BC70" s="293"/>
      <c r="BD70" s="293"/>
      <c r="BE70" s="293"/>
      <c r="BF70" s="293"/>
      <c r="BG70" s="293"/>
      <c r="BH70" s="293"/>
      <c r="BI70" s="293"/>
      <c r="BJ70" s="293"/>
      <c r="BK70" s="293"/>
      <c r="BL70" s="293"/>
      <c r="BM70" s="293"/>
      <c r="BN70" s="293"/>
      <c r="BO70" s="293"/>
      <c r="BP70" s="293"/>
      <c r="BQ70" s="293"/>
      <c r="BR70" s="293"/>
      <c r="BS70" s="293"/>
      <c r="BT70" s="293"/>
      <c r="BU70" s="293"/>
      <c r="BV70" s="293"/>
      <c r="BW70" s="293"/>
      <c r="BX70" s="293"/>
      <c r="BY70" s="293"/>
      <c r="BZ70" s="293"/>
      <c r="CA70" s="293"/>
      <c r="CB70" s="293"/>
      <c r="CC70" s="293"/>
      <c r="CD70" s="293"/>
      <c r="CE70" s="293"/>
      <c r="CF70" s="293"/>
      <c r="CG70" s="293"/>
      <c r="CH70" s="293"/>
      <c r="CI70" s="293"/>
      <c r="CJ70" s="293"/>
      <c r="CK70" s="293"/>
      <c r="CL70" s="293"/>
      <c r="CM70" s="293"/>
      <c r="CN70" s="293"/>
      <c r="CO70" s="293"/>
      <c r="CP70" s="293"/>
      <c r="CQ70" s="293"/>
      <c r="CR70" s="293"/>
      <c r="CS70" s="293"/>
      <c r="CT70" s="293"/>
      <c r="CU70" s="293"/>
      <c r="CV70" s="293"/>
      <c r="CW70" s="293"/>
      <c r="CX70" s="293"/>
      <c r="CY70" s="293"/>
      <c r="CZ70" s="293"/>
      <c r="DA70" s="293"/>
      <c r="DB70" s="293"/>
      <c r="DC70" s="293"/>
      <c r="DD70" s="293"/>
      <c r="DE70" s="293"/>
      <c r="DF70" s="293"/>
      <c r="DG70" s="293"/>
      <c r="DH70" s="293"/>
      <c r="DI70" s="293"/>
      <c r="DJ70" s="293"/>
      <c r="DK70" s="293"/>
      <c r="DL70" s="293"/>
      <c r="DM70" s="293"/>
      <c r="DN70" s="293"/>
      <c r="DO70" s="293"/>
      <c r="DP70" s="293"/>
      <c r="DQ70" s="293"/>
      <c r="DR70" s="293"/>
      <c r="DS70" s="288"/>
      <c r="DT70" s="288"/>
      <c r="DU70" s="288"/>
      <c r="DV70" s="288"/>
      <c r="DW70" s="288"/>
      <c r="DX70" s="288"/>
      <c r="DY70" s="288"/>
      <c r="DZ70" s="288"/>
      <c r="EA70" s="288"/>
      <c r="EB70" s="288"/>
      <c r="EC70" s="288"/>
      <c r="ED70" s="288"/>
      <c r="EE70" s="288"/>
      <c r="EF70" s="288"/>
      <c r="EG70" s="288"/>
      <c r="EH70" s="288"/>
      <c r="EI70" s="288"/>
      <c r="EJ70" s="288"/>
      <c r="EK70" s="288"/>
      <c r="EL70" s="288"/>
      <c r="EM70" s="288"/>
      <c r="EN70" s="288"/>
      <c r="EO70" s="288"/>
      <c r="EP70" s="288"/>
      <c r="EQ70" s="288"/>
      <c r="ER70" s="288"/>
      <c r="ES70" s="288"/>
      <c r="ET70" s="288"/>
      <c r="EU70" s="288"/>
      <c r="EV70" s="288"/>
      <c r="EW70" s="288"/>
      <c r="EX70" s="288"/>
      <c r="EY70" s="288"/>
      <c r="EZ70" s="288"/>
      <c r="FA70" s="288"/>
      <c r="FB70" s="288"/>
      <c r="FC70" s="288"/>
      <c r="FD70" s="288"/>
      <c r="FE70" s="288"/>
      <c r="FF70" s="288"/>
      <c r="FG70" s="288"/>
      <c r="FH70" s="288"/>
    </row>
    <row r="71" ht="14.25" customHeight="1">
      <c r="A71" s="293"/>
      <c r="B71" s="293"/>
      <c r="C71" s="293"/>
      <c r="D71" s="293"/>
      <c r="E71" s="293"/>
      <c r="F71" s="293"/>
      <c r="G71" s="293"/>
      <c r="H71" s="293"/>
      <c r="I71" s="293"/>
      <c r="J71" s="293"/>
      <c r="K71" s="293"/>
      <c r="L71" s="293"/>
      <c r="M71" s="293"/>
      <c r="N71" s="293"/>
      <c r="O71" s="293"/>
      <c r="P71" s="293"/>
      <c r="Q71" s="293"/>
      <c r="R71" s="293"/>
      <c r="S71" s="293"/>
      <c r="T71" s="293"/>
      <c r="U71" s="293"/>
      <c r="V71" s="293"/>
      <c r="W71" s="293"/>
      <c r="X71" s="293"/>
      <c r="Y71" s="293"/>
      <c r="Z71" s="293"/>
      <c r="AA71" s="293"/>
      <c r="AB71" s="293"/>
      <c r="AC71" s="293"/>
      <c r="AD71" s="293"/>
      <c r="AE71" s="293"/>
      <c r="AF71" s="293"/>
      <c r="AG71" s="293"/>
      <c r="AH71" s="293"/>
      <c r="AI71" s="293"/>
      <c r="AJ71" s="293"/>
      <c r="AK71" s="293"/>
      <c r="AL71" s="293"/>
      <c r="AM71" s="293"/>
      <c r="AN71" s="293"/>
      <c r="AO71" s="293"/>
      <c r="AP71" s="293"/>
      <c r="AQ71" s="293"/>
      <c r="AR71" s="293"/>
      <c r="AS71" s="293"/>
      <c r="AT71" s="293"/>
      <c r="AU71" s="293"/>
      <c r="AV71" s="293"/>
      <c r="AW71" s="293"/>
      <c r="AX71" s="293"/>
      <c r="AY71" s="293"/>
      <c r="AZ71" s="293"/>
      <c r="BA71" s="293"/>
      <c r="BB71" s="293"/>
      <c r="BC71" s="293"/>
      <c r="BD71" s="293"/>
      <c r="BE71" s="293"/>
      <c r="BF71" s="293"/>
      <c r="BG71" s="293"/>
      <c r="BH71" s="293"/>
      <c r="BI71" s="293"/>
      <c r="BJ71" s="293"/>
      <c r="BK71" s="293"/>
      <c r="BL71" s="293"/>
      <c r="BM71" s="293"/>
      <c r="BN71" s="293"/>
      <c r="BO71" s="293"/>
      <c r="BP71" s="293"/>
      <c r="BQ71" s="293"/>
      <c r="BR71" s="293"/>
      <c r="BS71" s="293"/>
      <c r="BT71" s="293"/>
      <c r="BU71" s="293"/>
      <c r="BV71" s="293"/>
      <c r="BW71" s="293"/>
      <c r="BX71" s="293"/>
      <c r="BY71" s="293"/>
      <c r="BZ71" s="293"/>
      <c r="CA71" s="293"/>
      <c r="CB71" s="293"/>
      <c r="CC71" s="293"/>
      <c r="CD71" s="293"/>
      <c r="CE71" s="293"/>
      <c r="CF71" s="293"/>
      <c r="CG71" s="293"/>
      <c r="CH71" s="293"/>
      <c r="CI71" s="293"/>
      <c r="CJ71" s="293"/>
      <c r="CK71" s="293"/>
      <c r="CL71" s="293"/>
      <c r="CM71" s="293"/>
      <c r="CN71" s="293"/>
      <c r="CO71" s="293"/>
      <c r="CP71" s="293"/>
      <c r="CQ71" s="293"/>
      <c r="CR71" s="293"/>
      <c r="CS71" s="293"/>
      <c r="CT71" s="293"/>
      <c r="CU71" s="293"/>
      <c r="CV71" s="293"/>
      <c r="CW71" s="293"/>
      <c r="CX71" s="293"/>
      <c r="CY71" s="293"/>
      <c r="CZ71" s="293"/>
      <c r="DA71" s="293"/>
      <c r="DB71" s="293"/>
      <c r="DC71" s="293"/>
      <c r="DD71" s="293"/>
      <c r="DE71" s="293"/>
      <c r="DF71" s="293"/>
      <c r="DG71" s="293"/>
      <c r="DH71" s="293"/>
      <c r="DI71" s="293"/>
      <c r="DJ71" s="293"/>
      <c r="DK71" s="293"/>
      <c r="DL71" s="293"/>
      <c r="DM71" s="293"/>
      <c r="DN71" s="293"/>
      <c r="DO71" s="293"/>
      <c r="DP71" s="293"/>
      <c r="DQ71" s="293"/>
      <c r="DR71" s="293"/>
      <c r="DS71" s="288"/>
      <c r="DT71" s="288"/>
      <c r="DU71" s="288"/>
      <c r="DV71" s="288"/>
      <c r="DW71" s="288"/>
      <c r="DX71" s="288"/>
      <c r="DY71" s="288"/>
      <c r="DZ71" s="288"/>
      <c r="EA71" s="288"/>
      <c r="EB71" s="288"/>
      <c r="EC71" s="288"/>
      <c r="ED71" s="288"/>
      <c r="EE71" s="288"/>
      <c r="EF71" s="288"/>
      <c r="EG71" s="288"/>
      <c r="EH71" s="288"/>
      <c r="EI71" s="288"/>
      <c r="EJ71" s="288"/>
      <c r="EK71" s="288"/>
      <c r="EL71" s="288"/>
      <c r="EM71" s="288"/>
      <c r="EN71" s="288"/>
      <c r="EO71" s="288"/>
      <c r="EP71" s="288"/>
      <c r="EQ71" s="288"/>
      <c r="ER71" s="288"/>
      <c r="ES71" s="288"/>
      <c r="ET71" s="288"/>
      <c r="EU71" s="288"/>
      <c r="EV71" s="288"/>
      <c r="EW71" s="288"/>
      <c r="EX71" s="288"/>
      <c r="EY71" s="288"/>
      <c r="EZ71" s="288"/>
      <c r="FA71" s="288"/>
      <c r="FB71" s="288"/>
      <c r="FC71" s="288"/>
      <c r="FD71" s="288"/>
      <c r="FE71" s="288"/>
      <c r="FF71" s="288"/>
      <c r="FG71" s="288"/>
      <c r="FH71" s="288"/>
    </row>
    <row r="72" ht="14.25" customHeight="1">
      <c r="A72" s="293"/>
      <c r="B72" s="293"/>
      <c r="C72" s="293"/>
      <c r="D72" s="293"/>
      <c r="E72" s="293"/>
      <c r="F72" s="293"/>
      <c r="G72" s="293"/>
      <c r="H72" s="293"/>
      <c r="I72" s="293"/>
      <c r="J72" s="293"/>
      <c r="K72" s="293"/>
      <c r="L72" s="293"/>
      <c r="M72" s="293"/>
      <c r="N72" s="293"/>
      <c r="O72" s="293"/>
      <c r="P72" s="293"/>
      <c r="Q72" s="293"/>
      <c r="R72" s="293"/>
      <c r="S72" s="293"/>
      <c r="T72" s="293"/>
      <c r="U72" s="293"/>
      <c r="V72" s="293"/>
      <c r="W72" s="293"/>
      <c r="X72" s="293"/>
      <c r="Y72" s="293"/>
      <c r="Z72" s="293"/>
      <c r="AA72" s="293"/>
      <c r="AB72" s="293"/>
      <c r="AC72" s="293"/>
      <c r="AD72" s="293"/>
      <c r="AE72" s="293"/>
      <c r="AF72" s="293"/>
      <c r="AG72" s="293"/>
      <c r="AH72" s="293"/>
      <c r="AI72" s="293"/>
      <c r="AJ72" s="293"/>
      <c r="AK72" s="293"/>
      <c r="AL72" s="293"/>
      <c r="AM72" s="293"/>
      <c r="AN72" s="293"/>
      <c r="AO72" s="293"/>
      <c r="AP72" s="293"/>
      <c r="AQ72" s="293"/>
      <c r="AR72" s="293"/>
      <c r="AS72" s="293"/>
      <c r="AT72" s="293"/>
      <c r="AU72" s="293"/>
      <c r="AV72" s="293"/>
      <c r="AW72" s="293"/>
      <c r="AX72" s="293"/>
      <c r="AY72" s="293"/>
      <c r="AZ72" s="293"/>
      <c r="BA72" s="293"/>
      <c r="BB72" s="293"/>
      <c r="BC72" s="293"/>
      <c r="BD72" s="293"/>
      <c r="BE72" s="293"/>
      <c r="BF72" s="293"/>
      <c r="BG72" s="293"/>
      <c r="BH72" s="293"/>
      <c r="BI72" s="293"/>
      <c r="BJ72" s="293"/>
      <c r="BK72" s="293"/>
      <c r="BL72" s="293"/>
      <c r="BM72" s="293"/>
      <c r="BN72" s="293"/>
      <c r="BO72" s="293"/>
      <c r="BP72" s="293"/>
      <c r="BQ72" s="293"/>
      <c r="BR72" s="293"/>
      <c r="BS72" s="293"/>
      <c r="BT72" s="293"/>
      <c r="BU72" s="293"/>
      <c r="BV72" s="293"/>
      <c r="BW72" s="293"/>
      <c r="BX72" s="293"/>
      <c r="BY72" s="293"/>
      <c r="BZ72" s="293"/>
      <c r="CA72" s="293"/>
      <c r="CB72" s="293"/>
      <c r="CC72" s="293"/>
      <c r="CD72" s="293"/>
      <c r="CE72" s="293"/>
      <c r="CF72" s="293"/>
      <c r="CG72" s="293"/>
      <c r="CH72" s="293"/>
      <c r="CI72" s="293"/>
      <c r="CJ72" s="293"/>
      <c r="CK72" s="293"/>
      <c r="CL72" s="293"/>
      <c r="CM72" s="293"/>
      <c r="CN72" s="293"/>
      <c r="CO72" s="293"/>
      <c r="CP72" s="293"/>
      <c r="CQ72" s="293"/>
      <c r="CR72" s="293"/>
      <c r="CS72" s="293"/>
      <c r="CT72" s="293"/>
      <c r="CU72" s="293"/>
      <c r="CV72" s="293"/>
      <c r="CW72" s="293"/>
      <c r="CX72" s="293"/>
      <c r="CY72" s="293"/>
      <c r="CZ72" s="293"/>
      <c r="DA72" s="293"/>
      <c r="DB72" s="293"/>
      <c r="DC72" s="293"/>
      <c r="DD72" s="293"/>
      <c r="DE72" s="293"/>
      <c r="DF72" s="293"/>
      <c r="DG72" s="293"/>
      <c r="DH72" s="293"/>
      <c r="DI72" s="293"/>
      <c r="DJ72" s="293"/>
      <c r="DK72" s="293"/>
      <c r="DL72" s="293"/>
      <c r="DM72" s="293"/>
      <c r="DN72" s="293"/>
      <c r="DO72" s="293"/>
      <c r="DP72" s="293"/>
      <c r="DQ72" s="293"/>
      <c r="DR72" s="293"/>
      <c r="DS72" s="288"/>
      <c r="DT72" s="288"/>
      <c r="DU72" s="288"/>
      <c r="DV72" s="288"/>
      <c r="DW72" s="288"/>
      <c r="DX72" s="288"/>
      <c r="DY72" s="288"/>
      <c r="DZ72" s="288"/>
      <c r="EA72" s="288"/>
      <c r="EB72" s="288"/>
      <c r="EC72" s="288"/>
      <c r="ED72" s="288"/>
      <c r="EE72" s="288"/>
      <c r="EF72" s="288"/>
      <c r="EG72" s="288"/>
      <c r="EH72" s="288"/>
      <c r="EI72" s="288"/>
      <c r="EJ72" s="288"/>
      <c r="EK72" s="288"/>
      <c r="EL72" s="288"/>
      <c r="EM72" s="288"/>
      <c r="EN72" s="288"/>
      <c r="EO72" s="288"/>
      <c r="EP72" s="288"/>
      <c r="EQ72" s="288"/>
      <c r="ER72" s="288"/>
      <c r="ES72" s="288"/>
      <c r="ET72" s="288"/>
      <c r="EU72" s="288"/>
      <c r="EV72" s="288"/>
      <c r="EW72" s="288"/>
      <c r="EX72" s="288"/>
      <c r="EY72" s="288"/>
      <c r="EZ72" s="288"/>
      <c r="FA72" s="288"/>
      <c r="FB72" s="288"/>
      <c r="FC72" s="288"/>
      <c r="FD72" s="288"/>
      <c r="FE72" s="288"/>
      <c r="FF72" s="288"/>
      <c r="FG72" s="288"/>
      <c r="FH72" s="288"/>
    </row>
    <row r="73" ht="14.25" customHeight="1">
      <c r="A73" s="293"/>
      <c r="B73" s="293"/>
      <c r="C73" s="293"/>
      <c r="D73" s="293"/>
      <c r="E73" s="293"/>
      <c r="F73" s="293"/>
      <c r="G73" s="293"/>
      <c r="H73" s="293"/>
      <c r="I73" s="293"/>
      <c r="J73" s="293"/>
      <c r="K73" s="293"/>
      <c r="L73" s="293"/>
      <c r="M73" s="293"/>
      <c r="N73" s="293"/>
      <c r="O73" s="293"/>
      <c r="P73" s="293"/>
      <c r="Q73" s="293"/>
      <c r="R73" s="293"/>
      <c r="S73" s="293"/>
      <c r="T73" s="293"/>
      <c r="U73" s="293"/>
      <c r="V73" s="293"/>
      <c r="W73" s="293"/>
      <c r="X73" s="293"/>
      <c r="Y73" s="293"/>
      <c r="Z73" s="293"/>
      <c r="AA73" s="293"/>
      <c r="AB73" s="293"/>
      <c r="AC73" s="293"/>
      <c r="AD73" s="293"/>
      <c r="AE73" s="293"/>
      <c r="AF73" s="293"/>
      <c r="AG73" s="293"/>
      <c r="AH73" s="293"/>
      <c r="AI73" s="293"/>
      <c r="AJ73" s="293"/>
      <c r="AK73" s="293"/>
      <c r="AL73" s="293"/>
      <c r="AM73" s="293"/>
      <c r="AN73" s="293"/>
      <c r="AO73" s="293"/>
      <c r="AP73" s="293"/>
      <c r="AQ73" s="293"/>
      <c r="AR73" s="293"/>
      <c r="AS73" s="293"/>
      <c r="AT73" s="293"/>
      <c r="AU73" s="293"/>
      <c r="AV73" s="293"/>
      <c r="AW73" s="293"/>
      <c r="AX73" s="293"/>
      <c r="AY73" s="293"/>
      <c r="AZ73" s="293"/>
      <c r="BA73" s="293"/>
      <c r="BB73" s="293"/>
      <c r="BC73" s="293"/>
      <c r="BD73" s="293"/>
      <c r="BE73" s="293"/>
      <c r="BF73" s="293"/>
      <c r="BG73" s="293"/>
      <c r="BH73" s="293"/>
      <c r="BI73" s="293"/>
      <c r="BJ73" s="293"/>
      <c r="BK73" s="293"/>
      <c r="BL73" s="293"/>
      <c r="BM73" s="293"/>
      <c r="BN73" s="293"/>
      <c r="BO73" s="293"/>
      <c r="BP73" s="293"/>
      <c r="BQ73" s="293"/>
      <c r="BR73" s="293"/>
      <c r="BS73" s="293"/>
      <c r="BT73" s="293"/>
      <c r="BU73" s="293"/>
      <c r="BV73" s="293"/>
      <c r="BW73" s="293"/>
      <c r="BX73" s="293"/>
      <c r="BY73" s="293"/>
      <c r="BZ73" s="293"/>
      <c r="CA73" s="293"/>
      <c r="CB73" s="293"/>
      <c r="CC73" s="293"/>
      <c r="CD73" s="293"/>
      <c r="CE73" s="293"/>
      <c r="CF73" s="293"/>
      <c r="CG73" s="293"/>
      <c r="CH73" s="293"/>
      <c r="CI73" s="293"/>
      <c r="CJ73" s="293"/>
      <c r="CK73" s="293"/>
      <c r="CL73" s="293"/>
      <c r="CM73" s="293"/>
      <c r="CN73" s="293"/>
      <c r="CO73" s="293"/>
      <c r="CP73" s="293"/>
      <c r="CQ73" s="293"/>
      <c r="CR73" s="293"/>
      <c r="CS73" s="293"/>
      <c r="CT73" s="293"/>
      <c r="CU73" s="293"/>
      <c r="CV73" s="293"/>
      <c r="CW73" s="293"/>
      <c r="CX73" s="293"/>
      <c r="CY73" s="293"/>
      <c r="CZ73" s="293"/>
      <c r="DA73" s="293"/>
      <c r="DB73" s="293"/>
      <c r="DC73" s="293"/>
      <c r="DD73" s="293"/>
      <c r="DE73" s="293"/>
      <c r="DF73" s="293"/>
      <c r="DG73" s="293"/>
      <c r="DH73" s="293"/>
      <c r="DI73" s="293"/>
      <c r="DJ73" s="293"/>
      <c r="DK73" s="293"/>
      <c r="DL73" s="293"/>
      <c r="DM73" s="293"/>
      <c r="DN73" s="293"/>
      <c r="DO73" s="293"/>
      <c r="DP73" s="293"/>
      <c r="DQ73" s="293"/>
      <c r="DR73" s="293"/>
      <c r="DS73" s="288"/>
      <c r="DT73" s="288"/>
      <c r="DU73" s="288"/>
      <c r="DV73" s="288"/>
      <c r="DW73" s="288"/>
      <c r="DX73" s="288"/>
      <c r="DY73" s="288"/>
      <c r="DZ73" s="288"/>
      <c r="EA73" s="288"/>
      <c r="EB73" s="288"/>
      <c r="EC73" s="288"/>
      <c r="ED73" s="288"/>
      <c r="EE73" s="288"/>
      <c r="EF73" s="288"/>
      <c r="EG73" s="288"/>
      <c r="EH73" s="288"/>
      <c r="EI73" s="288"/>
      <c r="EJ73" s="288"/>
      <c r="EK73" s="288"/>
      <c r="EL73" s="288"/>
      <c r="EM73" s="288"/>
      <c r="EN73" s="288"/>
      <c r="EO73" s="288"/>
      <c r="EP73" s="288"/>
      <c r="EQ73" s="288"/>
      <c r="ER73" s="288"/>
      <c r="ES73" s="288"/>
      <c r="ET73" s="288"/>
      <c r="EU73" s="288"/>
      <c r="EV73" s="288"/>
      <c r="EW73" s="288"/>
      <c r="EX73" s="288"/>
      <c r="EY73" s="288"/>
      <c r="EZ73" s="288"/>
      <c r="FA73" s="288"/>
      <c r="FB73" s="288"/>
      <c r="FC73" s="288"/>
      <c r="FD73" s="288"/>
      <c r="FE73" s="288"/>
      <c r="FF73" s="288"/>
      <c r="FG73" s="288"/>
      <c r="FH73" s="288"/>
    </row>
    <row r="74" ht="14.25" customHeight="1">
      <c r="A74" s="293"/>
      <c r="B74" s="293"/>
      <c r="C74" s="293"/>
      <c r="D74" s="293"/>
      <c r="E74" s="293"/>
      <c r="F74" s="293"/>
      <c r="G74" s="293"/>
      <c r="H74" s="293"/>
      <c r="I74" s="293"/>
      <c r="J74" s="293"/>
      <c r="K74" s="293"/>
      <c r="L74" s="293"/>
      <c r="M74" s="293"/>
      <c r="N74" s="293"/>
      <c r="O74" s="293"/>
      <c r="P74" s="293"/>
      <c r="Q74" s="293"/>
      <c r="R74" s="293"/>
      <c r="S74" s="293"/>
      <c r="T74" s="293"/>
      <c r="U74" s="293"/>
      <c r="V74" s="293"/>
      <c r="W74" s="293"/>
      <c r="X74" s="293"/>
      <c r="Y74" s="293"/>
      <c r="Z74" s="293"/>
      <c r="AA74" s="293"/>
      <c r="AB74" s="293"/>
      <c r="AC74" s="293"/>
      <c r="AD74" s="293"/>
      <c r="AE74" s="293"/>
      <c r="AF74" s="293"/>
      <c r="AG74" s="293"/>
      <c r="AH74" s="293"/>
      <c r="AI74" s="293"/>
      <c r="AJ74" s="293"/>
      <c r="AK74" s="293"/>
      <c r="AL74" s="293"/>
      <c r="AM74" s="293"/>
      <c r="AN74" s="293"/>
      <c r="AO74" s="293"/>
      <c r="AP74" s="293"/>
      <c r="AQ74" s="293"/>
      <c r="AR74" s="293"/>
      <c r="AS74" s="293"/>
      <c r="AT74" s="293"/>
      <c r="AU74" s="293"/>
      <c r="AV74" s="293"/>
      <c r="AW74" s="293"/>
      <c r="AX74" s="293"/>
      <c r="AY74" s="293"/>
      <c r="AZ74" s="293"/>
      <c r="BA74" s="293"/>
      <c r="BB74" s="293"/>
      <c r="BC74" s="293"/>
      <c r="BD74" s="293"/>
      <c r="BE74" s="293"/>
      <c r="BF74" s="293"/>
      <c r="BG74" s="293"/>
      <c r="BH74" s="293"/>
      <c r="BI74" s="293"/>
      <c r="BJ74" s="293"/>
      <c r="BK74" s="293"/>
      <c r="BL74" s="293"/>
      <c r="BM74" s="293"/>
      <c r="BN74" s="293"/>
      <c r="BO74" s="293"/>
      <c r="BP74" s="293"/>
      <c r="BQ74" s="293"/>
      <c r="BR74" s="293"/>
      <c r="BS74" s="293"/>
      <c r="BT74" s="293"/>
      <c r="BU74" s="293"/>
      <c r="BV74" s="293"/>
      <c r="BW74" s="293"/>
      <c r="BX74" s="293"/>
      <c r="BY74" s="293"/>
      <c r="BZ74" s="293"/>
      <c r="CA74" s="293"/>
      <c r="CB74" s="293"/>
      <c r="CC74" s="293"/>
      <c r="CD74" s="293"/>
      <c r="CE74" s="293"/>
      <c r="CF74" s="293"/>
      <c r="CG74" s="293"/>
      <c r="CH74" s="293"/>
      <c r="CI74" s="293"/>
      <c r="CJ74" s="293"/>
      <c r="CK74" s="293"/>
      <c r="CL74" s="293"/>
      <c r="CM74" s="293"/>
      <c r="CN74" s="293"/>
      <c r="CO74" s="293"/>
      <c r="CP74" s="293"/>
      <c r="CQ74" s="293"/>
      <c r="CR74" s="293"/>
      <c r="CS74" s="293"/>
      <c r="CT74" s="293"/>
      <c r="CU74" s="293"/>
      <c r="CV74" s="293"/>
      <c r="CW74" s="293"/>
      <c r="CX74" s="293"/>
      <c r="CY74" s="293"/>
      <c r="CZ74" s="293"/>
      <c r="DA74" s="293"/>
      <c r="DB74" s="293"/>
      <c r="DC74" s="293"/>
      <c r="DD74" s="293"/>
      <c r="DE74" s="293"/>
      <c r="DF74" s="293"/>
      <c r="DG74" s="293"/>
      <c r="DH74" s="293"/>
      <c r="DI74" s="293"/>
      <c r="DJ74" s="293"/>
      <c r="DK74" s="293"/>
      <c r="DL74" s="293"/>
      <c r="DM74" s="293"/>
      <c r="DN74" s="293"/>
      <c r="DO74" s="293"/>
      <c r="DP74" s="293"/>
      <c r="DQ74" s="293"/>
      <c r="DR74" s="293"/>
      <c r="DS74" s="288"/>
      <c r="DT74" s="288"/>
      <c r="DU74" s="288"/>
      <c r="DV74" s="288"/>
      <c r="DW74" s="288"/>
      <c r="DX74" s="288"/>
      <c r="DY74" s="288"/>
      <c r="DZ74" s="288"/>
      <c r="EA74" s="288"/>
      <c r="EB74" s="288"/>
      <c r="EC74" s="288"/>
      <c r="ED74" s="288"/>
      <c r="EE74" s="288"/>
      <c r="EF74" s="288"/>
      <c r="EG74" s="288"/>
      <c r="EH74" s="288"/>
      <c r="EI74" s="288"/>
      <c r="EJ74" s="288"/>
      <c r="EK74" s="288"/>
      <c r="EL74" s="288"/>
      <c r="EM74" s="288"/>
      <c r="EN74" s="288"/>
      <c r="EO74" s="288"/>
      <c r="EP74" s="288"/>
      <c r="EQ74" s="288"/>
      <c r="ER74" s="288"/>
      <c r="ES74" s="288"/>
      <c r="ET74" s="288"/>
      <c r="EU74" s="288"/>
      <c r="EV74" s="288"/>
      <c r="EW74" s="288"/>
      <c r="EX74" s="288"/>
      <c r="EY74" s="288"/>
      <c r="EZ74" s="288"/>
      <c r="FA74" s="288"/>
      <c r="FB74" s="288"/>
      <c r="FC74" s="288"/>
      <c r="FD74" s="288"/>
      <c r="FE74" s="288"/>
      <c r="FF74" s="288"/>
      <c r="FG74" s="288"/>
      <c r="FH74" s="288"/>
    </row>
    <row r="75" ht="14.25" customHeight="1">
      <c r="A75" s="293"/>
      <c r="B75" s="293"/>
      <c r="C75" s="293"/>
      <c r="D75" s="293"/>
      <c r="E75" s="293"/>
      <c r="F75" s="293"/>
      <c r="G75" s="293"/>
      <c r="H75" s="293"/>
      <c r="I75" s="293"/>
      <c r="J75" s="293"/>
      <c r="K75" s="293"/>
      <c r="L75" s="293"/>
      <c r="M75" s="293"/>
      <c r="N75" s="293"/>
      <c r="O75" s="293"/>
      <c r="P75" s="293"/>
      <c r="Q75" s="293"/>
      <c r="R75" s="293"/>
      <c r="S75" s="293"/>
      <c r="T75" s="293"/>
      <c r="U75" s="293"/>
      <c r="V75" s="293"/>
      <c r="W75" s="293"/>
      <c r="X75" s="293"/>
      <c r="Y75" s="293"/>
      <c r="Z75" s="293"/>
      <c r="AA75" s="293"/>
      <c r="AB75" s="293"/>
      <c r="AC75" s="293"/>
      <c r="AD75" s="293"/>
      <c r="AE75" s="293"/>
      <c r="AF75" s="293"/>
      <c r="AG75" s="293"/>
      <c r="AH75" s="293"/>
      <c r="AI75" s="293"/>
      <c r="AJ75" s="293"/>
      <c r="AK75" s="293"/>
      <c r="AL75" s="293"/>
      <c r="AM75" s="293"/>
      <c r="AN75" s="293"/>
      <c r="AO75" s="293"/>
      <c r="AP75" s="293"/>
      <c r="AQ75" s="293"/>
      <c r="AR75" s="293"/>
      <c r="AS75" s="293"/>
      <c r="AT75" s="293"/>
      <c r="AU75" s="293"/>
      <c r="AV75" s="293"/>
      <c r="AW75" s="293"/>
      <c r="AX75" s="293"/>
      <c r="AY75" s="293"/>
      <c r="AZ75" s="293"/>
      <c r="BA75" s="293"/>
      <c r="BB75" s="293"/>
      <c r="BC75" s="293"/>
      <c r="BD75" s="293"/>
      <c r="BE75" s="293"/>
      <c r="BF75" s="293"/>
      <c r="BG75" s="293"/>
      <c r="BH75" s="293"/>
      <c r="BI75" s="293"/>
      <c r="BJ75" s="293"/>
      <c r="BK75" s="293"/>
      <c r="BL75" s="293"/>
      <c r="BM75" s="293"/>
      <c r="BN75" s="293"/>
      <c r="BO75" s="293"/>
      <c r="BP75" s="293"/>
      <c r="BQ75" s="293"/>
      <c r="BR75" s="293"/>
      <c r="BS75" s="293"/>
      <c r="BT75" s="293"/>
      <c r="BU75" s="293"/>
      <c r="BV75" s="293"/>
      <c r="BW75" s="293"/>
      <c r="BX75" s="293"/>
      <c r="BY75" s="293"/>
      <c r="BZ75" s="293"/>
      <c r="CA75" s="293"/>
      <c r="CB75" s="293"/>
      <c r="CC75" s="293"/>
      <c r="CD75" s="293"/>
      <c r="CE75" s="293"/>
      <c r="CF75" s="293"/>
      <c r="CG75" s="293"/>
      <c r="CH75" s="293"/>
      <c r="CI75" s="293"/>
      <c r="CJ75" s="293"/>
      <c r="CK75" s="293"/>
      <c r="CL75" s="293"/>
      <c r="CM75" s="293"/>
      <c r="CN75" s="293"/>
      <c r="CO75" s="293"/>
      <c r="CP75" s="293"/>
      <c r="CQ75" s="293"/>
      <c r="CR75" s="293"/>
      <c r="CS75" s="293"/>
      <c r="CT75" s="293"/>
      <c r="CU75" s="293"/>
      <c r="CV75" s="293"/>
      <c r="CW75" s="293"/>
      <c r="CX75" s="293"/>
      <c r="CY75" s="293"/>
      <c r="CZ75" s="293"/>
      <c r="DA75" s="293"/>
      <c r="DB75" s="293"/>
      <c r="DC75" s="293"/>
      <c r="DD75" s="293"/>
      <c r="DE75" s="293"/>
      <c r="DF75" s="293"/>
      <c r="DG75" s="293"/>
      <c r="DH75" s="293"/>
      <c r="DI75" s="293"/>
      <c r="DJ75" s="293"/>
      <c r="DK75" s="293"/>
      <c r="DL75" s="293"/>
      <c r="DM75" s="293"/>
      <c r="DN75" s="293"/>
      <c r="DO75" s="293"/>
      <c r="DP75" s="293"/>
      <c r="DQ75" s="293"/>
      <c r="DR75" s="293"/>
      <c r="DS75" s="288"/>
      <c r="DT75" s="288"/>
      <c r="DU75" s="288"/>
      <c r="DV75" s="288"/>
      <c r="DW75" s="288"/>
      <c r="DX75" s="288"/>
      <c r="DY75" s="288"/>
      <c r="DZ75" s="288"/>
      <c r="EA75" s="288"/>
      <c r="EB75" s="288"/>
      <c r="EC75" s="288"/>
      <c r="ED75" s="288"/>
      <c r="EE75" s="288"/>
      <c r="EF75" s="288"/>
      <c r="EG75" s="288"/>
      <c r="EH75" s="288"/>
      <c r="EI75" s="288"/>
      <c r="EJ75" s="288"/>
      <c r="EK75" s="288"/>
      <c r="EL75" s="288"/>
      <c r="EM75" s="288"/>
      <c r="EN75" s="288"/>
      <c r="EO75" s="288"/>
      <c r="EP75" s="288"/>
      <c r="EQ75" s="288"/>
      <c r="ER75" s="288"/>
      <c r="ES75" s="288"/>
      <c r="ET75" s="288"/>
      <c r="EU75" s="288"/>
      <c r="EV75" s="288"/>
      <c r="EW75" s="288"/>
      <c r="EX75" s="288"/>
      <c r="EY75" s="288"/>
      <c r="EZ75" s="288"/>
      <c r="FA75" s="288"/>
      <c r="FB75" s="288"/>
      <c r="FC75" s="288"/>
      <c r="FD75" s="288"/>
      <c r="FE75" s="288"/>
      <c r="FF75" s="288"/>
      <c r="FG75" s="288"/>
      <c r="FH75" s="288"/>
    </row>
    <row r="76" ht="14.25" customHeight="1">
      <c r="A76" s="293"/>
      <c r="B76" s="293"/>
      <c r="C76" s="293"/>
      <c r="D76" s="293"/>
      <c r="E76" s="293"/>
      <c r="F76" s="293"/>
      <c r="G76" s="293"/>
      <c r="H76" s="293"/>
      <c r="I76" s="293"/>
      <c r="J76" s="293"/>
      <c r="K76" s="293"/>
      <c r="L76" s="293"/>
      <c r="M76" s="293"/>
      <c r="N76" s="293"/>
      <c r="O76" s="293"/>
      <c r="P76" s="293"/>
      <c r="Q76" s="293"/>
      <c r="R76" s="293"/>
      <c r="S76" s="293"/>
      <c r="T76" s="293"/>
      <c r="U76" s="293"/>
      <c r="V76" s="293"/>
      <c r="W76" s="293"/>
      <c r="X76" s="293"/>
      <c r="Y76" s="293"/>
      <c r="Z76" s="293"/>
      <c r="AA76" s="293"/>
      <c r="AB76" s="293"/>
      <c r="AC76" s="293"/>
      <c r="AD76" s="293"/>
      <c r="AE76" s="293"/>
      <c r="AF76" s="293"/>
      <c r="AG76" s="293"/>
      <c r="AH76" s="293"/>
      <c r="AI76" s="293"/>
      <c r="AJ76" s="293"/>
      <c r="AK76" s="293"/>
      <c r="AL76" s="293"/>
      <c r="AM76" s="293"/>
      <c r="AN76" s="293"/>
      <c r="AO76" s="293"/>
      <c r="AP76" s="293"/>
      <c r="AQ76" s="293"/>
      <c r="AR76" s="293"/>
      <c r="AS76" s="293"/>
      <c r="AT76" s="293"/>
      <c r="AU76" s="293"/>
      <c r="AV76" s="293"/>
      <c r="AW76" s="293"/>
      <c r="AX76" s="293"/>
      <c r="AY76" s="293"/>
      <c r="AZ76" s="293"/>
      <c r="BA76" s="293"/>
      <c r="BB76" s="293"/>
      <c r="BC76" s="293"/>
      <c r="BD76" s="293"/>
      <c r="BE76" s="293"/>
      <c r="BF76" s="293"/>
      <c r="BG76" s="293"/>
      <c r="BH76" s="293"/>
      <c r="BI76" s="293"/>
      <c r="BJ76" s="293"/>
      <c r="BK76" s="293"/>
      <c r="BL76" s="293"/>
      <c r="BM76" s="293"/>
      <c r="BN76" s="293"/>
      <c r="BO76" s="293"/>
      <c r="BP76" s="293"/>
      <c r="BQ76" s="293"/>
      <c r="BR76" s="293"/>
      <c r="BS76" s="293"/>
      <c r="BT76" s="293"/>
      <c r="BU76" s="293"/>
      <c r="BV76" s="293"/>
      <c r="BW76" s="293"/>
      <c r="BX76" s="293"/>
      <c r="BY76" s="293"/>
      <c r="BZ76" s="293"/>
      <c r="CA76" s="293"/>
      <c r="CB76" s="293"/>
      <c r="CC76" s="293"/>
      <c r="CD76" s="293"/>
      <c r="CE76" s="293"/>
      <c r="CF76" s="293"/>
      <c r="CG76" s="293"/>
      <c r="CH76" s="293"/>
      <c r="CI76" s="293"/>
      <c r="CJ76" s="293"/>
      <c r="CK76" s="293"/>
      <c r="CL76" s="293"/>
      <c r="CM76" s="293"/>
      <c r="CN76" s="293"/>
      <c r="CO76" s="293"/>
      <c r="CP76" s="293"/>
      <c r="CQ76" s="293"/>
      <c r="CR76" s="293"/>
      <c r="CS76" s="293"/>
      <c r="CT76" s="293"/>
      <c r="CU76" s="293"/>
      <c r="CV76" s="293"/>
      <c r="CW76" s="293"/>
      <c r="CX76" s="293"/>
      <c r="CY76" s="293"/>
      <c r="CZ76" s="293"/>
      <c r="DA76" s="293"/>
      <c r="DB76" s="293"/>
      <c r="DC76" s="293"/>
      <c r="DD76" s="293"/>
      <c r="DE76" s="293"/>
      <c r="DF76" s="293"/>
      <c r="DG76" s="293"/>
      <c r="DH76" s="293"/>
      <c r="DI76" s="293"/>
      <c r="DJ76" s="293"/>
      <c r="DK76" s="293"/>
      <c r="DL76" s="293"/>
      <c r="DM76" s="293"/>
      <c r="DN76" s="293"/>
      <c r="DO76" s="293"/>
      <c r="DP76" s="293"/>
      <c r="DQ76" s="293"/>
      <c r="DR76" s="293"/>
      <c r="DS76" s="288"/>
      <c r="DT76" s="288"/>
      <c r="DU76" s="288"/>
      <c r="DV76" s="288"/>
      <c r="DW76" s="288"/>
      <c r="DX76" s="288"/>
      <c r="DY76" s="288"/>
      <c r="DZ76" s="288"/>
      <c r="EA76" s="288"/>
      <c r="EB76" s="288"/>
      <c r="EC76" s="288"/>
      <c r="ED76" s="288"/>
      <c r="EE76" s="288"/>
      <c r="EF76" s="288"/>
      <c r="EG76" s="288"/>
      <c r="EH76" s="288"/>
      <c r="EI76" s="288"/>
      <c r="EJ76" s="288"/>
      <c r="EK76" s="288"/>
      <c r="EL76" s="288"/>
      <c r="EM76" s="288"/>
      <c r="EN76" s="288"/>
      <c r="EO76" s="288"/>
      <c r="EP76" s="288"/>
      <c r="EQ76" s="288"/>
      <c r="ER76" s="288"/>
      <c r="ES76" s="288"/>
      <c r="ET76" s="288"/>
      <c r="EU76" s="288"/>
      <c r="EV76" s="288"/>
      <c r="EW76" s="288"/>
      <c r="EX76" s="288"/>
      <c r="EY76" s="288"/>
      <c r="EZ76" s="288"/>
      <c r="FA76" s="288"/>
      <c r="FB76" s="288"/>
      <c r="FC76" s="288"/>
      <c r="FD76" s="288"/>
      <c r="FE76" s="288"/>
      <c r="FF76" s="288"/>
      <c r="FG76" s="288"/>
      <c r="FH76" s="288"/>
    </row>
    <row r="77" ht="14.25" customHeight="1">
      <c r="A77" s="293"/>
      <c r="B77" s="293"/>
      <c r="C77" s="293"/>
      <c r="D77" s="293"/>
      <c r="E77" s="293"/>
      <c r="F77" s="293"/>
      <c r="G77" s="293"/>
      <c r="H77" s="293"/>
      <c r="I77" s="293"/>
      <c r="J77" s="293"/>
      <c r="K77" s="293"/>
      <c r="L77" s="293"/>
      <c r="M77" s="293"/>
      <c r="N77" s="293"/>
      <c r="O77" s="293"/>
      <c r="P77" s="293"/>
      <c r="Q77" s="293"/>
      <c r="R77" s="293"/>
      <c r="S77" s="293"/>
      <c r="T77" s="293"/>
      <c r="U77" s="293"/>
      <c r="V77" s="293"/>
      <c r="W77" s="293"/>
      <c r="X77" s="293"/>
      <c r="Y77" s="293"/>
      <c r="Z77" s="293"/>
      <c r="AA77" s="293"/>
      <c r="AB77" s="293"/>
      <c r="AC77" s="293"/>
      <c r="AD77" s="293"/>
      <c r="AE77" s="293"/>
      <c r="AF77" s="293"/>
      <c r="AG77" s="293"/>
      <c r="AH77" s="293"/>
      <c r="AI77" s="293"/>
      <c r="AJ77" s="293"/>
      <c r="AK77" s="293"/>
      <c r="AL77" s="293"/>
      <c r="AM77" s="293"/>
      <c r="AN77" s="293"/>
      <c r="AO77" s="293"/>
      <c r="AP77" s="293"/>
      <c r="AQ77" s="293"/>
      <c r="AR77" s="293"/>
      <c r="AS77" s="293"/>
      <c r="AT77" s="293"/>
      <c r="AU77" s="293"/>
      <c r="AV77" s="293"/>
      <c r="AW77" s="293"/>
      <c r="AX77" s="293"/>
      <c r="AY77" s="293"/>
      <c r="AZ77" s="293"/>
      <c r="BA77" s="293"/>
      <c r="BB77" s="293"/>
      <c r="BC77" s="293"/>
      <c r="BD77" s="293"/>
      <c r="BE77" s="293"/>
      <c r="BF77" s="293"/>
      <c r="BG77" s="293"/>
      <c r="BH77" s="293"/>
      <c r="BI77" s="293"/>
      <c r="BJ77" s="293"/>
      <c r="BK77" s="293"/>
      <c r="BL77" s="293"/>
      <c r="BM77" s="293"/>
      <c r="BN77" s="293"/>
      <c r="BO77" s="293"/>
      <c r="BP77" s="293"/>
      <c r="BQ77" s="293"/>
      <c r="BR77" s="293"/>
      <c r="BS77" s="293"/>
      <c r="BT77" s="293"/>
      <c r="BU77" s="293"/>
      <c r="BV77" s="293"/>
      <c r="BW77" s="293"/>
      <c r="BX77" s="293"/>
      <c r="BY77" s="293"/>
      <c r="BZ77" s="293"/>
      <c r="CA77" s="293"/>
      <c r="CB77" s="293"/>
      <c r="CC77" s="293"/>
      <c r="CD77" s="293"/>
      <c r="CE77" s="293"/>
      <c r="CF77" s="293"/>
      <c r="CG77" s="293"/>
      <c r="CH77" s="293"/>
      <c r="CI77" s="293"/>
      <c r="CJ77" s="293"/>
      <c r="CK77" s="293"/>
      <c r="CL77" s="293"/>
      <c r="CM77" s="293"/>
      <c r="CN77" s="293"/>
      <c r="CO77" s="293"/>
      <c r="CP77" s="293"/>
      <c r="CQ77" s="293"/>
      <c r="CR77" s="293"/>
      <c r="CS77" s="293"/>
      <c r="CT77" s="293"/>
      <c r="CU77" s="293"/>
      <c r="CV77" s="293"/>
      <c r="CW77" s="293"/>
      <c r="CX77" s="293"/>
      <c r="CY77" s="293"/>
      <c r="CZ77" s="293"/>
      <c r="DA77" s="293"/>
      <c r="DB77" s="293"/>
      <c r="DC77" s="293"/>
      <c r="DD77" s="293"/>
      <c r="DE77" s="293"/>
      <c r="DF77" s="293"/>
      <c r="DG77" s="293"/>
      <c r="DH77" s="293"/>
      <c r="DI77" s="293"/>
      <c r="DJ77" s="293"/>
      <c r="DK77" s="293"/>
      <c r="DL77" s="293"/>
      <c r="DM77" s="293"/>
      <c r="DN77" s="293"/>
      <c r="DO77" s="293"/>
      <c r="DP77" s="293"/>
      <c r="DQ77" s="293"/>
      <c r="DR77" s="293"/>
      <c r="DS77" s="288"/>
      <c r="DT77" s="288"/>
      <c r="DU77" s="288"/>
      <c r="DV77" s="288"/>
      <c r="DW77" s="288"/>
      <c r="DX77" s="288"/>
      <c r="DY77" s="288"/>
      <c r="DZ77" s="288"/>
      <c r="EA77" s="288"/>
      <c r="EB77" s="288"/>
      <c r="EC77" s="288"/>
      <c r="ED77" s="288"/>
      <c r="EE77" s="288"/>
      <c r="EF77" s="288"/>
      <c r="EG77" s="288"/>
      <c r="EH77" s="288"/>
      <c r="EI77" s="288"/>
      <c r="EJ77" s="288"/>
      <c r="EK77" s="288"/>
      <c r="EL77" s="288"/>
      <c r="EM77" s="288"/>
      <c r="EN77" s="288"/>
      <c r="EO77" s="288"/>
      <c r="EP77" s="288"/>
      <c r="EQ77" s="288"/>
      <c r="ER77" s="288"/>
      <c r="ES77" s="288"/>
      <c r="ET77" s="288"/>
      <c r="EU77" s="288"/>
      <c r="EV77" s="288"/>
      <c r="EW77" s="288"/>
      <c r="EX77" s="288"/>
      <c r="EY77" s="288"/>
      <c r="EZ77" s="288"/>
      <c r="FA77" s="288"/>
      <c r="FB77" s="288"/>
      <c r="FC77" s="288"/>
      <c r="FD77" s="288"/>
      <c r="FE77" s="288"/>
      <c r="FF77" s="288"/>
      <c r="FG77" s="288"/>
      <c r="FH77" s="288"/>
    </row>
    <row r="78" ht="14.25" customHeight="1">
      <c r="A78" s="293"/>
      <c r="B78" s="293"/>
      <c r="C78" s="293"/>
      <c r="D78" s="293"/>
      <c r="E78" s="293"/>
      <c r="F78" s="293"/>
      <c r="G78" s="293"/>
      <c r="H78" s="293"/>
      <c r="I78" s="293"/>
      <c r="J78" s="293"/>
      <c r="K78" s="293"/>
      <c r="L78" s="293"/>
      <c r="M78" s="293"/>
      <c r="N78" s="293"/>
      <c r="O78" s="293"/>
      <c r="P78" s="293"/>
      <c r="Q78" s="293"/>
      <c r="R78" s="293"/>
      <c r="S78" s="293"/>
      <c r="T78" s="293"/>
      <c r="U78" s="293"/>
      <c r="V78" s="293"/>
      <c r="W78" s="293"/>
      <c r="X78" s="293"/>
      <c r="Y78" s="293"/>
      <c r="Z78" s="293"/>
      <c r="AA78" s="293"/>
      <c r="AB78" s="293"/>
      <c r="AC78" s="293"/>
      <c r="AD78" s="293"/>
      <c r="AE78" s="293"/>
      <c r="AF78" s="293"/>
      <c r="AG78" s="293"/>
      <c r="AH78" s="293"/>
      <c r="AI78" s="293"/>
      <c r="AJ78" s="293"/>
      <c r="AK78" s="293"/>
      <c r="AL78" s="293"/>
      <c r="AM78" s="293"/>
      <c r="AN78" s="293"/>
      <c r="AO78" s="293"/>
      <c r="AP78" s="293"/>
      <c r="AQ78" s="293"/>
      <c r="AR78" s="293"/>
      <c r="AS78" s="293"/>
      <c r="AT78" s="293"/>
      <c r="AU78" s="293"/>
      <c r="AV78" s="293"/>
      <c r="AW78" s="293"/>
      <c r="AX78" s="293"/>
      <c r="AY78" s="293"/>
      <c r="AZ78" s="293"/>
      <c r="BA78" s="293"/>
      <c r="BB78" s="293"/>
      <c r="BC78" s="293"/>
      <c r="BD78" s="293"/>
      <c r="BE78" s="293"/>
      <c r="BF78" s="293"/>
      <c r="BG78" s="293"/>
      <c r="BH78" s="293"/>
      <c r="BI78" s="293"/>
      <c r="BJ78" s="293"/>
      <c r="BK78" s="293"/>
      <c r="BL78" s="293"/>
      <c r="BM78" s="293"/>
      <c r="BN78" s="293"/>
      <c r="BO78" s="293"/>
      <c r="BP78" s="293"/>
      <c r="BQ78" s="293"/>
      <c r="BR78" s="293"/>
      <c r="BS78" s="293"/>
      <c r="BT78" s="293"/>
      <c r="BU78" s="293"/>
      <c r="BV78" s="293"/>
      <c r="BW78" s="293"/>
      <c r="BX78" s="293"/>
      <c r="BY78" s="293"/>
      <c r="BZ78" s="293"/>
      <c r="CA78" s="293"/>
      <c r="CB78" s="293"/>
      <c r="CC78" s="293"/>
      <c r="CD78" s="293"/>
      <c r="CE78" s="293"/>
      <c r="CF78" s="293"/>
      <c r="CG78" s="293"/>
      <c r="CH78" s="293"/>
      <c r="CI78" s="293"/>
      <c r="CJ78" s="293"/>
      <c r="CK78" s="293"/>
      <c r="CL78" s="293"/>
      <c r="CM78" s="293"/>
      <c r="CN78" s="293"/>
      <c r="CO78" s="293"/>
      <c r="CP78" s="293"/>
      <c r="CQ78" s="293"/>
      <c r="CR78" s="293"/>
      <c r="CS78" s="293"/>
      <c r="CT78" s="293"/>
      <c r="CU78" s="293"/>
      <c r="CV78" s="293"/>
      <c r="CW78" s="293"/>
      <c r="CX78" s="293"/>
      <c r="CY78" s="293"/>
      <c r="CZ78" s="293"/>
      <c r="DA78" s="293"/>
      <c r="DB78" s="293"/>
      <c r="DC78" s="293"/>
      <c r="DD78" s="293"/>
      <c r="DE78" s="293"/>
      <c r="DF78" s="293"/>
      <c r="DG78" s="293"/>
      <c r="DH78" s="293"/>
      <c r="DI78" s="293"/>
      <c r="DJ78" s="293"/>
      <c r="DK78" s="293"/>
      <c r="DL78" s="293"/>
      <c r="DM78" s="293"/>
      <c r="DN78" s="293"/>
      <c r="DO78" s="293"/>
      <c r="DP78" s="293"/>
      <c r="DQ78" s="293"/>
      <c r="DR78" s="293"/>
      <c r="DS78" s="288"/>
      <c r="DT78" s="288"/>
      <c r="DU78" s="288"/>
      <c r="DV78" s="288"/>
      <c r="DW78" s="288"/>
      <c r="DX78" s="288"/>
      <c r="DY78" s="288"/>
      <c r="DZ78" s="288"/>
      <c r="EA78" s="288"/>
      <c r="EB78" s="288"/>
      <c r="EC78" s="288"/>
      <c r="ED78" s="288"/>
      <c r="EE78" s="288"/>
      <c r="EF78" s="288"/>
      <c r="EG78" s="288"/>
      <c r="EH78" s="288"/>
      <c r="EI78" s="288"/>
      <c r="EJ78" s="288"/>
      <c r="EK78" s="288"/>
      <c r="EL78" s="288"/>
      <c r="EM78" s="288"/>
      <c r="EN78" s="288"/>
      <c r="EO78" s="288"/>
      <c r="EP78" s="288"/>
      <c r="EQ78" s="288"/>
      <c r="ER78" s="288"/>
      <c r="ES78" s="288"/>
      <c r="ET78" s="288"/>
      <c r="EU78" s="288"/>
      <c r="EV78" s="288"/>
      <c r="EW78" s="288"/>
      <c r="EX78" s="288"/>
      <c r="EY78" s="288"/>
      <c r="EZ78" s="288"/>
      <c r="FA78" s="288"/>
      <c r="FB78" s="288"/>
      <c r="FC78" s="288"/>
      <c r="FD78" s="288"/>
      <c r="FE78" s="288"/>
      <c r="FF78" s="288"/>
      <c r="FG78" s="288"/>
      <c r="FH78" s="288"/>
    </row>
    <row r="79" ht="14.25" customHeight="1">
      <c r="A79" s="293"/>
      <c r="B79" s="293"/>
      <c r="C79" s="293"/>
      <c r="D79" s="293"/>
      <c r="E79" s="293"/>
      <c r="F79" s="293"/>
      <c r="G79" s="293"/>
      <c r="H79" s="293"/>
      <c r="I79" s="293"/>
      <c r="J79" s="293"/>
      <c r="K79" s="293"/>
      <c r="L79" s="293"/>
      <c r="M79" s="293"/>
      <c r="N79" s="293"/>
      <c r="O79" s="293"/>
      <c r="P79" s="293"/>
      <c r="Q79" s="293"/>
      <c r="R79" s="293"/>
      <c r="S79" s="293"/>
      <c r="T79" s="293"/>
      <c r="U79" s="293"/>
      <c r="V79" s="293"/>
      <c r="W79" s="293"/>
      <c r="X79" s="293"/>
      <c r="Y79" s="293"/>
      <c r="Z79" s="293"/>
      <c r="AA79" s="293"/>
      <c r="AB79" s="293"/>
      <c r="AC79" s="293"/>
      <c r="AD79" s="293"/>
      <c r="AE79" s="293"/>
      <c r="AF79" s="293"/>
      <c r="AG79" s="293"/>
      <c r="AH79" s="293"/>
      <c r="AI79" s="293"/>
      <c r="AJ79" s="293"/>
      <c r="AK79" s="293"/>
      <c r="AL79" s="293"/>
      <c r="AM79" s="293"/>
      <c r="AN79" s="293"/>
      <c r="AO79" s="293"/>
      <c r="AP79" s="293"/>
      <c r="AQ79" s="293"/>
      <c r="AR79" s="293"/>
      <c r="AS79" s="293"/>
      <c r="AT79" s="293"/>
      <c r="AU79" s="293"/>
      <c r="AV79" s="293"/>
      <c r="AW79" s="293"/>
      <c r="AX79" s="293"/>
      <c r="AY79" s="293"/>
      <c r="AZ79" s="293"/>
      <c r="BA79" s="293"/>
      <c r="BB79" s="293"/>
      <c r="BC79" s="293"/>
      <c r="BD79" s="293"/>
      <c r="BE79" s="293"/>
      <c r="BF79" s="293"/>
      <c r="BG79" s="293"/>
      <c r="BH79" s="293"/>
      <c r="BI79" s="293"/>
      <c r="BJ79" s="293"/>
      <c r="BK79" s="293"/>
      <c r="BL79" s="293"/>
      <c r="BM79" s="293"/>
      <c r="BN79" s="293"/>
      <c r="BO79" s="293"/>
      <c r="BP79" s="293"/>
      <c r="BQ79" s="293"/>
      <c r="BR79" s="293"/>
      <c r="BS79" s="293"/>
      <c r="BT79" s="293"/>
      <c r="BU79" s="293"/>
      <c r="BV79" s="293"/>
      <c r="BW79" s="293"/>
      <c r="BX79" s="293"/>
      <c r="BY79" s="293"/>
      <c r="BZ79" s="293"/>
      <c r="CA79" s="293"/>
      <c r="CB79" s="293"/>
      <c r="CC79" s="293"/>
      <c r="CD79" s="293"/>
      <c r="CE79" s="293"/>
      <c r="CF79" s="293"/>
      <c r="CG79" s="293"/>
      <c r="CH79" s="293"/>
      <c r="CI79" s="293"/>
      <c r="CJ79" s="293"/>
      <c r="CK79" s="293"/>
      <c r="CL79" s="293"/>
      <c r="CM79" s="293"/>
      <c r="CN79" s="293"/>
      <c r="CO79" s="293"/>
      <c r="CP79" s="293"/>
      <c r="CQ79" s="293"/>
      <c r="CR79" s="293"/>
      <c r="CS79" s="293"/>
      <c r="CT79" s="293"/>
      <c r="CU79" s="293"/>
      <c r="CV79" s="293"/>
      <c r="CW79" s="293"/>
      <c r="CX79" s="293"/>
      <c r="CY79" s="293"/>
      <c r="CZ79" s="293"/>
      <c r="DA79" s="293"/>
      <c r="DB79" s="293"/>
      <c r="DC79" s="293"/>
      <c r="DD79" s="293"/>
      <c r="DE79" s="293"/>
      <c r="DF79" s="293"/>
      <c r="DG79" s="293"/>
      <c r="DH79" s="293"/>
      <c r="DI79" s="293"/>
      <c r="DJ79" s="293"/>
      <c r="DK79" s="293"/>
      <c r="DL79" s="293"/>
      <c r="DM79" s="293"/>
      <c r="DN79" s="293"/>
      <c r="DO79" s="293"/>
      <c r="DP79" s="293"/>
      <c r="DQ79" s="293"/>
      <c r="DR79" s="293"/>
      <c r="DS79" s="288"/>
      <c r="DT79" s="288"/>
      <c r="DU79" s="288"/>
      <c r="DV79" s="288"/>
      <c r="DW79" s="288"/>
      <c r="DX79" s="288"/>
      <c r="DY79" s="288"/>
      <c r="DZ79" s="288"/>
      <c r="EA79" s="288"/>
      <c r="EB79" s="288"/>
      <c r="EC79" s="288"/>
      <c r="ED79" s="288"/>
      <c r="EE79" s="288"/>
      <c r="EF79" s="288"/>
      <c r="EG79" s="288"/>
      <c r="EH79" s="288"/>
      <c r="EI79" s="288"/>
      <c r="EJ79" s="288"/>
      <c r="EK79" s="288"/>
      <c r="EL79" s="288"/>
      <c r="EM79" s="288"/>
      <c r="EN79" s="288"/>
      <c r="EO79" s="288"/>
      <c r="EP79" s="288"/>
      <c r="EQ79" s="288"/>
      <c r="ER79" s="288"/>
      <c r="ES79" s="288"/>
      <c r="ET79" s="288"/>
      <c r="EU79" s="288"/>
      <c r="EV79" s="288"/>
      <c r="EW79" s="288"/>
      <c r="EX79" s="288"/>
      <c r="EY79" s="288"/>
      <c r="EZ79" s="288"/>
      <c r="FA79" s="288"/>
      <c r="FB79" s="288"/>
      <c r="FC79" s="288"/>
      <c r="FD79" s="288"/>
      <c r="FE79" s="288"/>
      <c r="FF79" s="288"/>
      <c r="FG79" s="288"/>
      <c r="FH79" s="288"/>
    </row>
    <row r="80" ht="14.25" customHeight="1">
      <c r="A80" s="293"/>
      <c r="B80" s="293"/>
      <c r="C80" s="293"/>
      <c r="D80" s="293"/>
      <c r="E80" s="293"/>
      <c r="F80" s="293"/>
      <c r="G80" s="293"/>
      <c r="H80" s="293"/>
      <c r="I80" s="293"/>
      <c r="J80" s="293"/>
      <c r="K80" s="293"/>
      <c r="L80" s="293"/>
      <c r="M80" s="293"/>
      <c r="N80" s="293"/>
      <c r="O80" s="293"/>
      <c r="P80" s="293"/>
      <c r="Q80" s="293"/>
      <c r="R80" s="293"/>
      <c r="S80" s="293"/>
      <c r="T80" s="293"/>
      <c r="U80" s="293"/>
      <c r="V80" s="293"/>
      <c r="W80" s="293"/>
      <c r="X80" s="293"/>
      <c r="Y80" s="293"/>
      <c r="Z80" s="293"/>
      <c r="AA80" s="293"/>
      <c r="AB80" s="293"/>
      <c r="AC80" s="293"/>
      <c r="AD80" s="293"/>
      <c r="AE80" s="293"/>
      <c r="AF80" s="293"/>
      <c r="AG80" s="293"/>
      <c r="AH80" s="293"/>
      <c r="AI80" s="293"/>
      <c r="AJ80" s="293"/>
      <c r="AK80" s="293"/>
      <c r="AL80" s="293"/>
      <c r="AM80" s="293"/>
      <c r="AN80" s="293"/>
      <c r="AO80" s="293"/>
      <c r="AP80" s="293"/>
      <c r="AQ80" s="293"/>
      <c r="AR80" s="293"/>
      <c r="AS80" s="293"/>
      <c r="AT80" s="293"/>
      <c r="AU80" s="293"/>
      <c r="AV80" s="293"/>
      <c r="AW80" s="293"/>
      <c r="AX80" s="293"/>
      <c r="AY80" s="293"/>
      <c r="AZ80" s="293"/>
      <c r="BA80" s="293"/>
      <c r="BB80" s="293"/>
      <c r="BC80" s="293"/>
      <c r="BD80" s="293"/>
      <c r="BE80" s="293"/>
      <c r="BF80" s="293"/>
      <c r="BG80" s="293"/>
      <c r="BH80" s="293"/>
      <c r="BI80" s="293"/>
      <c r="BJ80" s="293"/>
      <c r="BK80" s="293"/>
      <c r="BL80" s="293"/>
      <c r="BM80" s="293"/>
      <c r="BN80" s="293"/>
      <c r="BO80" s="293"/>
      <c r="BP80" s="293"/>
      <c r="BQ80" s="293"/>
      <c r="BR80" s="293"/>
      <c r="BS80" s="293"/>
      <c r="BT80" s="293"/>
      <c r="BU80" s="293"/>
      <c r="BV80" s="293"/>
      <c r="BW80" s="293"/>
      <c r="BX80" s="293"/>
      <c r="BY80" s="293"/>
      <c r="BZ80" s="293"/>
      <c r="CA80" s="293"/>
      <c r="CB80" s="293"/>
      <c r="CC80" s="293"/>
      <c r="CD80" s="293"/>
      <c r="CE80" s="293"/>
      <c r="CF80" s="293"/>
      <c r="CG80" s="293"/>
      <c r="CH80" s="293"/>
      <c r="CI80" s="293"/>
      <c r="CJ80" s="293"/>
      <c r="CK80" s="293"/>
      <c r="CL80" s="293"/>
      <c r="CM80" s="293"/>
      <c r="CN80" s="293"/>
      <c r="CO80" s="293"/>
      <c r="CP80" s="293"/>
      <c r="CQ80" s="293"/>
      <c r="CR80" s="293"/>
      <c r="CS80" s="293"/>
      <c r="CT80" s="293"/>
      <c r="CU80" s="293"/>
      <c r="CV80" s="293"/>
      <c r="CW80" s="293"/>
      <c r="CX80" s="293"/>
      <c r="CY80" s="293"/>
      <c r="CZ80" s="293"/>
      <c r="DA80" s="293"/>
      <c r="DB80" s="293"/>
      <c r="DC80" s="293"/>
      <c r="DD80" s="293"/>
      <c r="DE80" s="293"/>
      <c r="DF80" s="293"/>
      <c r="DG80" s="293"/>
      <c r="DH80" s="293"/>
      <c r="DI80" s="293"/>
      <c r="DJ80" s="293"/>
      <c r="DK80" s="293"/>
      <c r="DL80" s="293"/>
      <c r="DM80" s="293"/>
      <c r="DN80" s="293"/>
      <c r="DO80" s="293"/>
      <c r="DP80" s="293"/>
      <c r="DQ80" s="293"/>
      <c r="DR80" s="293"/>
      <c r="DS80" s="288"/>
      <c r="DT80" s="288"/>
      <c r="DU80" s="288"/>
      <c r="DV80" s="288"/>
      <c r="DW80" s="288"/>
      <c r="DX80" s="288"/>
      <c r="DY80" s="288"/>
      <c r="DZ80" s="288"/>
      <c r="EA80" s="288"/>
      <c r="EB80" s="288"/>
      <c r="EC80" s="288"/>
      <c r="ED80" s="288"/>
      <c r="EE80" s="288"/>
      <c r="EF80" s="288"/>
      <c r="EG80" s="288"/>
      <c r="EH80" s="288"/>
      <c r="EI80" s="288"/>
      <c r="EJ80" s="288"/>
      <c r="EK80" s="288"/>
      <c r="EL80" s="288"/>
      <c r="EM80" s="288"/>
      <c r="EN80" s="288"/>
      <c r="EO80" s="288"/>
      <c r="EP80" s="288"/>
      <c r="EQ80" s="288"/>
      <c r="ER80" s="288"/>
      <c r="ES80" s="288"/>
      <c r="ET80" s="288"/>
      <c r="EU80" s="288"/>
      <c r="EV80" s="288"/>
      <c r="EW80" s="288"/>
      <c r="EX80" s="288"/>
      <c r="EY80" s="288"/>
      <c r="EZ80" s="288"/>
      <c r="FA80" s="288"/>
      <c r="FB80" s="288"/>
      <c r="FC80" s="288"/>
      <c r="FD80" s="288"/>
      <c r="FE80" s="288"/>
      <c r="FF80" s="288"/>
      <c r="FG80" s="288"/>
      <c r="FH80" s="288"/>
    </row>
    <row r="81" ht="14.25" customHeight="1">
      <c r="A81" s="293"/>
      <c r="B81" s="293"/>
      <c r="C81" s="293"/>
      <c r="D81" s="293"/>
      <c r="E81" s="293"/>
      <c r="F81" s="293"/>
      <c r="G81" s="293"/>
      <c r="H81" s="293"/>
      <c r="I81" s="293"/>
      <c r="J81" s="293"/>
      <c r="K81" s="293"/>
      <c r="L81" s="293"/>
      <c r="M81" s="293"/>
      <c r="N81" s="293"/>
      <c r="O81" s="293"/>
      <c r="P81" s="293"/>
      <c r="Q81" s="293"/>
      <c r="R81" s="293"/>
      <c r="S81" s="293"/>
      <c r="T81" s="293"/>
      <c r="U81" s="293"/>
      <c r="V81" s="293"/>
      <c r="W81" s="293"/>
      <c r="X81" s="293"/>
      <c r="Y81" s="293"/>
      <c r="Z81" s="293"/>
      <c r="AA81" s="293"/>
      <c r="AB81" s="293"/>
      <c r="AC81" s="293"/>
      <c r="AD81" s="293"/>
      <c r="AE81" s="293"/>
      <c r="AF81" s="293"/>
      <c r="AG81" s="293"/>
      <c r="AH81" s="293"/>
      <c r="AI81" s="293"/>
      <c r="AJ81" s="293"/>
      <c r="AK81" s="293"/>
      <c r="AL81" s="293"/>
      <c r="AM81" s="293"/>
      <c r="AN81" s="293"/>
      <c r="AO81" s="293"/>
      <c r="AP81" s="293"/>
      <c r="AQ81" s="293"/>
      <c r="AR81" s="293"/>
      <c r="AS81" s="293"/>
      <c r="AT81" s="293"/>
      <c r="AU81" s="293"/>
      <c r="AV81" s="293"/>
      <c r="AW81" s="293"/>
      <c r="AX81" s="293"/>
      <c r="AY81" s="293"/>
      <c r="AZ81" s="293"/>
      <c r="BA81" s="293"/>
      <c r="BB81" s="293"/>
      <c r="BC81" s="293"/>
      <c r="BD81" s="293"/>
      <c r="BE81" s="293"/>
      <c r="BF81" s="293"/>
      <c r="BG81" s="293"/>
      <c r="BH81" s="293"/>
      <c r="BI81" s="293"/>
      <c r="BJ81" s="293"/>
      <c r="BK81" s="293"/>
      <c r="BL81" s="293"/>
      <c r="BM81" s="293"/>
      <c r="BN81" s="293"/>
      <c r="BO81" s="293"/>
      <c r="BP81" s="293"/>
      <c r="BQ81" s="293"/>
      <c r="BR81" s="293"/>
      <c r="BS81" s="293"/>
      <c r="BT81" s="293"/>
      <c r="BU81" s="293"/>
      <c r="BV81" s="293"/>
      <c r="BW81" s="293"/>
      <c r="BX81" s="293"/>
      <c r="BY81" s="293"/>
      <c r="BZ81" s="293"/>
      <c r="CA81" s="293"/>
      <c r="CB81" s="293"/>
      <c r="CC81" s="293"/>
      <c r="CD81" s="293"/>
      <c r="CE81" s="293"/>
      <c r="CF81" s="293"/>
      <c r="CG81" s="293"/>
      <c r="CH81" s="293"/>
      <c r="CI81" s="293"/>
      <c r="CJ81" s="293"/>
      <c r="CK81" s="293"/>
      <c r="CL81" s="293"/>
      <c r="CM81" s="293"/>
      <c r="CN81" s="293"/>
      <c r="CO81" s="293"/>
      <c r="CP81" s="293"/>
      <c r="CQ81" s="293"/>
      <c r="CR81" s="293"/>
      <c r="CS81" s="293"/>
      <c r="CT81" s="293"/>
      <c r="CU81" s="293"/>
      <c r="CV81" s="293"/>
      <c r="CW81" s="293"/>
      <c r="CX81" s="293"/>
      <c r="CY81" s="293"/>
      <c r="CZ81" s="293"/>
      <c r="DA81" s="293"/>
      <c r="DB81" s="293"/>
      <c r="DC81" s="293"/>
      <c r="DD81" s="293"/>
      <c r="DE81" s="293"/>
      <c r="DF81" s="293"/>
      <c r="DG81" s="293"/>
      <c r="DH81" s="293"/>
      <c r="DI81" s="293"/>
      <c r="DJ81" s="293"/>
      <c r="DK81" s="293"/>
      <c r="DL81" s="293"/>
      <c r="DM81" s="293"/>
      <c r="DN81" s="293"/>
      <c r="DO81" s="293"/>
      <c r="DP81" s="293"/>
      <c r="DQ81" s="293"/>
      <c r="DR81" s="293"/>
      <c r="DS81" s="288"/>
      <c r="DT81" s="288"/>
      <c r="DU81" s="288"/>
      <c r="DV81" s="288"/>
      <c r="DW81" s="288"/>
      <c r="DX81" s="288"/>
      <c r="DY81" s="288"/>
      <c r="DZ81" s="288"/>
      <c r="EA81" s="288"/>
      <c r="EB81" s="288"/>
      <c r="EC81" s="288"/>
      <c r="ED81" s="288"/>
      <c r="EE81" s="288"/>
      <c r="EF81" s="288"/>
      <c r="EG81" s="288"/>
      <c r="EH81" s="288"/>
      <c r="EI81" s="288"/>
      <c r="EJ81" s="288"/>
      <c r="EK81" s="288"/>
      <c r="EL81" s="288"/>
      <c r="EM81" s="288"/>
      <c r="EN81" s="288"/>
      <c r="EO81" s="288"/>
      <c r="EP81" s="288"/>
      <c r="EQ81" s="288"/>
      <c r="ER81" s="288"/>
      <c r="ES81" s="288"/>
      <c r="ET81" s="288"/>
      <c r="EU81" s="288"/>
      <c r="EV81" s="288"/>
      <c r="EW81" s="288"/>
      <c r="EX81" s="288"/>
      <c r="EY81" s="288"/>
      <c r="EZ81" s="288"/>
      <c r="FA81" s="288"/>
      <c r="FB81" s="288"/>
      <c r="FC81" s="288"/>
      <c r="FD81" s="288"/>
      <c r="FE81" s="288"/>
      <c r="FF81" s="288"/>
      <c r="FG81" s="288"/>
      <c r="FH81" s="288"/>
    </row>
    <row r="82" ht="14.25" customHeight="1">
      <c r="A82" s="293"/>
      <c r="B82" s="293"/>
      <c r="C82" s="293"/>
      <c r="D82" s="293"/>
      <c r="E82" s="293"/>
      <c r="F82" s="293"/>
      <c r="G82" s="293"/>
      <c r="H82" s="293"/>
      <c r="I82" s="293"/>
      <c r="J82" s="293"/>
      <c r="K82" s="293"/>
      <c r="L82" s="293"/>
      <c r="M82" s="293"/>
      <c r="N82" s="293"/>
      <c r="O82" s="293"/>
      <c r="P82" s="293"/>
      <c r="Q82" s="293"/>
      <c r="R82" s="293"/>
      <c r="S82" s="293"/>
      <c r="T82" s="293"/>
      <c r="U82" s="293"/>
      <c r="V82" s="293"/>
      <c r="W82" s="293"/>
      <c r="X82" s="293"/>
      <c r="Y82" s="293"/>
      <c r="Z82" s="293"/>
      <c r="AA82" s="293"/>
      <c r="AB82" s="293"/>
      <c r="AC82" s="293"/>
      <c r="AD82" s="293"/>
      <c r="AE82" s="293"/>
      <c r="AF82" s="293"/>
      <c r="AG82" s="293"/>
      <c r="AH82" s="293"/>
      <c r="AI82" s="293"/>
      <c r="AJ82" s="293"/>
      <c r="AK82" s="293"/>
      <c r="AL82" s="293"/>
      <c r="AM82" s="293"/>
      <c r="AN82" s="293"/>
      <c r="AO82" s="293"/>
      <c r="AP82" s="293"/>
      <c r="AQ82" s="293"/>
      <c r="AR82" s="293"/>
      <c r="AS82" s="293"/>
      <c r="AT82" s="293"/>
      <c r="AU82" s="293"/>
      <c r="AV82" s="293"/>
      <c r="AW82" s="293"/>
      <c r="AX82" s="293"/>
      <c r="AY82" s="293"/>
      <c r="AZ82" s="293"/>
      <c r="BA82" s="293"/>
      <c r="BB82" s="293"/>
      <c r="BC82" s="293"/>
      <c r="BD82" s="293"/>
      <c r="BE82" s="293"/>
      <c r="BF82" s="293"/>
      <c r="BG82" s="293"/>
      <c r="BH82" s="293"/>
      <c r="BI82" s="293"/>
      <c r="BJ82" s="293"/>
      <c r="BK82" s="293"/>
      <c r="BL82" s="293"/>
      <c r="BM82" s="293"/>
      <c r="BN82" s="293"/>
      <c r="BO82" s="293"/>
      <c r="BP82" s="293"/>
      <c r="BQ82" s="293"/>
      <c r="BR82" s="293"/>
      <c r="BS82" s="293"/>
      <c r="BT82" s="293"/>
      <c r="BU82" s="293"/>
      <c r="BV82" s="293"/>
      <c r="BW82" s="293"/>
      <c r="BX82" s="293"/>
      <c r="BY82" s="293"/>
      <c r="BZ82" s="293"/>
      <c r="CA82" s="293"/>
      <c r="CB82" s="293"/>
      <c r="CC82" s="293"/>
      <c r="CD82" s="293"/>
      <c r="CE82" s="293"/>
      <c r="CF82" s="293"/>
      <c r="CG82" s="293"/>
      <c r="CH82" s="293"/>
      <c r="CI82" s="293"/>
      <c r="CJ82" s="293"/>
      <c r="CK82" s="293"/>
      <c r="CL82" s="293"/>
      <c r="CM82" s="293"/>
      <c r="CN82" s="293"/>
      <c r="CO82" s="293"/>
      <c r="CP82" s="293"/>
      <c r="CQ82" s="293"/>
      <c r="CR82" s="293"/>
      <c r="CS82" s="293"/>
      <c r="CT82" s="293"/>
      <c r="CU82" s="293"/>
      <c r="CV82" s="293"/>
      <c r="CW82" s="293"/>
      <c r="CX82" s="293"/>
      <c r="CY82" s="293"/>
      <c r="CZ82" s="293"/>
      <c r="DA82" s="293"/>
      <c r="DB82" s="293"/>
      <c r="DC82" s="293"/>
      <c r="DD82" s="293"/>
      <c r="DE82" s="293"/>
      <c r="DF82" s="293"/>
      <c r="DG82" s="293"/>
      <c r="DH82" s="293"/>
      <c r="DI82" s="293"/>
      <c r="DJ82" s="293"/>
      <c r="DK82" s="293"/>
      <c r="DL82" s="293"/>
      <c r="DM82" s="293"/>
      <c r="DN82" s="293"/>
      <c r="DO82" s="293"/>
      <c r="DP82" s="293"/>
      <c r="DQ82" s="293"/>
      <c r="DR82" s="293"/>
      <c r="DS82" s="288"/>
      <c r="DT82" s="288"/>
      <c r="DU82" s="288"/>
      <c r="DV82" s="288"/>
      <c r="DW82" s="288"/>
      <c r="DX82" s="288"/>
      <c r="DY82" s="288"/>
      <c r="DZ82" s="288"/>
      <c r="EA82" s="288"/>
      <c r="EB82" s="288"/>
      <c r="EC82" s="288"/>
      <c r="ED82" s="288"/>
      <c r="EE82" s="288"/>
      <c r="EF82" s="288"/>
      <c r="EG82" s="288"/>
      <c r="EH82" s="288"/>
      <c r="EI82" s="288"/>
      <c r="EJ82" s="288"/>
      <c r="EK82" s="288"/>
      <c r="EL82" s="288"/>
      <c r="EM82" s="288"/>
      <c r="EN82" s="288"/>
      <c r="EO82" s="288"/>
      <c r="EP82" s="288"/>
      <c r="EQ82" s="288"/>
      <c r="ER82" s="288"/>
      <c r="ES82" s="288"/>
      <c r="ET82" s="288"/>
      <c r="EU82" s="288"/>
      <c r="EV82" s="288"/>
      <c r="EW82" s="288"/>
      <c r="EX82" s="288"/>
      <c r="EY82" s="288"/>
      <c r="EZ82" s="288"/>
      <c r="FA82" s="288"/>
      <c r="FB82" s="288"/>
      <c r="FC82" s="288"/>
      <c r="FD82" s="288"/>
      <c r="FE82" s="288"/>
      <c r="FF82" s="288"/>
      <c r="FG82" s="288"/>
      <c r="FH82" s="288"/>
    </row>
    <row r="83" ht="14.25" customHeight="1">
      <c r="A83" s="293"/>
      <c r="B83" s="293"/>
      <c r="C83" s="293"/>
      <c r="D83" s="293"/>
      <c r="E83" s="293"/>
      <c r="F83" s="293"/>
      <c r="G83" s="293"/>
      <c r="H83" s="293"/>
      <c r="I83" s="293"/>
      <c r="J83" s="293"/>
      <c r="K83" s="293"/>
      <c r="L83" s="293"/>
      <c r="M83" s="293"/>
      <c r="N83" s="293"/>
      <c r="O83" s="293"/>
      <c r="P83" s="293"/>
      <c r="Q83" s="293"/>
      <c r="R83" s="293"/>
      <c r="S83" s="293"/>
      <c r="T83" s="293"/>
      <c r="U83" s="293"/>
      <c r="V83" s="293"/>
      <c r="W83" s="293"/>
      <c r="X83" s="293"/>
      <c r="Y83" s="293"/>
      <c r="Z83" s="293"/>
      <c r="AA83" s="293"/>
      <c r="AB83" s="293"/>
      <c r="AC83" s="293"/>
      <c r="AD83" s="293"/>
      <c r="AE83" s="293"/>
      <c r="AF83" s="293"/>
      <c r="AG83" s="293"/>
      <c r="AH83" s="293"/>
      <c r="AI83" s="293"/>
      <c r="AJ83" s="293"/>
      <c r="AK83" s="293"/>
      <c r="AL83" s="293"/>
      <c r="AM83" s="293"/>
      <c r="AN83" s="293"/>
      <c r="AO83" s="293"/>
      <c r="AP83" s="293"/>
      <c r="AQ83" s="293"/>
      <c r="AR83" s="293"/>
      <c r="AS83" s="293"/>
      <c r="AT83" s="293"/>
      <c r="AU83" s="293"/>
      <c r="AV83" s="293"/>
      <c r="AW83" s="293"/>
      <c r="AX83" s="293"/>
      <c r="AY83" s="293"/>
      <c r="AZ83" s="293"/>
      <c r="BA83" s="293"/>
      <c r="BB83" s="293"/>
      <c r="BC83" s="293"/>
      <c r="BD83" s="293"/>
      <c r="BE83" s="293"/>
      <c r="BF83" s="293"/>
      <c r="BG83" s="293"/>
      <c r="BH83" s="293"/>
      <c r="BI83" s="293"/>
      <c r="BJ83" s="293"/>
      <c r="BK83" s="293"/>
      <c r="BL83" s="293"/>
      <c r="BM83" s="293"/>
      <c r="BN83" s="293"/>
      <c r="BO83" s="293"/>
      <c r="BP83" s="293"/>
      <c r="BQ83" s="293"/>
      <c r="BR83" s="293"/>
      <c r="BS83" s="293"/>
      <c r="BT83" s="293"/>
      <c r="BU83" s="293"/>
      <c r="BV83" s="293"/>
      <c r="BW83" s="293"/>
      <c r="BX83" s="293"/>
      <c r="BY83" s="293"/>
      <c r="BZ83" s="293"/>
      <c r="CA83" s="293"/>
      <c r="CB83" s="293"/>
      <c r="CC83" s="293"/>
      <c r="CD83" s="293"/>
      <c r="CE83" s="293"/>
      <c r="CF83" s="293"/>
      <c r="CG83" s="293"/>
      <c r="CH83" s="293"/>
      <c r="CI83" s="293"/>
      <c r="CJ83" s="293"/>
      <c r="CK83" s="293"/>
      <c r="CL83" s="293"/>
      <c r="CM83" s="293"/>
      <c r="CN83" s="293"/>
      <c r="CO83" s="293"/>
      <c r="CP83" s="293"/>
      <c r="CQ83" s="293"/>
      <c r="CR83" s="293"/>
      <c r="CS83" s="293"/>
      <c r="CT83" s="293"/>
      <c r="CU83" s="293"/>
      <c r="CV83" s="293"/>
      <c r="CW83" s="293"/>
      <c r="CX83" s="293"/>
      <c r="CY83" s="293"/>
      <c r="CZ83" s="293"/>
      <c r="DA83" s="293"/>
      <c r="DB83" s="293"/>
      <c r="DC83" s="293"/>
      <c r="DD83" s="293"/>
      <c r="DE83" s="293"/>
      <c r="DF83" s="293"/>
      <c r="DG83" s="293"/>
      <c r="DH83" s="293"/>
      <c r="DI83" s="293"/>
      <c r="DJ83" s="293"/>
      <c r="DK83" s="293"/>
      <c r="DL83" s="293"/>
      <c r="DM83" s="293"/>
      <c r="DN83" s="293"/>
      <c r="DO83" s="293"/>
      <c r="DP83" s="293"/>
      <c r="DQ83" s="293"/>
      <c r="DR83" s="293"/>
      <c r="DS83" s="288"/>
      <c r="DT83" s="288"/>
      <c r="DU83" s="288"/>
      <c r="DV83" s="288"/>
      <c r="DW83" s="288"/>
      <c r="DX83" s="288"/>
      <c r="DY83" s="288"/>
      <c r="DZ83" s="288"/>
      <c r="EA83" s="288"/>
      <c r="EB83" s="288"/>
      <c r="EC83" s="288"/>
      <c r="ED83" s="288"/>
      <c r="EE83" s="288"/>
      <c r="EF83" s="288"/>
      <c r="EG83" s="288"/>
      <c r="EH83" s="288"/>
      <c r="EI83" s="288"/>
      <c r="EJ83" s="288"/>
      <c r="EK83" s="288"/>
      <c r="EL83" s="288"/>
      <c r="EM83" s="288"/>
      <c r="EN83" s="288"/>
      <c r="EO83" s="288"/>
      <c r="EP83" s="288"/>
      <c r="EQ83" s="288"/>
      <c r="ER83" s="288"/>
      <c r="ES83" s="288"/>
      <c r="ET83" s="288"/>
      <c r="EU83" s="288"/>
      <c r="EV83" s="288"/>
      <c r="EW83" s="288"/>
      <c r="EX83" s="288"/>
      <c r="EY83" s="288"/>
      <c r="EZ83" s="288"/>
      <c r="FA83" s="288"/>
      <c r="FB83" s="288"/>
      <c r="FC83" s="288"/>
      <c r="FD83" s="288"/>
      <c r="FE83" s="288"/>
      <c r="FF83" s="288"/>
      <c r="FG83" s="288"/>
      <c r="FH83" s="288"/>
    </row>
    <row r="84" ht="14.25" customHeight="1">
      <c r="A84" s="293"/>
      <c r="B84" s="293"/>
      <c r="C84" s="293"/>
      <c r="D84" s="293"/>
      <c r="E84" s="293"/>
      <c r="F84" s="293"/>
      <c r="G84" s="293"/>
      <c r="H84" s="293"/>
      <c r="I84" s="293"/>
      <c r="J84" s="293"/>
      <c r="K84" s="293"/>
      <c r="L84" s="293"/>
      <c r="M84" s="293"/>
      <c r="N84" s="293"/>
      <c r="O84" s="293"/>
      <c r="P84" s="293"/>
      <c r="Q84" s="293"/>
      <c r="R84" s="293"/>
      <c r="S84" s="293"/>
      <c r="T84" s="293"/>
      <c r="U84" s="293"/>
      <c r="V84" s="293"/>
      <c r="W84" s="293"/>
      <c r="X84" s="293"/>
      <c r="Y84" s="293"/>
      <c r="Z84" s="293"/>
      <c r="AA84" s="293"/>
      <c r="AB84" s="293"/>
      <c r="AC84" s="293"/>
      <c r="AD84" s="293"/>
      <c r="AE84" s="293"/>
      <c r="AF84" s="293"/>
      <c r="AG84" s="293"/>
      <c r="AH84" s="293"/>
      <c r="AI84" s="293"/>
      <c r="AJ84" s="293"/>
      <c r="AK84" s="293"/>
      <c r="AL84" s="293"/>
      <c r="AM84" s="293"/>
      <c r="AN84" s="293"/>
      <c r="AO84" s="293"/>
      <c r="AP84" s="293"/>
      <c r="AQ84" s="293"/>
      <c r="AR84" s="293"/>
      <c r="AS84" s="293"/>
      <c r="AT84" s="293"/>
      <c r="AU84" s="293"/>
      <c r="AV84" s="293"/>
      <c r="AW84" s="293"/>
      <c r="AX84" s="293"/>
      <c r="AY84" s="293"/>
      <c r="AZ84" s="293"/>
      <c r="BA84" s="293"/>
      <c r="BB84" s="293"/>
      <c r="BC84" s="293"/>
      <c r="BD84" s="293"/>
      <c r="BE84" s="293"/>
      <c r="BF84" s="293"/>
      <c r="BG84" s="293"/>
      <c r="BH84" s="293"/>
      <c r="BI84" s="293"/>
      <c r="BJ84" s="293"/>
      <c r="BK84" s="293"/>
      <c r="BL84" s="293"/>
      <c r="BM84" s="293"/>
      <c r="BN84" s="293"/>
      <c r="BO84" s="293"/>
      <c r="BP84" s="293"/>
      <c r="BQ84" s="293"/>
      <c r="BR84" s="293"/>
      <c r="BS84" s="293"/>
      <c r="BT84" s="293"/>
      <c r="BU84" s="293"/>
      <c r="BV84" s="293"/>
      <c r="BW84" s="293"/>
      <c r="BX84" s="293"/>
      <c r="BY84" s="293"/>
      <c r="BZ84" s="293"/>
      <c r="CA84" s="293"/>
      <c r="CB84" s="293"/>
      <c r="CC84" s="293"/>
      <c r="CD84" s="293"/>
      <c r="CE84" s="293"/>
      <c r="CF84" s="293"/>
      <c r="CG84" s="293"/>
      <c r="CH84" s="293"/>
      <c r="CI84" s="293"/>
      <c r="CJ84" s="293"/>
      <c r="CK84" s="293"/>
      <c r="CL84" s="293"/>
      <c r="CM84" s="293"/>
      <c r="CN84" s="293"/>
      <c r="CO84" s="293"/>
      <c r="CP84" s="293"/>
      <c r="CQ84" s="293"/>
      <c r="CR84" s="293"/>
      <c r="CS84" s="293"/>
      <c r="CT84" s="293"/>
      <c r="CU84" s="293"/>
      <c r="CV84" s="293"/>
      <c r="CW84" s="293"/>
      <c r="CX84" s="293"/>
      <c r="CY84" s="293"/>
      <c r="CZ84" s="293"/>
      <c r="DA84" s="293"/>
      <c r="DB84" s="293"/>
      <c r="DC84" s="293"/>
      <c r="DD84" s="293"/>
      <c r="DE84" s="293"/>
      <c r="DF84" s="293"/>
      <c r="DG84" s="293"/>
      <c r="DH84" s="293"/>
      <c r="DI84" s="293"/>
      <c r="DJ84" s="293"/>
      <c r="DK84" s="293"/>
      <c r="DL84" s="293"/>
      <c r="DM84" s="293"/>
      <c r="DN84" s="293"/>
      <c r="DO84" s="293"/>
      <c r="DP84" s="293"/>
      <c r="DQ84" s="293"/>
      <c r="DR84" s="293"/>
      <c r="DS84" s="288"/>
      <c r="DT84" s="288"/>
      <c r="DU84" s="288"/>
      <c r="DV84" s="288"/>
      <c r="DW84" s="288"/>
      <c r="DX84" s="288"/>
      <c r="DY84" s="288"/>
      <c r="DZ84" s="288"/>
      <c r="EA84" s="288"/>
      <c r="EB84" s="288"/>
      <c r="EC84" s="288"/>
      <c r="ED84" s="288"/>
      <c r="EE84" s="288"/>
      <c r="EF84" s="288"/>
      <c r="EG84" s="288"/>
      <c r="EH84" s="288"/>
      <c r="EI84" s="288"/>
      <c r="EJ84" s="288"/>
      <c r="EK84" s="288"/>
      <c r="EL84" s="288"/>
      <c r="EM84" s="288"/>
      <c r="EN84" s="288"/>
      <c r="EO84" s="288"/>
      <c r="EP84" s="288"/>
      <c r="EQ84" s="288"/>
      <c r="ER84" s="288"/>
      <c r="ES84" s="288"/>
      <c r="ET84" s="288"/>
      <c r="EU84" s="288"/>
      <c r="EV84" s="288"/>
      <c r="EW84" s="288"/>
      <c r="EX84" s="288"/>
      <c r="EY84" s="288"/>
      <c r="EZ84" s="288"/>
      <c r="FA84" s="288"/>
      <c r="FB84" s="288"/>
      <c r="FC84" s="288"/>
      <c r="FD84" s="288"/>
      <c r="FE84" s="288"/>
      <c r="FF84" s="288"/>
      <c r="FG84" s="288"/>
      <c r="FH84" s="288"/>
    </row>
    <row r="85" ht="14.25" customHeight="1">
      <c r="A85" s="293"/>
      <c r="B85" s="293"/>
      <c r="C85" s="293"/>
      <c r="D85" s="293"/>
      <c r="E85" s="293"/>
      <c r="F85" s="293"/>
      <c r="G85" s="293"/>
      <c r="H85" s="293"/>
      <c r="I85" s="293"/>
      <c r="J85" s="293"/>
      <c r="K85" s="293"/>
      <c r="L85" s="293"/>
      <c r="M85" s="293"/>
      <c r="N85" s="293"/>
      <c r="O85" s="293"/>
      <c r="P85" s="293"/>
      <c r="Q85" s="293"/>
      <c r="R85" s="293"/>
      <c r="S85" s="293"/>
      <c r="T85" s="293"/>
      <c r="U85" s="293"/>
      <c r="V85" s="293"/>
      <c r="W85" s="293"/>
      <c r="X85" s="293"/>
      <c r="Y85" s="293"/>
      <c r="Z85" s="293"/>
      <c r="AA85" s="293"/>
      <c r="AB85" s="293"/>
      <c r="AC85" s="293"/>
      <c r="AD85" s="293"/>
      <c r="AE85" s="293"/>
      <c r="AF85" s="293"/>
      <c r="AG85" s="293"/>
      <c r="AH85" s="293"/>
      <c r="AI85" s="293"/>
      <c r="AJ85" s="293"/>
      <c r="AK85" s="293"/>
      <c r="AL85" s="293"/>
      <c r="AM85" s="293"/>
      <c r="AN85" s="293"/>
      <c r="AO85" s="293"/>
      <c r="AP85" s="293"/>
      <c r="AQ85" s="293"/>
      <c r="AR85" s="293"/>
      <c r="AS85" s="293"/>
      <c r="AT85" s="293"/>
      <c r="AU85" s="293"/>
      <c r="AV85" s="293"/>
      <c r="AW85" s="293"/>
      <c r="AX85" s="293"/>
      <c r="AY85" s="293"/>
      <c r="AZ85" s="293"/>
      <c r="BA85" s="293"/>
      <c r="BB85" s="293"/>
      <c r="BC85" s="293"/>
      <c r="BD85" s="293"/>
      <c r="BE85" s="293"/>
      <c r="BF85" s="293"/>
      <c r="BG85" s="293"/>
      <c r="BH85" s="293"/>
      <c r="BI85" s="293"/>
      <c r="BJ85" s="293"/>
      <c r="BK85" s="293"/>
      <c r="BL85" s="293"/>
      <c r="BM85" s="293"/>
      <c r="BN85" s="293"/>
      <c r="BO85" s="293"/>
      <c r="BP85" s="293"/>
      <c r="BQ85" s="293"/>
      <c r="BR85" s="293"/>
      <c r="BS85" s="293"/>
      <c r="BT85" s="293"/>
      <c r="BU85" s="293"/>
      <c r="BV85" s="293"/>
      <c r="BW85" s="293"/>
      <c r="BX85" s="293"/>
      <c r="BY85" s="293"/>
      <c r="BZ85" s="293"/>
      <c r="CA85" s="293"/>
      <c r="CB85" s="293"/>
      <c r="CC85" s="293"/>
      <c r="CD85" s="293"/>
      <c r="CE85" s="293"/>
      <c r="CF85" s="293"/>
      <c r="CG85" s="293"/>
      <c r="CH85" s="293"/>
      <c r="CI85" s="293"/>
      <c r="CJ85" s="293"/>
      <c r="CK85" s="293"/>
      <c r="CL85" s="293"/>
      <c r="CM85" s="293"/>
      <c r="CN85" s="293"/>
      <c r="CO85" s="293"/>
      <c r="CP85" s="293"/>
      <c r="CQ85" s="293"/>
      <c r="CR85" s="293"/>
      <c r="CS85" s="293"/>
      <c r="CT85" s="293"/>
      <c r="CU85" s="293"/>
      <c r="CV85" s="293"/>
      <c r="CW85" s="293"/>
      <c r="CX85" s="293"/>
      <c r="CY85" s="293"/>
      <c r="CZ85" s="293"/>
      <c r="DA85" s="293"/>
      <c r="DB85" s="293"/>
      <c r="DC85" s="293"/>
      <c r="DD85" s="293"/>
      <c r="DE85" s="293"/>
      <c r="DF85" s="293"/>
      <c r="DG85" s="293"/>
      <c r="DH85" s="293"/>
      <c r="DI85" s="293"/>
      <c r="DJ85" s="293"/>
      <c r="DK85" s="293"/>
      <c r="DL85" s="293"/>
      <c r="DM85" s="293"/>
      <c r="DN85" s="293"/>
      <c r="DO85" s="293"/>
      <c r="DP85" s="293"/>
      <c r="DQ85" s="293"/>
      <c r="DR85" s="293"/>
      <c r="DS85" s="288"/>
      <c r="DT85" s="288"/>
      <c r="DU85" s="288"/>
      <c r="DV85" s="288"/>
      <c r="DW85" s="288"/>
      <c r="DX85" s="288"/>
      <c r="DY85" s="288"/>
      <c r="DZ85" s="288"/>
      <c r="EA85" s="288"/>
      <c r="EB85" s="288"/>
      <c r="EC85" s="288"/>
      <c r="ED85" s="288"/>
      <c r="EE85" s="288"/>
      <c r="EF85" s="288"/>
      <c r="EG85" s="288"/>
      <c r="EH85" s="288"/>
      <c r="EI85" s="288"/>
      <c r="EJ85" s="288"/>
      <c r="EK85" s="288"/>
      <c r="EL85" s="288"/>
      <c r="EM85" s="288"/>
      <c r="EN85" s="288"/>
      <c r="EO85" s="288"/>
      <c r="EP85" s="288"/>
      <c r="EQ85" s="288"/>
      <c r="ER85" s="288"/>
      <c r="ES85" s="288"/>
      <c r="ET85" s="288"/>
      <c r="EU85" s="288"/>
      <c r="EV85" s="288"/>
      <c r="EW85" s="288"/>
      <c r="EX85" s="288"/>
      <c r="EY85" s="288"/>
      <c r="EZ85" s="288"/>
      <c r="FA85" s="288"/>
      <c r="FB85" s="288"/>
      <c r="FC85" s="288"/>
      <c r="FD85" s="288"/>
      <c r="FE85" s="288"/>
      <c r="FF85" s="288"/>
      <c r="FG85" s="288"/>
      <c r="FH85" s="288"/>
    </row>
    <row r="86" ht="14.25" customHeight="1">
      <c r="A86" s="293"/>
      <c r="B86" s="293"/>
      <c r="C86" s="293"/>
      <c r="D86" s="293"/>
      <c r="E86" s="293"/>
      <c r="F86" s="293"/>
      <c r="G86" s="293"/>
      <c r="H86" s="293"/>
      <c r="I86" s="293"/>
      <c r="J86" s="293"/>
      <c r="K86" s="293"/>
      <c r="L86" s="293"/>
      <c r="M86" s="293"/>
      <c r="N86" s="293"/>
      <c r="O86" s="293"/>
      <c r="P86" s="293"/>
      <c r="Q86" s="293"/>
      <c r="R86" s="293"/>
      <c r="S86" s="293"/>
      <c r="T86" s="293"/>
      <c r="U86" s="293"/>
      <c r="V86" s="293"/>
      <c r="W86" s="293"/>
      <c r="X86" s="293"/>
      <c r="Y86" s="293"/>
      <c r="Z86" s="293"/>
      <c r="AA86" s="293"/>
      <c r="AB86" s="293"/>
      <c r="AC86" s="293"/>
      <c r="AD86" s="293"/>
      <c r="AE86" s="293"/>
      <c r="AF86" s="293"/>
      <c r="AG86" s="293"/>
      <c r="AH86" s="293"/>
      <c r="AI86" s="293"/>
      <c r="AJ86" s="293"/>
      <c r="AK86" s="293"/>
      <c r="AL86" s="293"/>
      <c r="AM86" s="293"/>
      <c r="AN86" s="293"/>
      <c r="AO86" s="293"/>
      <c r="AP86" s="293"/>
      <c r="AQ86" s="293"/>
      <c r="AR86" s="293"/>
      <c r="AS86" s="293"/>
      <c r="AT86" s="293"/>
      <c r="AU86" s="293"/>
      <c r="AV86" s="293"/>
      <c r="AW86" s="293"/>
      <c r="AX86" s="293"/>
      <c r="AY86" s="293"/>
      <c r="AZ86" s="293"/>
      <c r="BA86" s="293"/>
      <c r="BB86" s="293"/>
      <c r="BC86" s="293"/>
      <c r="BD86" s="293"/>
      <c r="BE86" s="293"/>
      <c r="BF86" s="293"/>
      <c r="BG86" s="293"/>
      <c r="BH86" s="293"/>
      <c r="BI86" s="293"/>
      <c r="BJ86" s="293"/>
      <c r="BK86" s="293"/>
      <c r="BL86" s="293"/>
      <c r="BM86" s="293"/>
      <c r="BN86" s="293"/>
      <c r="BO86" s="293"/>
      <c r="BP86" s="293"/>
      <c r="BQ86" s="293"/>
      <c r="BR86" s="293"/>
      <c r="BS86" s="293"/>
      <c r="BT86" s="293"/>
      <c r="BU86" s="293"/>
      <c r="BV86" s="293"/>
      <c r="BW86" s="293"/>
      <c r="BX86" s="293"/>
      <c r="BY86" s="293"/>
      <c r="BZ86" s="293"/>
      <c r="CA86" s="293"/>
      <c r="CB86" s="293"/>
      <c r="CC86" s="293"/>
      <c r="CD86" s="293"/>
      <c r="CE86" s="293"/>
      <c r="CF86" s="293"/>
      <c r="CG86" s="293"/>
      <c r="CH86" s="293"/>
      <c r="CI86" s="293"/>
      <c r="CJ86" s="293"/>
      <c r="CK86" s="293"/>
      <c r="CL86" s="293"/>
      <c r="CM86" s="293"/>
      <c r="CN86" s="293"/>
      <c r="CO86" s="293"/>
      <c r="CP86" s="293"/>
      <c r="CQ86" s="293"/>
      <c r="CR86" s="293"/>
      <c r="CS86" s="293"/>
      <c r="CT86" s="293"/>
      <c r="CU86" s="293"/>
      <c r="CV86" s="293"/>
      <c r="CW86" s="293"/>
      <c r="CX86" s="293"/>
      <c r="CY86" s="293"/>
      <c r="CZ86" s="293"/>
      <c r="DA86" s="293"/>
      <c r="DB86" s="293"/>
      <c r="DC86" s="293"/>
      <c r="DD86" s="293"/>
      <c r="DE86" s="293"/>
      <c r="DF86" s="293"/>
      <c r="DG86" s="293"/>
      <c r="DH86" s="293"/>
      <c r="DI86" s="293"/>
      <c r="DJ86" s="293"/>
      <c r="DK86" s="293"/>
      <c r="DL86" s="293"/>
      <c r="DM86" s="293"/>
      <c r="DN86" s="293"/>
      <c r="DO86" s="293"/>
      <c r="DP86" s="293"/>
      <c r="DQ86" s="293"/>
      <c r="DR86" s="293"/>
      <c r="DS86" s="288"/>
      <c r="DT86" s="288"/>
      <c r="DU86" s="288"/>
      <c r="DV86" s="288"/>
      <c r="DW86" s="288"/>
      <c r="DX86" s="288"/>
      <c r="DY86" s="288"/>
      <c r="DZ86" s="288"/>
      <c r="EA86" s="288"/>
      <c r="EB86" s="288"/>
      <c r="EC86" s="288"/>
      <c r="ED86" s="288"/>
      <c r="EE86" s="288"/>
      <c r="EF86" s="288"/>
      <c r="EG86" s="288"/>
      <c r="EH86" s="288"/>
      <c r="EI86" s="288"/>
      <c r="EJ86" s="288"/>
      <c r="EK86" s="288"/>
      <c r="EL86" s="288"/>
      <c r="EM86" s="288"/>
      <c r="EN86" s="288"/>
      <c r="EO86" s="288"/>
      <c r="EP86" s="288"/>
      <c r="EQ86" s="288"/>
      <c r="ER86" s="288"/>
      <c r="ES86" s="288"/>
      <c r="ET86" s="288"/>
      <c r="EU86" s="288"/>
      <c r="EV86" s="288"/>
      <c r="EW86" s="288"/>
      <c r="EX86" s="288"/>
      <c r="EY86" s="288"/>
      <c r="EZ86" s="288"/>
      <c r="FA86" s="288"/>
      <c r="FB86" s="288"/>
      <c r="FC86" s="288"/>
      <c r="FD86" s="288"/>
      <c r="FE86" s="288"/>
      <c r="FF86" s="288"/>
      <c r="FG86" s="288"/>
      <c r="FH86" s="288"/>
    </row>
    <row r="87" ht="14.25" customHeight="1">
      <c r="A87" s="293"/>
      <c r="B87" s="293"/>
      <c r="C87" s="293"/>
      <c r="D87" s="293"/>
      <c r="E87" s="293"/>
      <c r="F87" s="293"/>
      <c r="G87" s="293"/>
      <c r="H87" s="293"/>
      <c r="I87" s="293"/>
      <c r="J87" s="293"/>
      <c r="K87" s="293"/>
      <c r="L87" s="293"/>
      <c r="M87" s="293"/>
      <c r="N87" s="293"/>
      <c r="O87" s="293"/>
      <c r="P87" s="293"/>
      <c r="Q87" s="293"/>
      <c r="R87" s="293"/>
      <c r="S87" s="293"/>
      <c r="T87" s="293"/>
      <c r="U87" s="293"/>
      <c r="V87" s="293"/>
      <c r="W87" s="293"/>
      <c r="X87" s="293"/>
      <c r="Y87" s="293"/>
      <c r="Z87" s="293"/>
      <c r="AA87" s="293"/>
      <c r="AB87" s="293"/>
      <c r="AC87" s="293"/>
      <c r="AD87" s="293"/>
      <c r="AE87" s="293"/>
      <c r="AF87" s="293"/>
      <c r="AG87" s="293"/>
      <c r="AH87" s="293"/>
      <c r="AI87" s="293"/>
      <c r="AJ87" s="293"/>
      <c r="AK87" s="293"/>
      <c r="AL87" s="293"/>
      <c r="AM87" s="293"/>
      <c r="AN87" s="293"/>
      <c r="AO87" s="293"/>
      <c r="AP87" s="293"/>
      <c r="AQ87" s="293"/>
      <c r="AR87" s="293"/>
      <c r="AS87" s="293"/>
      <c r="AT87" s="293"/>
      <c r="AU87" s="293"/>
      <c r="AV87" s="293"/>
      <c r="AW87" s="293"/>
      <c r="AX87" s="293"/>
      <c r="AY87" s="293"/>
      <c r="AZ87" s="293"/>
      <c r="BA87" s="293"/>
      <c r="BB87" s="293"/>
      <c r="BC87" s="293"/>
      <c r="BD87" s="293"/>
      <c r="BE87" s="293"/>
      <c r="BF87" s="293"/>
      <c r="BG87" s="293"/>
      <c r="BH87" s="293"/>
      <c r="BI87" s="293"/>
      <c r="BJ87" s="293"/>
      <c r="BK87" s="293"/>
      <c r="BL87" s="293"/>
      <c r="BM87" s="293"/>
      <c r="BN87" s="293"/>
      <c r="BO87" s="293"/>
      <c r="BP87" s="293"/>
      <c r="BQ87" s="293"/>
      <c r="BR87" s="293"/>
      <c r="BS87" s="293"/>
      <c r="BT87" s="293"/>
      <c r="BU87" s="293"/>
      <c r="BV87" s="293"/>
      <c r="BW87" s="293"/>
      <c r="BX87" s="293"/>
      <c r="BY87" s="293"/>
      <c r="BZ87" s="293"/>
      <c r="CA87" s="293"/>
      <c r="CB87" s="293"/>
      <c r="CC87" s="293"/>
      <c r="CD87" s="293"/>
      <c r="CE87" s="293"/>
      <c r="CF87" s="293"/>
      <c r="CG87" s="293"/>
      <c r="CH87" s="293"/>
      <c r="CI87" s="293"/>
      <c r="CJ87" s="293"/>
      <c r="CK87" s="293"/>
      <c r="CL87" s="293"/>
      <c r="CM87" s="293"/>
      <c r="CN87" s="293"/>
      <c r="CO87" s="293"/>
      <c r="CP87" s="293"/>
      <c r="CQ87" s="293"/>
      <c r="CR87" s="293"/>
      <c r="CS87" s="293"/>
      <c r="CT87" s="293"/>
      <c r="CU87" s="293"/>
      <c r="CV87" s="293"/>
      <c r="CW87" s="293"/>
      <c r="CX87" s="293"/>
      <c r="CY87" s="293"/>
      <c r="CZ87" s="293"/>
      <c r="DA87" s="293"/>
      <c r="DB87" s="293"/>
      <c r="DC87" s="293"/>
      <c r="DD87" s="293"/>
      <c r="DE87" s="293"/>
      <c r="DF87" s="293"/>
      <c r="DG87" s="293"/>
      <c r="DH87" s="293"/>
      <c r="DI87" s="293"/>
      <c r="DJ87" s="293"/>
      <c r="DK87" s="293"/>
      <c r="DL87" s="293"/>
      <c r="DM87" s="293"/>
      <c r="DN87" s="293"/>
      <c r="DO87" s="293"/>
      <c r="DP87" s="293"/>
      <c r="DQ87" s="293"/>
      <c r="DR87" s="293"/>
      <c r="DS87" s="288"/>
      <c r="DT87" s="288"/>
      <c r="DU87" s="288"/>
      <c r="DV87" s="288"/>
      <c r="DW87" s="288"/>
      <c r="DX87" s="288"/>
      <c r="DY87" s="288"/>
      <c r="DZ87" s="288"/>
      <c r="EA87" s="288"/>
      <c r="EB87" s="288"/>
      <c r="EC87" s="288"/>
      <c r="ED87" s="288"/>
      <c r="EE87" s="288"/>
      <c r="EF87" s="288"/>
      <c r="EG87" s="288"/>
      <c r="EH87" s="288"/>
      <c r="EI87" s="288"/>
      <c r="EJ87" s="288"/>
      <c r="EK87" s="288"/>
      <c r="EL87" s="288"/>
      <c r="EM87" s="288"/>
      <c r="EN87" s="288"/>
      <c r="EO87" s="288"/>
      <c r="EP87" s="288"/>
      <c r="EQ87" s="288"/>
      <c r="ER87" s="288"/>
      <c r="ES87" s="288"/>
      <c r="ET87" s="288"/>
      <c r="EU87" s="288"/>
      <c r="EV87" s="288"/>
      <c r="EW87" s="288"/>
      <c r="EX87" s="288"/>
      <c r="EY87" s="288"/>
      <c r="EZ87" s="288"/>
      <c r="FA87" s="288"/>
      <c r="FB87" s="288"/>
      <c r="FC87" s="288"/>
      <c r="FD87" s="288"/>
      <c r="FE87" s="288"/>
      <c r="FF87" s="288"/>
      <c r="FG87" s="288"/>
      <c r="FH87" s="288"/>
    </row>
    <row r="88" ht="14.25" customHeight="1">
      <c r="A88" s="293"/>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c r="AD88" s="293"/>
      <c r="AE88" s="293"/>
      <c r="AF88" s="293"/>
      <c r="AG88" s="293"/>
      <c r="AH88" s="293"/>
      <c r="AI88" s="293"/>
      <c r="AJ88" s="293"/>
      <c r="AK88" s="293"/>
      <c r="AL88" s="293"/>
      <c r="AM88" s="293"/>
      <c r="AN88" s="293"/>
      <c r="AO88" s="293"/>
      <c r="AP88" s="293"/>
      <c r="AQ88" s="293"/>
      <c r="AR88" s="293"/>
      <c r="AS88" s="293"/>
      <c r="AT88" s="293"/>
      <c r="AU88" s="293"/>
      <c r="AV88" s="293"/>
      <c r="AW88" s="293"/>
      <c r="AX88" s="293"/>
      <c r="AY88" s="293"/>
      <c r="AZ88" s="293"/>
      <c r="BA88" s="293"/>
      <c r="BB88" s="293"/>
      <c r="BC88" s="293"/>
      <c r="BD88" s="293"/>
      <c r="BE88" s="293"/>
      <c r="BF88" s="293"/>
      <c r="BG88" s="293"/>
      <c r="BH88" s="293"/>
      <c r="BI88" s="293"/>
      <c r="BJ88" s="293"/>
      <c r="BK88" s="293"/>
      <c r="BL88" s="293"/>
      <c r="BM88" s="293"/>
      <c r="BN88" s="293"/>
      <c r="BO88" s="293"/>
      <c r="BP88" s="293"/>
      <c r="BQ88" s="293"/>
      <c r="BR88" s="293"/>
      <c r="BS88" s="293"/>
      <c r="BT88" s="293"/>
      <c r="BU88" s="293"/>
      <c r="BV88" s="293"/>
      <c r="BW88" s="293"/>
      <c r="BX88" s="293"/>
      <c r="BY88" s="293"/>
      <c r="BZ88" s="293"/>
      <c r="CA88" s="293"/>
      <c r="CB88" s="293"/>
      <c r="CC88" s="293"/>
      <c r="CD88" s="293"/>
      <c r="CE88" s="293"/>
      <c r="CF88" s="293"/>
      <c r="CG88" s="293"/>
      <c r="CH88" s="293"/>
      <c r="CI88" s="293"/>
      <c r="CJ88" s="293"/>
      <c r="CK88" s="293"/>
      <c r="CL88" s="293"/>
      <c r="CM88" s="293"/>
      <c r="CN88" s="293"/>
      <c r="CO88" s="293"/>
      <c r="CP88" s="293"/>
      <c r="CQ88" s="293"/>
      <c r="CR88" s="293"/>
      <c r="CS88" s="293"/>
      <c r="CT88" s="293"/>
      <c r="CU88" s="293"/>
      <c r="CV88" s="293"/>
      <c r="CW88" s="293"/>
      <c r="CX88" s="293"/>
      <c r="CY88" s="293"/>
      <c r="CZ88" s="293"/>
      <c r="DA88" s="293"/>
      <c r="DB88" s="293"/>
      <c r="DC88" s="293"/>
      <c r="DD88" s="293"/>
      <c r="DE88" s="293"/>
      <c r="DF88" s="293"/>
      <c r="DG88" s="293"/>
      <c r="DH88" s="293"/>
      <c r="DI88" s="293"/>
      <c r="DJ88" s="293"/>
      <c r="DK88" s="293"/>
      <c r="DL88" s="293"/>
      <c r="DM88" s="293"/>
      <c r="DN88" s="293"/>
      <c r="DO88" s="293"/>
      <c r="DP88" s="293"/>
      <c r="DQ88" s="293"/>
      <c r="DR88" s="293"/>
      <c r="DS88" s="288"/>
      <c r="DT88" s="288"/>
      <c r="DU88" s="288"/>
      <c r="DV88" s="288"/>
      <c r="DW88" s="288"/>
      <c r="DX88" s="288"/>
      <c r="DY88" s="288"/>
      <c r="DZ88" s="288"/>
      <c r="EA88" s="288"/>
      <c r="EB88" s="288"/>
      <c r="EC88" s="288"/>
      <c r="ED88" s="288"/>
      <c r="EE88" s="288"/>
      <c r="EF88" s="288"/>
      <c r="EG88" s="288"/>
      <c r="EH88" s="288"/>
      <c r="EI88" s="288"/>
      <c r="EJ88" s="288"/>
      <c r="EK88" s="288"/>
      <c r="EL88" s="288"/>
      <c r="EM88" s="288"/>
      <c r="EN88" s="288"/>
      <c r="EO88" s="288"/>
      <c r="EP88" s="288"/>
      <c r="EQ88" s="288"/>
      <c r="ER88" s="288"/>
      <c r="ES88" s="288"/>
      <c r="ET88" s="288"/>
      <c r="EU88" s="288"/>
      <c r="EV88" s="288"/>
      <c r="EW88" s="288"/>
      <c r="EX88" s="288"/>
      <c r="EY88" s="288"/>
      <c r="EZ88" s="288"/>
      <c r="FA88" s="288"/>
      <c r="FB88" s="288"/>
      <c r="FC88" s="288"/>
      <c r="FD88" s="288"/>
      <c r="FE88" s="288"/>
      <c r="FF88" s="288"/>
      <c r="FG88" s="288"/>
      <c r="FH88" s="288"/>
    </row>
    <row r="89" ht="14.25" customHeight="1">
      <c r="A89" s="293"/>
      <c r="B89" s="293"/>
      <c r="C89" s="293"/>
      <c r="D89" s="293"/>
      <c r="E89" s="293"/>
      <c r="F89" s="293"/>
      <c r="G89" s="293"/>
      <c r="H89" s="293"/>
      <c r="I89" s="293"/>
      <c r="J89" s="293"/>
      <c r="K89" s="293"/>
      <c r="L89" s="293"/>
      <c r="M89" s="293"/>
      <c r="N89" s="293"/>
      <c r="O89" s="293"/>
      <c r="P89" s="293"/>
      <c r="Q89" s="293"/>
      <c r="R89" s="293"/>
      <c r="S89" s="293"/>
      <c r="T89" s="293"/>
      <c r="U89" s="293"/>
      <c r="V89" s="293"/>
      <c r="W89" s="293"/>
      <c r="X89" s="293"/>
      <c r="Y89" s="293"/>
      <c r="Z89" s="293"/>
      <c r="AA89" s="293"/>
      <c r="AB89" s="293"/>
      <c r="AC89" s="293"/>
      <c r="AD89" s="293"/>
      <c r="AE89" s="293"/>
      <c r="AF89" s="293"/>
      <c r="AG89" s="293"/>
      <c r="AH89" s="293"/>
      <c r="AI89" s="293"/>
      <c r="AJ89" s="293"/>
      <c r="AK89" s="293"/>
      <c r="AL89" s="293"/>
      <c r="AM89" s="293"/>
      <c r="AN89" s="293"/>
      <c r="AO89" s="293"/>
      <c r="AP89" s="293"/>
      <c r="AQ89" s="293"/>
      <c r="AR89" s="293"/>
      <c r="AS89" s="293"/>
      <c r="AT89" s="293"/>
      <c r="AU89" s="293"/>
      <c r="AV89" s="293"/>
      <c r="AW89" s="293"/>
      <c r="AX89" s="293"/>
      <c r="AY89" s="293"/>
      <c r="AZ89" s="293"/>
      <c r="BA89" s="293"/>
      <c r="BB89" s="293"/>
      <c r="BC89" s="293"/>
      <c r="BD89" s="293"/>
      <c r="BE89" s="293"/>
      <c r="BF89" s="293"/>
      <c r="BG89" s="293"/>
      <c r="BH89" s="293"/>
      <c r="BI89" s="293"/>
      <c r="BJ89" s="293"/>
      <c r="BK89" s="293"/>
      <c r="BL89" s="293"/>
      <c r="BM89" s="293"/>
      <c r="BN89" s="293"/>
      <c r="BO89" s="293"/>
      <c r="BP89" s="293"/>
      <c r="BQ89" s="293"/>
      <c r="BR89" s="293"/>
      <c r="BS89" s="293"/>
      <c r="BT89" s="293"/>
      <c r="BU89" s="293"/>
      <c r="BV89" s="293"/>
      <c r="BW89" s="293"/>
      <c r="BX89" s="293"/>
      <c r="BY89" s="293"/>
      <c r="BZ89" s="293"/>
      <c r="CA89" s="293"/>
      <c r="CB89" s="293"/>
      <c r="CC89" s="293"/>
      <c r="CD89" s="293"/>
      <c r="CE89" s="293"/>
      <c r="CF89" s="293"/>
      <c r="CG89" s="293"/>
      <c r="CH89" s="293"/>
      <c r="CI89" s="293"/>
      <c r="CJ89" s="293"/>
      <c r="CK89" s="293"/>
      <c r="CL89" s="293"/>
      <c r="CM89" s="293"/>
      <c r="CN89" s="293"/>
      <c r="CO89" s="293"/>
      <c r="CP89" s="293"/>
      <c r="CQ89" s="293"/>
      <c r="CR89" s="293"/>
      <c r="CS89" s="293"/>
      <c r="CT89" s="293"/>
      <c r="CU89" s="293"/>
      <c r="CV89" s="293"/>
      <c r="CW89" s="293"/>
      <c r="CX89" s="293"/>
      <c r="CY89" s="293"/>
      <c r="CZ89" s="293"/>
      <c r="DA89" s="293"/>
      <c r="DB89" s="293"/>
      <c r="DC89" s="293"/>
      <c r="DD89" s="293"/>
      <c r="DE89" s="293"/>
      <c r="DF89" s="293"/>
      <c r="DG89" s="293"/>
      <c r="DH89" s="293"/>
      <c r="DI89" s="293"/>
      <c r="DJ89" s="293"/>
      <c r="DK89" s="293"/>
      <c r="DL89" s="293"/>
      <c r="DM89" s="293"/>
      <c r="DN89" s="293"/>
      <c r="DO89" s="293"/>
      <c r="DP89" s="293"/>
      <c r="DQ89" s="293"/>
      <c r="DR89" s="293"/>
      <c r="DS89" s="288"/>
      <c r="DT89" s="288"/>
      <c r="DU89" s="288"/>
      <c r="DV89" s="288"/>
      <c r="DW89" s="288"/>
      <c r="DX89" s="288"/>
      <c r="DY89" s="288"/>
      <c r="DZ89" s="288"/>
      <c r="EA89" s="288"/>
      <c r="EB89" s="288"/>
      <c r="EC89" s="288"/>
      <c r="ED89" s="288"/>
      <c r="EE89" s="288"/>
      <c r="EF89" s="288"/>
      <c r="EG89" s="288"/>
      <c r="EH89" s="288"/>
      <c r="EI89" s="288"/>
      <c r="EJ89" s="288"/>
      <c r="EK89" s="288"/>
      <c r="EL89" s="288"/>
      <c r="EM89" s="288"/>
      <c r="EN89" s="288"/>
      <c r="EO89" s="288"/>
      <c r="EP89" s="288"/>
      <c r="EQ89" s="288"/>
      <c r="ER89" s="288"/>
      <c r="ES89" s="288"/>
      <c r="ET89" s="288"/>
      <c r="EU89" s="288"/>
      <c r="EV89" s="288"/>
      <c r="EW89" s="288"/>
      <c r="EX89" s="288"/>
      <c r="EY89" s="288"/>
      <c r="EZ89" s="288"/>
      <c r="FA89" s="288"/>
      <c r="FB89" s="288"/>
      <c r="FC89" s="288"/>
      <c r="FD89" s="288"/>
      <c r="FE89" s="288"/>
      <c r="FF89" s="288"/>
      <c r="FG89" s="288"/>
      <c r="FH89" s="288"/>
    </row>
    <row r="90" ht="14.25" customHeight="1">
      <c r="A90" s="293"/>
      <c r="B90" s="293"/>
      <c r="C90" s="293"/>
      <c r="D90" s="293"/>
      <c r="E90" s="293"/>
      <c r="F90" s="293"/>
      <c r="G90" s="293"/>
      <c r="H90" s="293"/>
      <c r="I90" s="293"/>
      <c r="J90" s="293"/>
      <c r="K90" s="293"/>
      <c r="L90" s="293"/>
      <c r="M90" s="293"/>
      <c r="N90" s="293"/>
      <c r="O90" s="293"/>
      <c r="P90" s="293"/>
      <c r="Q90" s="293"/>
      <c r="R90" s="293"/>
      <c r="S90" s="293"/>
      <c r="T90" s="293"/>
      <c r="U90" s="293"/>
      <c r="V90" s="293"/>
      <c r="W90" s="293"/>
      <c r="X90" s="293"/>
      <c r="Y90" s="293"/>
      <c r="Z90" s="293"/>
      <c r="AA90" s="293"/>
      <c r="AB90" s="293"/>
      <c r="AC90" s="293"/>
      <c r="AD90" s="293"/>
      <c r="AE90" s="293"/>
      <c r="AF90" s="293"/>
      <c r="AG90" s="293"/>
      <c r="AH90" s="293"/>
      <c r="AI90" s="293"/>
      <c r="AJ90" s="293"/>
      <c r="AK90" s="293"/>
      <c r="AL90" s="293"/>
      <c r="AM90" s="293"/>
      <c r="AN90" s="293"/>
      <c r="AO90" s="293"/>
      <c r="AP90" s="293"/>
      <c r="AQ90" s="293"/>
      <c r="AR90" s="293"/>
      <c r="AS90" s="293"/>
      <c r="AT90" s="293"/>
      <c r="AU90" s="293"/>
      <c r="AV90" s="293"/>
      <c r="AW90" s="293"/>
      <c r="AX90" s="293"/>
      <c r="AY90" s="293"/>
      <c r="AZ90" s="293"/>
      <c r="BA90" s="293"/>
      <c r="BB90" s="293"/>
      <c r="BC90" s="293"/>
      <c r="BD90" s="293"/>
      <c r="BE90" s="293"/>
      <c r="BF90" s="293"/>
      <c r="BG90" s="293"/>
      <c r="BH90" s="293"/>
      <c r="BI90" s="293"/>
      <c r="BJ90" s="293"/>
      <c r="BK90" s="293"/>
      <c r="BL90" s="293"/>
      <c r="BM90" s="293"/>
      <c r="BN90" s="293"/>
      <c r="BO90" s="293"/>
      <c r="BP90" s="293"/>
      <c r="BQ90" s="293"/>
      <c r="BR90" s="293"/>
      <c r="BS90" s="293"/>
      <c r="BT90" s="293"/>
      <c r="BU90" s="293"/>
      <c r="BV90" s="293"/>
      <c r="BW90" s="293"/>
      <c r="BX90" s="293"/>
      <c r="BY90" s="293"/>
      <c r="BZ90" s="293"/>
      <c r="CA90" s="293"/>
      <c r="CB90" s="293"/>
      <c r="CC90" s="293"/>
      <c r="CD90" s="293"/>
      <c r="CE90" s="293"/>
      <c r="CF90" s="293"/>
      <c r="CG90" s="293"/>
      <c r="CH90" s="293"/>
      <c r="CI90" s="293"/>
      <c r="CJ90" s="293"/>
      <c r="CK90" s="293"/>
      <c r="CL90" s="293"/>
      <c r="CM90" s="293"/>
      <c r="CN90" s="293"/>
      <c r="CO90" s="293"/>
      <c r="CP90" s="293"/>
      <c r="CQ90" s="293"/>
      <c r="CR90" s="293"/>
      <c r="CS90" s="293"/>
      <c r="CT90" s="293"/>
      <c r="CU90" s="293"/>
      <c r="CV90" s="293"/>
      <c r="CW90" s="293"/>
      <c r="CX90" s="293"/>
      <c r="CY90" s="293"/>
      <c r="CZ90" s="293"/>
      <c r="DA90" s="293"/>
      <c r="DB90" s="293"/>
      <c r="DC90" s="293"/>
      <c r="DD90" s="293"/>
      <c r="DE90" s="293"/>
      <c r="DF90" s="293"/>
      <c r="DG90" s="293"/>
      <c r="DH90" s="293"/>
      <c r="DI90" s="293"/>
      <c r="DJ90" s="293"/>
      <c r="DK90" s="293"/>
      <c r="DL90" s="293"/>
      <c r="DM90" s="293"/>
      <c r="DN90" s="293"/>
      <c r="DO90" s="293"/>
      <c r="DP90" s="293"/>
      <c r="DQ90" s="293"/>
      <c r="DR90" s="293"/>
      <c r="DS90" s="288"/>
      <c r="DT90" s="288"/>
      <c r="DU90" s="288"/>
      <c r="DV90" s="288"/>
      <c r="DW90" s="288"/>
      <c r="DX90" s="288"/>
      <c r="DY90" s="288"/>
      <c r="DZ90" s="288"/>
      <c r="EA90" s="288"/>
      <c r="EB90" s="288"/>
      <c r="EC90" s="288"/>
      <c r="ED90" s="288"/>
      <c r="EE90" s="288"/>
      <c r="EF90" s="288"/>
      <c r="EG90" s="288"/>
      <c r="EH90" s="288"/>
      <c r="EI90" s="288"/>
      <c r="EJ90" s="288"/>
      <c r="EK90" s="288"/>
      <c r="EL90" s="288"/>
      <c r="EM90" s="288"/>
      <c r="EN90" s="288"/>
      <c r="EO90" s="288"/>
      <c r="EP90" s="288"/>
      <c r="EQ90" s="288"/>
      <c r="ER90" s="288"/>
      <c r="ES90" s="288"/>
      <c r="ET90" s="288"/>
      <c r="EU90" s="288"/>
      <c r="EV90" s="288"/>
      <c r="EW90" s="288"/>
      <c r="EX90" s="288"/>
      <c r="EY90" s="288"/>
      <c r="EZ90" s="288"/>
      <c r="FA90" s="288"/>
      <c r="FB90" s="288"/>
      <c r="FC90" s="288"/>
      <c r="FD90" s="288"/>
      <c r="FE90" s="288"/>
      <c r="FF90" s="288"/>
      <c r="FG90" s="288"/>
      <c r="FH90" s="288"/>
    </row>
    <row r="91" ht="14.25" customHeight="1">
      <c r="A91" s="293"/>
      <c r="B91" s="293"/>
      <c r="C91" s="293"/>
      <c r="D91" s="293"/>
      <c r="E91" s="293"/>
      <c r="F91" s="293"/>
      <c r="G91" s="293"/>
      <c r="H91" s="293"/>
      <c r="I91" s="293"/>
      <c r="J91" s="293"/>
      <c r="K91" s="293"/>
      <c r="L91" s="293"/>
      <c r="M91" s="293"/>
      <c r="N91" s="293"/>
      <c r="O91" s="293"/>
      <c r="P91" s="293"/>
      <c r="Q91" s="293"/>
      <c r="R91" s="293"/>
      <c r="S91" s="293"/>
      <c r="T91" s="293"/>
      <c r="U91" s="293"/>
      <c r="V91" s="293"/>
      <c r="W91" s="293"/>
      <c r="X91" s="293"/>
      <c r="Y91" s="293"/>
      <c r="Z91" s="293"/>
      <c r="AA91" s="293"/>
      <c r="AB91" s="293"/>
      <c r="AC91" s="293"/>
      <c r="AD91" s="293"/>
      <c r="AE91" s="293"/>
      <c r="AF91" s="293"/>
      <c r="AG91" s="293"/>
      <c r="AH91" s="293"/>
      <c r="AI91" s="293"/>
      <c r="AJ91" s="293"/>
      <c r="AK91" s="293"/>
      <c r="AL91" s="293"/>
      <c r="AM91" s="293"/>
      <c r="AN91" s="293"/>
      <c r="AO91" s="293"/>
      <c r="AP91" s="293"/>
      <c r="AQ91" s="293"/>
      <c r="AR91" s="293"/>
      <c r="AS91" s="293"/>
      <c r="AT91" s="293"/>
      <c r="AU91" s="293"/>
      <c r="AV91" s="293"/>
      <c r="AW91" s="293"/>
      <c r="AX91" s="293"/>
      <c r="AY91" s="293"/>
      <c r="AZ91" s="293"/>
      <c r="BA91" s="293"/>
      <c r="BB91" s="293"/>
      <c r="BC91" s="293"/>
      <c r="BD91" s="293"/>
      <c r="BE91" s="293"/>
      <c r="BF91" s="293"/>
      <c r="BG91" s="293"/>
      <c r="BH91" s="293"/>
      <c r="BI91" s="293"/>
      <c r="BJ91" s="293"/>
      <c r="BK91" s="293"/>
      <c r="BL91" s="293"/>
      <c r="BM91" s="293"/>
      <c r="BN91" s="293"/>
      <c r="BO91" s="293"/>
      <c r="BP91" s="293"/>
      <c r="BQ91" s="293"/>
      <c r="BR91" s="293"/>
      <c r="BS91" s="293"/>
      <c r="BT91" s="293"/>
      <c r="BU91" s="293"/>
      <c r="BV91" s="293"/>
      <c r="BW91" s="293"/>
      <c r="BX91" s="293"/>
      <c r="BY91" s="293"/>
      <c r="BZ91" s="293"/>
      <c r="CA91" s="293"/>
      <c r="CB91" s="293"/>
      <c r="CC91" s="293"/>
      <c r="CD91" s="293"/>
      <c r="CE91" s="293"/>
      <c r="CF91" s="293"/>
      <c r="CG91" s="293"/>
      <c r="CH91" s="293"/>
      <c r="CI91" s="293"/>
      <c r="CJ91" s="293"/>
      <c r="CK91" s="293"/>
      <c r="CL91" s="293"/>
      <c r="CM91" s="293"/>
      <c r="CN91" s="293"/>
      <c r="CO91" s="293"/>
      <c r="CP91" s="293"/>
      <c r="CQ91" s="293"/>
      <c r="CR91" s="293"/>
      <c r="CS91" s="293"/>
      <c r="CT91" s="293"/>
      <c r="CU91" s="293"/>
      <c r="CV91" s="293"/>
      <c r="CW91" s="293"/>
      <c r="CX91" s="293"/>
      <c r="CY91" s="293"/>
      <c r="CZ91" s="293"/>
      <c r="DA91" s="293"/>
      <c r="DB91" s="293"/>
      <c r="DC91" s="293"/>
      <c r="DD91" s="293"/>
      <c r="DE91" s="293"/>
      <c r="DF91" s="293"/>
      <c r="DG91" s="293"/>
      <c r="DH91" s="293"/>
      <c r="DI91" s="293"/>
      <c r="DJ91" s="293"/>
      <c r="DK91" s="293"/>
      <c r="DL91" s="293"/>
      <c r="DM91" s="293"/>
      <c r="DN91" s="293"/>
      <c r="DO91" s="293"/>
      <c r="DP91" s="293"/>
      <c r="DQ91" s="293"/>
      <c r="DR91" s="293"/>
      <c r="DS91" s="288"/>
      <c r="DT91" s="288"/>
      <c r="DU91" s="288"/>
      <c r="DV91" s="288"/>
      <c r="DW91" s="288"/>
      <c r="DX91" s="288"/>
      <c r="DY91" s="288"/>
      <c r="DZ91" s="288"/>
      <c r="EA91" s="288"/>
      <c r="EB91" s="288"/>
      <c r="EC91" s="288"/>
      <c r="ED91" s="288"/>
      <c r="EE91" s="288"/>
      <c r="EF91" s="288"/>
      <c r="EG91" s="288"/>
      <c r="EH91" s="288"/>
      <c r="EI91" s="288"/>
      <c r="EJ91" s="288"/>
      <c r="EK91" s="288"/>
      <c r="EL91" s="288"/>
      <c r="EM91" s="288"/>
      <c r="EN91" s="288"/>
      <c r="EO91" s="288"/>
      <c r="EP91" s="288"/>
      <c r="EQ91" s="288"/>
      <c r="ER91" s="288"/>
      <c r="ES91" s="288"/>
      <c r="ET91" s="288"/>
      <c r="EU91" s="288"/>
      <c r="EV91" s="288"/>
      <c r="EW91" s="288"/>
      <c r="EX91" s="288"/>
      <c r="EY91" s="288"/>
      <c r="EZ91" s="288"/>
      <c r="FA91" s="288"/>
      <c r="FB91" s="288"/>
      <c r="FC91" s="288"/>
      <c r="FD91" s="288"/>
      <c r="FE91" s="288"/>
      <c r="FF91" s="288"/>
      <c r="FG91" s="288"/>
      <c r="FH91" s="288"/>
    </row>
    <row r="92" ht="14.25" customHeight="1">
      <c r="A92" s="293"/>
      <c r="B92" s="293"/>
      <c r="C92" s="293"/>
      <c r="D92" s="293"/>
      <c r="E92" s="293"/>
      <c r="F92" s="293"/>
      <c r="G92" s="293"/>
      <c r="H92" s="293"/>
      <c r="I92" s="293"/>
      <c r="J92" s="293"/>
      <c r="K92" s="293"/>
      <c r="L92" s="293"/>
      <c r="M92" s="293"/>
      <c r="N92" s="293"/>
      <c r="O92" s="293"/>
      <c r="P92" s="293"/>
      <c r="Q92" s="293"/>
      <c r="R92" s="293"/>
      <c r="S92" s="293"/>
      <c r="T92" s="293"/>
      <c r="U92" s="293"/>
      <c r="V92" s="293"/>
      <c r="W92" s="293"/>
      <c r="X92" s="293"/>
      <c r="Y92" s="293"/>
      <c r="Z92" s="293"/>
      <c r="AA92" s="293"/>
      <c r="AB92" s="293"/>
      <c r="AC92" s="293"/>
      <c r="AD92" s="293"/>
      <c r="AE92" s="293"/>
      <c r="AF92" s="293"/>
      <c r="AG92" s="293"/>
      <c r="AH92" s="293"/>
      <c r="AI92" s="293"/>
      <c r="AJ92" s="293"/>
      <c r="AK92" s="293"/>
      <c r="AL92" s="293"/>
      <c r="AM92" s="293"/>
      <c r="AN92" s="293"/>
      <c r="AO92" s="293"/>
      <c r="AP92" s="293"/>
      <c r="AQ92" s="293"/>
      <c r="AR92" s="293"/>
      <c r="AS92" s="293"/>
      <c r="AT92" s="293"/>
      <c r="AU92" s="293"/>
      <c r="AV92" s="293"/>
      <c r="AW92" s="293"/>
      <c r="AX92" s="293"/>
      <c r="AY92" s="293"/>
      <c r="AZ92" s="293"/>
      <c r="BA92" s="293"/>
      <c r="BB92" s="293"/>
      <c r="BC92" s="293"/>
      <c r="BD92" s="293"/>
      <c r="BE92" s="293"/>
      <c r="BF92" s="293"/>
      <c r="BG92" s="293"/>
      <c r="BH92" s="293"/>
      <c r="BI92" s="293"/>
      <c r="BJ92" s="293"/>
      <c r="BK92" s="293"/>
      <c r="BL92" s="293"/>
      <c r="BM92" s="293"/>
      <c r="BN92" s="293"/>
      <c r="BO92" s="293"/>
      <c r="BP92" s="293"/>
      <c r="BQ92" s="293"/>
      <c r="BR92" s="293"/>
      <c r="BS92" s="293"/>
      <c r="BT92" s="293"/>
      <c r="BU92" s="293"/>
      <c r="BV92" s="293"/>
      <c r="BW92" s="293"/>
      <c r="BX92" s="293"/>
      <c r="BY92" s="293"/>
      <c r="BZ92" s="293"/>
      <c r="CA92" s="293"/>
      <c r="CB92" s="293"/>
      <c r="CC92" s="293"/>
      <c r="CD92" s="293"/>
      <c r="CE92" s="293"/>
      <c r="CF92" s="293"/>
      <c r="CG92" s="293"/>
      <c r="CH92" s="293"/>
      <c r="CI92" s="293"/>
      <c r="CJ92" s="293"/>
      <c r="CK92" s="293"/>
      <c r="CL92" s="293"/>
      <c r="CM92" s="293"/>
      <c r="CN92" s="293"/>
      <c r="CO92" s="293"/>
      <c r="CP92" s="293"/>
      <c r="CQ92" s="293"/>
      <c r="CR92" s="293"/>
      <c r="CS92" s="293"/>
      <c r="CT92" s="293"/>
      <c r="CU92" s="293"/>
      <c r="CV92" s="293"/>
      <c r="CW92" s="293"/>
      <c r="CX92" s="293"/>
      <c r="CY92" s="293"/>
      <c r="CZ92" s="293"/>
      <c r="DA92" s="293"/>
      <c r="DB92" s="293"/>
      <c r="DC92" s="293"/>
      <c r="DD92" s="293"/>
      <c r="DE92" s="293"/>
      <c r="DF92" s="293"/>
      <c r="DG92" s="293"/>
      <c r="DH92" s="293"/>
      <c r="DI92" s="293"/>
      <c r="DJ92" s="293"/>
      <c r="DK92" s="293"/>
      <c r="DL92" s="293"/>
      <c r="DM92" s="293"/>
      <c r="DN92" s="293"/>
      <c r="DO92" s="293"/>
      <c r="DP92" s="293"/>
      <c r="DQ92" s="293"/>
      <c r="DR92" s="293"/>
      <c r="DS92" s="288"/>
      <c r="DT92" s="288"/>
      <c r="DU92" s="288"/>
      <c r="DV92" s="288"/>
      <c r="DW92" s="288"/>
      <c r="DX92" s="288"/>
      <c r="DY92" s="288"/>
      <c r="DZ92" s="288"/>
      <c r="EA92" s="288"/>
      <c r="EB92" s="288"/>
      <c r="EC92" s="288"/>
      <c r="ED92" s="288"/>
      <c r="EE92" s="288"/>
      <c r="EF92" s="288"/>
      <c r="EG92" s="288"/>
      <c r="EH92" s="288"/>
      <c r="EI92" s="288"/>
      <c r="EJ92" s="288"/>
      <c r="EK92" s="288"/>
      <c r="EL92" s="288"/>
      <c r="EM92" s="288"/>
      <c r="EN92" s="288"/>
      <c r="EO92" s="288"/>
      <c r="EP92" s="288"/>
      <c r="EQ92" s="288"/>
      <c r="ER92" s="288"/>
      <c r="ES92" s="288"/>
      <c r="ET92" s="288"/>
      <c r="EU92" s="288"/>
      <c r="EV92" s="288"/>
      <c r="EW92" s="288"/>
      <c r="EX92" s="288"/>
      <c r="EY92" s="288"/>
      <c r="EZ92" s="288"/>
      <c r="FA92" s="288"/>
      <c r="FB92" s="288"/>
      <c r="FC92" s="288"/>
      <c r="FD92" s="288"/>
      <c r="FE92" s="288"/>
      <c r="FF92" s="288"/>
      <c r="FG92" s="288"/>
      <c r="FH92" s="288"/>
    </row>
    <row r="93" ht="14.25" customHeight="1">
      <c r="A93" s="293"/>
      <c r="B93" s="293"/>
      <c r="C93" s="293"/>
      <c r="D93" s="293"/>
      <c r="E93" s="293"/>
      <c r="F93" s="293"/>
      <c r="G93" s="293"/>
      <c r="H93" s="293"/>
      <c r="I93" s="293"/>
      <c r="J93" s="293"/>
      <c r="K93" s="293"/>
      <c r="L93" s="293"/>
      <c r="M93" s="293"/>
      <c r="N93" s="293"/>
      <c r="O93" s="293"/>
      <c r="P93" s="293"/>
      <c r="Q93" s="293"/>
      <c r="R93" s="293"/>
      <c r="S93" s="293"/>
      <c r="T93" s="293"/>
      <c r="U93" s="293"/>
      <c r="V93" s="293"/>
      <c r="W93" s="293"/>
      <c r="X93" s="293"/>
      <c r="Y93" s="293"/>
      <c r="Z93" s="293"/>
      <c r="AA93" s="293"/>
      <c r="AB93" s="293"/>
      <c r="AC93" s="293"/>
      <c r="AD93" s="293"/>
      <c r="AE93" s="293"/>
      <c r="AF93" s="293"/>
      <c r="AG93" s="293"/>
      <c r="AH93" s="293"/>
      <c r="AI93" s="293"/>
      <c r="AJ93" s="293"/>
      <c r="AK93" s="293"/>
      <c r="AL93" s="293"/>
      <c r="AM93" s="293"/>
      <c r="AN93" s="293"/>
      <c r="AO93" s="293"/>
      <c r="AP93" s="293"/>
      <c r="AQ93" s="293"/>
      <c r="AR93" s="293"/>
      <c r="AS93" s="293"/>
      <c r="AT93" s="293"/>
      <c r="AU93" s="293"/>
      <c r="AV93" s="293"/>
      <c r="AW93" s="293"/>
      <c r="AX93" s="293"/>
      <c r="AY93" s="293"/>
      <c r="AZ93" s="293"/>
      <c r="BA93" s="293"/>
      <c r="BB93" s="293"/>
      <c r="BC93" s="293"/>
      <c r="BD93" s="293"/>
      <c r="BE93" s="293"/>
      <c r="BF93" s="293"/>
      <c r="BG93" s="293"/>
      <c r="BH93" s="293"/>
      <c r="BI93" s="293"/>
      <c r="BJ93" s="293"/>
      <c r="BK93" s="293"/>
      <c r="BL93" s="293"/>
      <c r="BM93" s="293"/>
      <c r="BN93" s="293"/>
      <c r="BO93" s="293"/>
      <c r="BP93" s="293"/>
      <c r="BQ93" s="293"/>
      <c r="BR93" s="293"/>
      <c r="BS93" s="293"/>
      <c r="BT93" s="293"/>
      <c r="BU93" s="293"/>
      <c r="BV93" s="293"/>
      <c r="BW93" s="293"/>
      <c r="BX93" s="293"/>
      <c r="BY93" s="293"/>
      <c r="BZ93" s="293"/>
      <c r="CA93" s="293"/>
      <c r="CB93" s="293"/>
      <c r="CC93" s="293"/>
      <c r="CD93" s="293"/>
      <c r="CE93" s="293"/>
      <c r="CF93" s="293"/>
      <c r="CG93" s="293"/>
      <c r="CH93" s="293"/>
      <c r="CI93" s="293"/>
      <c r="CJ93" s="293"/>
      <c r="CK93" s="293"/>
      <c r="CL93" s="293"/>
      <c r="CM93" s="293"/>
      <c r="CN93" s="293"/>
      <c r="CO93" s="293"/>
      <c r="CP93" s="293"/>
      <c r="CQ93" s="293"/>
      <c r="CR93" s="293"/>
      <c r="CS93" s="293"/>
      <c r="CT93" s="293"/>
      <c r="CU93" s="293"/>
      <c r="CV93" s="293"/>
      <c r="CW93" s="293"/>
      <c r="CX93" s="293"/>
      <c r="CY93" s="293"/>
      <c r="CZ93" s="293"/>
      <c r="DA93" s="293"/>
      <c r="DB93" s="293"/>
      <c r="DC93" s="293"/>
      <c r="DD93" s="293"/>
      <c r="DE93" s="293"/>
      <c r="DF93" s="293"/>
      <c r="DG93" s="293"/>
      <c r="DH93" s="293"/>
      <c r="DI93" s="293"/>
      <c r="DJ93" s="293"/>
      <c r="DK93" s="293"/>
      <c r="DL93" s="293"/>
      <c r="DM93" s="293"/>
      <c r="DN93" s="293"/>
      <c r="DO93" s="293"/>
      <c r="DP93" s="293"/>
      <c r="DQ93" s="293"/>
      <c r="DR93" s="293"/>
      <c r="DS93" s="288"/>
      <c r="DT93" s="288"/>
      <c r="DU93" s="288"/>
      <c r="DV93" s="288"/>
      <c r="DW93" s="288"/>
      <c r="DX93" s="288"/>
      <c r="DY93" s="288"/>
      <c r="DZ93" s="288"/>
      <c r="EA93" s="288"/>
      <c r="EB93" s="288"/>
      <c r="EC93" s="288"/>
      <c r="ED93" s="288"/>
      <c r="EE93" s="288"/>
      <c r="EF93" s="288"/>
      <c r="EG93" s="288"/>
      <c r="EH93" s="288"/>
      <c r="EI93" s="288"/>
      <c r="EJ93" s="288"/>
      <c r="EK93" s="288"/>
      <c r="EL93" s="288"/>
      <c r="EM93" s="288"/>
      <c r="EN93" s="288"/>
      <c r="EO93" s="288"/>
      <c r="EP93" s="288"/>
      <c r="EQ93" s="288"/>
      <c r="ER93" s="288"/>
      <c r="ES93" s="288"/>
      <c r="ET93" s="288"/>
      <c r="EU93" s="288"/>
      <c r="EV93" s="288"/>
      <c r="EW93" s="288"/>
      <c r="EX93" s="288"/>
      <c r="EY93" s="288"/>
      <c r="EZ93" s="288"/>
      <c r="FA93" s="288"/>
      <c r="FB93" s="288"/>
      <c r="FC93" s="288"/>
      <c r="FD93" s="288"/>
      <c r="FE93" s="288"/>
      <c r="FF93" s="288"/>
      <c r="FG93" s="288"/>
      <c r="FH93" s="288"/>
    </row>
    <row r="94" ht="14.25" customHeight="1">
      <c r="A94" s="293"/>
      <c r="B94" s="293"/>
      <c r="C94" s="293"/>
      <c r="D94" s="293"/>
      <c r="E94" s="293"/>
      <c r="F94" s="293"/>
      <c r="G94" s="293"/>
      <c r="H94" s="293"/>
      <c r="I94" s="293"/>
      <c r="J94" s="293"/>
      <c r="K94" s="293"/>
      <c r="L94" s="293"/>
      <c r="M94" s="293"/>
      <c r="N94" s="293"/>
      <c r="O94" s="293"/>
      <c r="P94" s="293"/>
      <c r="Q94" s="293"/>
      <c r="R94" s="293"/>
      <c r="S94" s="293"/>
      <c r="T94" s="293"/>
      <c r="U94" s="293"/>
      <c r="V94" s="293"/>
      <c r="W94" s="293"/>
      <c r="X94" s="293"/>
      <c r="Y94" s="293"/>
      <c r="Z94" s="293"/>
      <c r="AA94" s="293"/>
      <c r="AB94" s="293"/>
      <c r="AC94" s="293"/>
      <c r="AD94" s="293"/>
      <c r="AE94" s="293"/>
      <c r="AF94" s="293"/>
      <c r="AG94" s="293"/>
      <c r="AH94" s="293"/>
      <c r="AI94" s="293"/>
      <c r="AJ94" s="293"/>
      <c r="AK94" s="293"/>
      <c r="AL94" s="293"/>
      <c r="AM94" s="293"/>
      <c r="AN94" s="293"/>
      <c r="AO94" s="293"/>
      <c r="AP94" s="293"/>
      <c r="AQ94" s="293"/>
      <c r="AR94" s="293"/>
      <c r="AS94" s="293"/>
      <c r="AT94" s="293"/>
      <c r="AU94" s="293"/>
      <c r="AV94" s="293"/>
      <c r="AW94" s="293"/>
      <c r="AX94" s="293"/>
      <c r="AY94" s="293"/>
      <c r="AZ94" s="293"/>
      <c r="BA94" s="293"/>
      <c r="BB94" s="293"/>
      <c r="BC94" s="293"/>
      <c r="BD94" s="293"/>
      <c r="BE94" s="293"/>
      <c r="BF94" s="293"/>
      <c r="BG94" s="293"/>
      <c r="BH94" s="293"/>
      <c r="BI94" s="293"/>
      <c r="BJ94" s="293"/>
      <c r="BK94" s="293"/>
      <c r="BL94" s="293"/>
      <c r="BM94" s="293"/>
      <c r="BN94" s="293"/>
      <c r="BO94" s="293"/>
      <c r="BP94" s="293"/>
      <c r="BQ94" s="293"/>
      <c r="BR94" s="293"/>
      <c r="BS94" s="293"/>
      <c r="BT94" s="293"/>
      <c r="BU94" s="293"/>
      <c r="BV94" s="293"/>
      <c r="BW94" s="293"/>
      <c r="BX94" s="293"/>
      <c r="BY94" s="293"/>
      <c r="BZ94" s="293"/>
      <c r="CA94" s="293"/>
      <c r="CB94" s="293"/>
      <c r="CC94" s="293"/>
      <c r="CD94" s="293"/>
      <c r="CE94" s="293"/>
      <c r="CF94" s="293"/>
      <c r="CG94" s="293"/>
      <c r="CH94" s="293"/>
      <c r="CI94" s="293"/>
      <c r="CJ94" s="293"/>
      <c r="CK94" s="293"/>
      <c r="CL94" s="293"/>
      <c r="CM94" s="293"/>
      <c r="CN94" s="293"/>
      <c r="CO94" s="293"/>
      <c r="CP94" s="293"/>
      <c r="CQ94" s="293"/>
      <c r="CR94" s="293"/>
      <c r="CS94" s="293"/>
      <c r="CT94" s="293"/>
      <c r="CU94" s="293"/>
      <c r="CV94" s="293"/>
      <c r="CW94" s="293"/>
      <c r="CX94" s="293"/>
      <c r="CY94" s="293"/>
      <c r="CZ94" s="293"/>
      <c r="DA94" s="293"/>
      <c r="DB94" s="293"/>
      <c r="DC94" s="293"/>
      <c r="DD94" s="293"/>
      <c r="DE94" s="293"/>
      <c r="DF94" s="293"/>
      <c r="DG94" s="293"/>
      <c r="DH94" s="293"/>
      <c r="DI94" s="293"/>
      <c r="DJ94" s="293"/>
      <c r="DK94" s="293"/>
      <c r="DL94" s="293"/>
      <c r="DM94" s="293"/>
      <c r="DN94" s="293"/>
      <c r="DO94" s="293"/>
      <c r="DP94" s="293"/>
      <c r="DQ94" s="293"/>
      <c r="DR94" s="293"/>
      <c r="DS94" s="288"/>
      <c r="DT94" s="288"/>
      <c r="DU94" s="288"/>
      <c r="DV94" s="288"/>
      <c r="DW94" s="288"/>
      <c r="DX94" s="288"/>
      <c r="DY94" s="288"/>
      <c r="DZ94" s="288"/>
      <c r="EA94" s="288"/>
      <c r="EB94" s="288"/>
      <c r="EC94" s="288"/>
      <c r="ED94" s="288"/>
      <c r="EE94" s="288"/>
      <c r="EF94" s="288"/>
      <c r="EG94" s="288"/>
      <c r="EH94" s="288"/>
      <c r="EI94" s="288"/>
      <c r="EJ94" s="288"/>
      <c r="EK94" s="288"/>
      <c r="EL94" s="288"/>
      <c r="EM94" s="288"/>
      <c r="EN94" s="288"/>
      <c r="EO94" s="288"/>
      <c r="EP94" s="288"/>
      <c r="EQ94" s="288"/>
      <c r="ER94" s="288"/>
      <c r="ES94" s="288"/>
      <c r="ET94" s="288"/>
      <c r="EU94" s="288"/>
      <c r="EV94" s="288"/>
      <c r="EW94" s="288"/>
      <c r="EX94" s="288"/>
      <c r="EY94" s="288"/>
      <c r="EZ94" s="288"/>
      <c r="FA94" s="288"/>
      <c r="FB94" s="288"/>
      <c r="FC94" s="288"/>
      <c r="FD94" s="288"/>
      <c r="FE94" s="288"/>
      <c r="FF94" s="288"/>
      <c r="FG94" s="288"/>
      <c r="FH94" s="288"/>
    </row>
    <row r="95" ht="14.25" customHeight="1">
      <c r="A95" s="293"/>
      <c r="B95" s="293"/>
      <c r="C95" s="293"/>
      <c r="D95" s="293"/>
      <c r="E95" s="293"/>
      <c r="F95" s="293"/>
      <c r="G95" s="293"/>
      <c r="H95" s="293"/>
      <c r="I95" s="293"/>
      <c r="J95" s="293"/>
      <c r="K95" s="293"/>
      <c r="L95" s="293"/>
      <c r="M95" s="293"/>
      <c r="N95" s="293"/>
      <c r="O95" s="293"/>
      <c r="P95" s="293"/>
      <c r="Q95" s="293"/>
      <c r="R95" s="293"/>
      <c r="S95" s="293"/>
      <c r="T95" s="293"/>
      <c r="U95" s="293"/>
      <c r="V95" s="293"/>
      <c r="W95" s="293"/>
      <c r="X95" s="293"/>
      <c r="Y95" s="293"/>
      <c r="Z95" s="293"/>
      <c r="AA95" s="293"/>
      <c r="AB95" s="293"/>
      <c r="AC95" s="293"/>
      <c r="AD95" s="293"/>
      <c r="AE95" s="293"/>
      <c r="AF95" s="293"/>
      <c r="AG95" s="293"/>
      <c r="AH95" s="293"/>
      <c r="AI95" s="293"/>
      <c r="AJ95" s="293"/>
      <c r="AK95" s="293"/>
      <c r="AL95" s="293"/>
      <c r="AM95" s="293"/>
      <c r="AN95" s="293"/>
      <c r="AO95" s="293"/>
      <c r="AP95" s="293"/>
      <c r="AQ95" s="293"/>
      <c r="AR95" s="293"/>
      <c r="AS95" s="293"/>
      <c r="AT95" s="293"/>
      <c r="AU95" s="293"/>
      <c r="AV95" s="293"/>
      <c r="AW95" s="293"/>
      <c r="AX95" s="293"/>
      <c r="AY95" s="293"/>
      <c r="AZ95" s="293"/>
      <c r="BA95" s="293"/>
      <c r="BB95" s="293"/>
      <c r="BC95" s="293"/>
      <c r="BD95" s="293"/>
      <c r="BE95" s="293"/>
      <c r="BF95" s="293"/>
      <c r="BG95" s="293"/>
      <c r="BH95" s="293"/>
      <c r="BI95" s="293"/>
      <c r="BJ95" s="293"/>
      <c r="BK95" s="293"/>
      <c r="BL95" s="293"/>
      <c r="BM95" s="293"/>
      <c r="BN95" s="293"/>
      <c r="BO95" s="293"/>
      <c r="BP95" s="293"/>
      <c r="BQ95" s="293"/>
      <c r="BR95" s="293"/>
      <c r="BS95" s="293"/>
      <c r="BT95" s="293"/>
      <c r="BU95" s="293"/>
      <c r="BV95" s="293"/>
      <c r="BW95" s="293"/>
      <c r="BX95" s="293"/>
      <c r="BY95" s="293"/>
      <c r="BZ95" s="293"/>
      <c r="CA95" s="293"/>
      <c r="CB95" s="293"/>
      <c r="CC95" s="293"/>
      <c r="CD95" s="293"/>
      <c r="CE95" s="293"/>
      <c r="CF95" s="293"/>
      <c r="CG95" s="293"/>
      <c r="CH95" s="293"/>
      <c r="CI95" s="293"/>
      <c r="CJ95" s="293"/>
      <c r="CK95" s="293"/>
      <c r="CL95" s="293"/>
      <c r="CM95" s="293"/>
      <c r="CN95" s="293"/>
      <c r="CO95" s="293"/>
      <c r="CP95" s="293"/>
      <c r="CQ95" s="293"/>
      <c r="CR95" s="293"/>
      <c r="CS95" s="293"/>
      <c r="CT95" s="293"/>
      <c r="CU95" s="293"/>
      <c r="CV95" s="293"/>
      <c r="CW95" s="293"/>
      <c r="CX95" s="293"/>
      <c r="CY95" s="293"/>
      <c r="CZ95" s="293"/>
      <c r="DA95" s="293"/>
      <c r="DB95" s="293"/>
      <c r="DC95" s="293"/>
      <c r="DD95" s="293"/>
      <c r="DE95" s="293"/>
      <c r="DF95" s="293"/>
      <c r="DG95" s="293"/>
      <c r="DH95" s="293"/>
      <c r="DI95" s="293"/>
      <c r="DJ95" s="293"/>
      <c r="DK95" s="293"/>
      <c r="DL95" s="293"/>
      <c r="DM95" s="293"/>
      <c r="DN95" s="293"/>
      <c r="DO95" s="293"/>
      <c r="DP95" s="293"/>
      <c r="DQ95" s="293"/>
      <c r="DR95" s="293"/>
      <c r="DS95" s="288"/>
      <c r="DT95" s="288"/>
      <c r="DU95" s="288"/>
      <c r="DV95" s="288"/>
      <c r="DW95" s="288"/>
      <c r="DX95" s="288"/>
      <c r="DY95" s="288"/>
      <c r="DZ95" s="288"/>
      <c r="EA95" s="288"/>
      <c r="EB95" s="288"/>
      <c r="EC95" s="288"/>
      <c r="ED95" s="288"/>
      <c r="EE95" s="288"/>
      <c r="EF95" s="288"/>
      <c r="EG95" s="288"/>
      <c r="EH95" s="288"/>
      <c r="EI95" s="288"/>
      <c r="EJ95" s="288"/>
      <c r="EK95" s="288"/>
      <c r="EL95" s="288"/>
      <c r="EM95" s="288"/>
      <c r="EN95" s="288"/>
      <c r="EO95" s="288"/>
      <c r="EP95" s="288"/>
      <c r="EQ95" s="288"/>
      <c r="ER95" s="288"/>
      <c r="ES95" s="288"/>
      <c r="ET95" s="288"/>
      <c r="EU95" s="288"/>
      <c r="EV95" s="288"/>
      <c r="EW95" s="288"/>
      <c r="EX95" s="288"/>
      <c r="EY95" s="288"/>
      <c r="EZ95" s="288"/>
      <c r="FA95" s="288"/>
      <c r="FB95" s="288"/>
      <c r="FC95" s="288"/>
      <c r="FD95" s="288"/>
      <c r="FE95" s="288"/>
      <c r="FF95" s="288"/>
      <c r="FG95" s="288"/>
      <c r="FH95" s="288"/>
    </row>
    <row r="96" ht="14.25" customHeight="1">
      <c r="A96" s="293"/>
      <c r="B96" s="293"/>
      <c r="C96" s="293"/>
      <c r="D96" s="293"/>
      <c r="E96" s="293"/>
      <c r="F96" s="293"/>
      <c r="G96" s="293"/>
      <c r="H96" s="293"/>
      <c r="I96" s="293"/>
      <c r="J96" s="293"/>
      <c r="K96" s="293"/>
      <c r="L96" s="293"/>
      <c r="M96" s="293"/>
      <c r="N96" s="293"/>
      <c r="O96" s="293"/>
      <c r="P96" s="293"/>
      <c r="Q96" s="293"/>
      <c r="R96" s="293"/>
      <c r="S96" s="293"/>
      <c r="T96" s="293"/>
      <c r="U96" s="293"/>
      <c r="V96" s="293"/>
      <c r="W96" s="293"/>
      <c r="X96" s="293"/>
      <c r="Y96" s="293"/>
      <c r="Z96" s="293"/>
      <c r="AA96" s="293"/>
      <c r="AB96" s="293"/>
      <c r="AC96" s="293"/>
      <c r="AD96" s="293"/>
      <c r="AE96" s="293"/>
      <c r="AF96" s="293"/>
      <c r="AG96" s="293"/>
      <c r="AH96" s="293"/>
      <c r="AI96" s="293"/>
      <c r="AJ96" s="293"/>
      <c r="AK96" s="293"/>
      <c r="AL96" s="293"/>
      <c r="AM96" s="293"/>
      <c r="AN96" s="293"/>
      <c r="AO96" s="293"/>
      <c r="AP96" s="293"/>
      <c r="AQ96" s="293"/>
      <c r="AR96" s="293"/>
      <c r="AS96" s="293"/>
      <c r="AT96" s="293"/>
      <c r="AU96" s="293"/>
      <c r="AV96" s="293"/>
      <c r="AW96" s="293"/>
      <c r="AX96" s="293"/>
      <c r="AY96" s="293"/>
      <c r="AZ96" s="293"/>
      <c r="BA96" s="293"/>
      <c r="BB96" s="293"/>
      <c r="BC96" s="293"/>
      <c r="BD96" s="293"/>
      <c r="BE96" s="293"/>
      <c r="BF96" s="293"/>
      <c r="BG96" s="293"/>
      <c r="BH96" s="293"/>
      <c r="BI96" s="293"/>
      <c r="BJ96" s="293"/>
      <c r="BK96" s="293"/>
      <c r="BL96" s="293"/>
      <c r="BM96" s="293"/>
      <c r="BN96" s="293"/>
      <c r="BO96" s="293"/>
      <c r="BP96" s="293"/>
      <c r="BQ96" s="293"/>
      <c r="BR96" s="293"/>
      <c r="BS96" s="293"/>
      <c r="BT96" s="293"/>
      <c r="BU96" s="293"/>
      <c r="BV96" s="293"/>
      <c r="BW96" s="293"/>
      <c r="BX96" s="293"/>
      <c r="BY96" s="293"/>
      <c r="BZ96" s="293"/>
      <c r="CA96" s="293"/>
      <c r="CB96" s="293"/>
      <c r="CC96" s="293"/>
      <c r="CD96" s="293"/>
      <c r="CE96" s="293"/>
      <c r="CF96" s="293"/>
      <c r="CG96" s="293"/>
      <c r="CH96" s="293"/>
      <c r="CI96" s="293"/>
      <c r="CJ96" s="293"/>
      <c r="CK96" s="293"/>
      <c r="CL96" s="293"/>
      <c r="CM96" s="293"/>
      <c r="CN96" s="293"/>
      <c r="CO96" s="293"/>
      <c r="CP96" s="293"/>
      <c r="CQ96" s="293"/>
      <c r="CR96" s="293"/>
      <c r="CS96" s="293"/>
      <c r="CT96" s="293"/>
      <c r="CU96" s="293"/>
      <c r="CV96" s="293"/>
      <c r="CW96" s="293"/>
      <c r="CX96" s="293"/>
      <c r="CY96" s="293"/>
      <c r="CZ96" s="293"/>
      <c r="DA96" s="293"/>
      <c r="DB96" s="293"/>
      <c r="DC96" s="293"/>
      <c r="DD96" s="293"/>
      <c r="DE96" s="293"/>
      <c r="DF96" s="293"/>
      <c r="DG96" s="293"/>
      <c r="DH96" s="293"/>
      <c r="DI96" s="293"/>
      <c r="DJ96" s="293"/>
      <c r="DK96" s="293"/>
      <c r="DL96" s="293"/>
      <c r="DM96" s="293"/>
      <c r="DN96" s="293"/>
      <c r="DO96" s="293"/>
      <c r="DP96" s="293"/>
      <c r="DQ96" s="293"/>
      <c r="DR96" s="293"/>
      <c r="DS96" s="288"/>
      <c r="DT96" s="288"/>
      <c r="DU96" s="288"/>
      <c r="DV96" s="288"/>
      <c r="DW96" s="288"/>
      <c r="DX96" s="288"/>
      <c r="DY96" s="288"/>
      <c r="DZ96" s="288"/>
      <c r="EA96" s="288"/>
      <c r="EB96" s="288"/>
      <c r="EC96" s="288"/>
      <c r="ED96" s="288"/>
      <c r="EE96" s="288"/>
      <c r="EF96" s="288"/>
      <c r="EG96" s="288"/>
      <c r="EH96" s="288"/>
      <c r="EI96" s="288"/>
      <c r="EJ96" s="288"/>
      <c r="EK96" s="288"/>
      <c r="EL96" s="288"/>
      <c r="EM96" s="288"/>
      <c r="EN96" s="288"/>
      <c r="EO96" s="288"/>
      <c r="EP96" s="288"/>
      <c r="EQ96" s="288"/>
      <c r="ER96" s="288"/>
      <c r="ES96" s="288"/>
      <c r="ET96" s="288"/>
      <c r="EU96" s="288"/>
      <c r="EV96" s="288"/>
      <c r="EW96" s="288"/>
      <c r="EX96" s="288"/>
      <c r="EY96" s="288"/>
      <c r="EZ96" s="288"/>
      <c r="FA96" s="288"/>
      <c r="FB96" s="288"/>
      <c r="FC96" s="288"/>
      <c r="FD96" s="288"/>
      <c r="FE96" s="288"/>
      <c r="FF96" s="288"/>
      <c r="FG96" s="288"/>
      <c r="FH96" s="288"/>
    </row>
    <row r="97" ht="14.25" customHeight="1">
      <c r="A97" s="293"/>
      <c r="B97" s="293"/>
      <c r="C97" s="293"/>
      <c r="D97" s="293"/>
      <c r="E97" s="293"/>
      <c r="F97" s="293"/>
      <c r="G97" s="293"/>
      <c r="H97" s="293"/>
      <c r="I97" s="293"/>
      <c r="J97" s="293"/>
      <c r="K97" s="293"/>
      <c r="L97" s="293"/>
      <c r="M97" s="293"/>
      <c r="N97" s="293"/>
      <c r="O97" s="293"/>
      <c r="P97" s="293"/>
      <c r="Q97" s="293"/>
      <c r="R97" s="293"/>
      <c r="S97" s="293"/>
      <c r="T97" s="293"/>
      <c r="U97" s="293"/>
      <c r="V97" s="293"/>
      <c r="W97" s="293"/>
      <c r="X97" s="293"/>
      <c r="Y97" s="293"/>
      <c r="Z97" s="293"/>
      <c r="AA97" s="293"/>
      <c r="AB97" s="293"/>
      <c r="AC97" s="293"/>
      <c r="AD97" s="293"/>
      <c r="AE97" s="293"/>
      <c r="AF97" s="293"/>
      <c r="AG97" s="293"/>
      <c r="AH97" s="293"/>
      <c r="AI97" s="293"/>
      <c r="AJ97" s="293"/>
      <c r="AK97" s="293"/>
      <c r="AL97" s="293"/>
      <c r="AM97" s="293"/>
      <c r="AN97" s="293"/>
      <c r="AO97" s="293"/>
      <c r="AP97" s="293"/>
      <c r="AQ97" s="293"/>
      <c r="AR97" s="293"/>
      <c r="AS97" s="293"/>
      <c r="AT97" s="293"/>
      <c r="AU97" s="293"/>
      <c r="AV97" s="293"/>
      <c r="AW97" s="293"/>
      <c r="AX97" s="293"/>
      <c r="AY97" s="293"/>
      <c r="AZ97" s="293"/>
      <c r="BA97" s="293"/>
      <c r="BB97" s="293"/>
      <c r="BC97" s="293"/>
      <c r="BD97" s="293"/>
      <c r="BE97" s="293"/>
      <c r="BF97" s="293"/>
      <c r="BG97" s="293"/>
      <c r="BH97" s="293"/>
      <c r="BI97" s="293"/>
      <c r="BJ97" s="293"/>
      <c r="BK97" s="293"/>
      <c r="BL97" s="293"/>
      <c r="BM97" s="293"/>
      <c r="BN97" s="293"/>
      <c r="BO97" s="293"/>
      <c r="BP97" s="293"/>
      <c r="BQ97" s="293"/>
      <c r="BR97" s="293"/>
      <c r="BS97" s="293"/>
      <c r="BT97" s="293"/>
      <c r="BU97" s="293"/>
      <c r="BV97" s="293"/>
      <c r="BW97" s="293"/>
      <c r="BX97" s="293"/>
      <c r="BY97" s="293"/>
      <c r="BZ97" s="293"/>
      <c r="CA97" s="293"/>
      <c r="CB97" s="293"/>
      <c r="CC97" s="293"/>
      <c r="CD97" s="293"/>
      <c r="CE97" s="293"/>
      <c r="CF97" s="293"/>
      <c r="CG97" s="293"/>
      <c r="CH97" s="293"/>
      <c r="CI97" s="293"/>
      <c r="CJ97" s="293"/>
      <c r="CK97" s="293"/>
      <c r="CL97" s="293"/>
      <c r="CM97" s="293"/>
      <c r="CN97" s="293"/>
      <c r="CO97" s="293"/>
      <c r="CP97" s="293"/>
      <c r="CQ97" s="293"/>
      <c r="CR97" s="293"/>
      <c r="CS97" s="293"/>
      <c r="CT97" s="293"/>
      <c r="CU97" s="293"/>
      <c r="CV97" s="293"/>
      <c r="CW97" s="293"/>
      <c r="CX97" s="293"/>
      <c r="CY97" s="293"/>
      <c r="CZ97" s="293"/>
      <c r="DA97" s="293"/>
      <c r="DB97" s="293"/>
      <c r="DC97" s="293"/>
      <c r="DD97" s="293"/>
      <c r="DE97" s="293"/>
      <c r="DF97" s="293"/>
      <c r="DG97" s="293"/>
      <c r="DH97" s="293"/>
      <c r="DI97" s="293"/>
      <c r="DJ97" s="293"/>
      <c r="DK97" s="293"/>
      <c r="DL97" s="293"/>
      <c r="DM97" s="293"/>
      <c r="DN97" s="293"/>
      <c r="DO97" s="293"/>
      <c r="DP97" s="293"/>
      <c r="DQ97" s="293"/>
      <c r="DR97" s="293"/>
      <c r="DS97" s="288"/>
      <c r="DT97" s="288"/>
      <c r="DU97" s="288"/>
      <c r="DV97" s="288"/>
      <c r="DW97" s="288"/>
      <c r="DX97" s="288"/>
      <c r="DY97" s="288"/>
      <c r="DZ97" s="288"/>
      <c r="EA97" s="288"/>
      <c r="EB97" s="288"/>
      <c r="EC97" s="288"/>
      <c r="ED97" s="288"/>
      <c r="EE97" s="288"/>
      <c r="EF97" s="288"/>
      <c r="EG97" s="288"/>
      <c r="EH97" s="288"/>
      <c r="EI97" s="288"/>
      <c r="EJ97" s="288"/>
      <c r="EK97" s="288"/>
      <c r="EL97" s="288"/>
      <c r="EM97" s="288"/>
      <c r="EN97" s="288"/>
      <c r="EO97" s="288"/>
      <c r="EP97" s="288"/>
      <c r="EQ97" s="288"/>
      <c r="ER97" s="288"/>
      <c r="ES97" s="288"/>
      <c r="ET97" s="288"/>
      <c r="EU97" s="288"/>
      <c r="EV97" s="288"/>
      <c r="EW97" s="288"/>
      <c r="EX97" s="288"/>
      <c r="EY97" s="288"/>
      <c r="EZ97" s="288"/>
      <c r="FA97" s="288"/>
      <c r="FB97" s="288"/>
      <c r="FC97" s="288"/>
      <c r="FD97" s="288"/>
      <c r="FE97" s="288"/>
      <c r="FF97" s="288"/>
      <c r="FG97" s="288"/>
      <c r="FH97" s="288"/>
    </row>
    <row r="98" ht="14.25" customHeight="1">
      <c r="A98" s="293"/>
      <c r="B98" s="293"/>
      <c r="C98" s="293"/>
      <c r="D98" s="293"/>
      <c r="E98" s="293"/>
      <c r="F98" s="293"/>
      <c r="G98" s="293"/>
      <c r="H98" s="293"/>
      <c r="I98" s="293"/>
      <c r="J98" s="293"/>
      <c r="K98" s="293"/>
      <c r="L98" s="293"/>
      <c r="M98" s="293"/>
      <c r="N98" s="293"/>
      <c r="O98" s="293"/>
      <c r="P98" s="293"/>
      <c r="Q98" s="293"/>
      <c r="R98" s="293"/>
      <c r="S98" s="293"/>
      <c r="T98" s="293"/>
      <c r="U98" s="293"/>
      <c r="V98" s="293"/>
      <c r="W98" s="293"/>
      <c r="X98" s="293"/>
      <c r="Y98" s="293"/>
      <c r="Z98" s="293"/>
      <c r="AA98" s="293"/>
      <c r="AB98" s="293"/>
      <c r="AC98" s="293"/>
      <c r="AD98" s="293"/>
      <c r="AE98" s="293"/>
      <c r="AF98" s="293"/>
      <c r="AG98" s="293"/>
      <c r="AH98" s="293"/>
      <c r="AI98" s="293"/>
      <c r="AJ98" s="293"/>
      <c r="AK98" s="293"/>
      <c r="AL98" s="293"/>
      <c r="AM98" s="293"/>
      <c r="AN98" s="293"/>
      <c r="AO98" s="293"/>
      <c r="AP98" s="293"/>
      <c r="AQ98" s="293"/>
      <c r="AR98" s="293"/>
      <c r="AS98" s="293"/>
      <c r="AT98" s="293"/>
      <c r="AU98" s="293"/>
      <c r="AV98" s="293"/>
      <c r="AW98" s="293"/>
      <c r="AX98" s="293"/>
      <c r="AY98" s="293"/>
      <c r="AZ98" s="293"/>
      <c r="BA98" s="293"/>
      <c r="BB98" s="293"/>
      <c r="BC98" s="293"/>
      <c r="BD98" s="293"/>
      <c r="BE98" s="293"/>
      <c r="BF98" s="293"/>
      <c r="BG98" s="293"/>
      <c r="BH98" s="293"/>
      <c r="BI98" s="293"/>
      <c r="BJ98" s="293"/>
      <c r="BK98" s="293"/>
      <c r="BL98" s="293"/>
      <c r="BM98" s="293"/>
      <c r="BN98" s="293"/>
      <c r="BO98" s="293"/>
      <c r="BP98" s="293"/>
      <c r="BQ98" s="293"/>
      <c r="BR98" s="293"/>
      <c r="BS98" s="293"/>
      <c r="BT98" s="293"/>
      <c r="BU98" s="293"/>
      <c r="BV98" s="293"/>
      <c r="BW98" s="293"/>
      <c r="BX98" s="293"/>
      <c r="BY98" s="293"/>
      <c r="BZ98" s="293"/>
      <c r="CA98" s="293"/>
      <c r="CB98" s="293"/>
      <c r="CC98" s="293"/>
      <c r="CD98" s="293"/>
      <c r="CE98" s="293"/>
      <c r="CF98" s="293"/>
      <c r="CG98" s="293"/>
      <c r="CH98" s="293"/>
      <c r="CI98" s="293"/>
      <c r="CJ98" s="293"/>
      <c r="CK98" s="293"/>
      <c r="CL98" s="293"/>
      <c r="CM98" s="293"/>
      <c r="CN98" s="293"/>
      <c r="CO98" s="293"/>
      <c r="CP98" s="293"/>
      <c r="CQ98" s="293"/>
      <c r="CR98" s="293"/>
      <c r="CS98" s="293"/>
      <c r="CT98" s="293"/>
      <c r="CU98" s="293"/>
      <c r="CV98" s="293"/>
      <c r="CW98" s="293"/>
      <c r="CX98" s="293"/>
      <c r="CY98" s="293"/>
      <c r="CZ98" s="293"/>
      <c r="DA98" s="293"/>
      <c r="DB98" s="293"/>
      <c r="DC98" s="293"/>
      <c r="DD98" s="293"/>
      <c r="DE98" s="293"/>
      <c r="DF98" s="293"/>
      <c r="DG98" s="293"/>
      <c r="DH98" s="293"/>
      <c r="DI98" s="293"/>
      <c r="DJ98" s="293"/>
      <c r="DK98" s="293"/>
      <c r="DL98" s="293"/>
      <c r="DM98" s="293"/>
      <c r="DN98" s="293"/>
      <c r="DO98" s="293"/>
      <c r="DP98" s="293"/>
      <c r="DQ98" s="293"/>
      <c r="DR98" s="293"/>
      <c r="DS98" s="288"/>
      <c r="DT98" s="288"/>
      <c r="DU98" s="288"/>
      <c r="DV98" s="288"/>
      <c r="DW98" s="288"/>
      <c r="DX98" s="288"/>
      <c r="DY98" s="288"/>
      <c r="DZ98" s="288"/>
      <c r="EA98" s="288"/>
      <c r="EB98" s="288"/>
      <c r="EC98" s="288"/>
      <c r="ED98" s="288"/>
      <c r="EE98" s="288"/>
      <c r="EF98" s="288"/>
      <c r="EG98" s="288"/>
      <c r="EH98" s="288"/>
      <c r="EI98" s="288"/>
      <c r="EJ98" s="288"/>
      <c r="EK98" s="288"/>
      <c r="EL98" s="288"/>
      <c r="EM98" s="288"/>
      <c r="EN98" s="288"/>
      <c r="EO98" s="288"/>
      <c r="EP98" s="288"/>
      <c r="EQ98" s="288"/>
      <c r="ER98" s="288"/>
      <c r="ES98" s="288"/>
      <c r="ET98" s="288"/>
      <c r="EU98" s="288"/>
      <c r="EV98" s="288"/>
      <c r="EW98" s="288"/>
      <c r="EX98" s="288"/>
      <c r="EY98" s="288"/>
      <c r="EZ98" s="288"/>
      <c r="FA98" s="288"/>
      <c r="FB98" s="288"/>
      <c r="FC98" s="288"/>
      <c r="FD98" s="288"/>
      <c r="FE98" s="288"/>
      <c r="FF98" s="288"/>
      <c r="FG98" s="288"/>
      <c r="FH98" s="288"/>
    </row>
    <row r="99" ht="14.25" customHeight="1">
      <c r="A99" s="293"/>
      <c r="B99" s="293"/>
      <c r="C99" s="293"/>
      <c r="D99" s="293"/>
      <c r="E99" s="293"/>
      <c r="F99" s="293"/>
      <c r="G99" s="293"/>
      <c r="H99" s="293"/>
      <c r="I99" s="293"/>
      <c r="J99" s="293"/>
      <c r="K99" s="293"/>
      <c r="L99" s="293"/>
      <c r="M99" s="293"/>
      <c r="N99" s="293"/>
      <c r="O99" s="293"/>
      <c r="P99" s="293"/>
      <c r="Q99" s="293"/>
      <c r="R99" s="293"/>
      <c r="S99" s="293"/>
      <c r="T99" s="293"/>
      <c r="U99" s="293"/>
      <c r="V99" s="293"/>
      <c r="W99" s="293"/>
      <c r="X99" s="293"/>
      <c r="Y99" s="293"/>
      <c r="Z99" s="293"/>
      <c r="AA99" s="293"/>
      <c r="AB99" s="293"/>
      <c r="AC99" s="293"/>
      <c r="AD99" s="293"/>
      <c r="AE99" s="293"/>
      <c r="AF99" s="293"/>
      <c r="AG99" s="293"/>
      <c r="AH99" s="293"/>
      <c r="AI99" s="293"/>
      <c r="AJ99" s="293"/>
      <c r="AK99" s="293"/>
      <c r="AL99" s="293"/>
      <c r="AM99" s="293"/>
      <c r="AN99" s="293"/>
      <c r="AO99" s="293"/>
      <c r="AP99" s="293"/>
      <c r="AQ99" s="293"/>
      <c r="AR99" s="293"/>
      <c r="AS99" s="293"/>
      <c r="AT99" s="293"/>
      <c r="AU99" s="293"/>
      <c r="AV99" s="293"/>
      <c r="AW99" s="293"/>
      <c r="AX99" s="293"/>
      <c r="AY99" s="293"/>
      <c r="AZ99" s="293"/>
      <c r="BA99" s="293"/>
      <c r="BB99" s="293"/>
      <c r="BC99" s="293"/>
      <c r="BD99" s="293"/>
      <c r="BE99" s="293"/>
      <c r="BF99" s="293"/>
      <c r="BG99" s="293"/>
      <c r="BH99" s="293"/>
      <c r="BI99" s="293"/>
      <c r="BJ99" s="293"/>
      <c r="BK99" s="293"/>
      <c r="BL99" s="293"/>
      <c r="BM99" s="293"/>
      <c r="BN99" s="293"/>
      <c r="BO99" s="293"/>
      <c r="BP99" s="293"/>
      <c r="BQ99" s="293"/>
      <c r="BR99" s="293"/>
      <c r="BS99" s="293"/>
      <c r="BT99" s="293"/>
      <c r="BU99" s="293"/>
      <c r="BV99" s="293"/>
      <c r="BW99" s="293"/>
      <c r="BX99" s="293"/>
      <c r="BY99" s="293"/>
      <c r="BZ99" s="293"/>
      <c r="CA99" s="293"/>
      <c r="CB99" s="293"/>
      <c r="CC99" s="293"/>
      <c r="CD99" s="293"/>
      <c r="CE99" s="293"/>
      <c r="CF99" s="293"/>
      <c r="CG99" s="293"/>
      <c r="CH99" s="293"/>
      <c r="CI99" s="293"/>
      <c r="CJ99" s="293"/>
      <c r="CK99" s="293"/>
      <c r="CL99" s="293"/>
      <c r="CM99" s="293"/>
      <c r="CN99" s="293"/>
      <c r="CO99" s="293"/>
      <c r="CP99" s="293"/>
      <c r="CQ99" s="293"/>
      <c r="CR99" s="293"/>
      <c r="CS99" s="293"/>
      <c r="CT99" s="293"/>
      <c r="CU99" s="293"/>
      <c r="CV99" s="293"/>
      <c r="CW99" s="293"/>
      <c r="CX99" s="293"/>
      <c r="CY99" s="293"/>
      <c r="CZ99" s="293"/>
      <c r="DA99" s="293"/>
      <c r="DB99" s="293"/>
      <c r="DC99" s="293"/>
      <c r="DD99" s="293"/>
      <c r="DE99" s="293"/>
      <c r="DF99" s="293"/>
      <c r="DG99" s="293"/>
      <c r="DH99" s="293"/>
      <c r="DI99" s="293"/>
      <c r="DJ99" s="293"/>
      <c r="DK99" s="293"/>
      <c r="DL99" s="293"/>
      <c r="DM99" s="293"/>
      <c r="DN99" s="293"/>
      <c r="DO99" s="293"/>
      <c r="DP99" s="293"/>
      <c r="DQ99" s="293"/>
      <c r="DR99" s="293"/>
      <c r="DS99" s="288"/>
      <c r="DT99" s="288"/>
      <c r="DU99" s="288"/>
      <c r="DV99" s="288"/>
      <c r="DW99" s="288"/>
      <c r="DX99" s="288"/>
      <c r="DY99" s="288"/>
      <c r="DZ99" s="288"/>
      <c r="EA99" s="288"/>
      <c r="EB99" s="288"/>
      <c r="EC99" s="288"/>
      <c r="ED99" s="288"/>
      <c r="EE99" s="288"/>
      <c r="EF99" s="288"/>
      <c r="EG99" s="288"/>
      <c r="EH99" s="288"/>
      <c r="EI99" s="288"/>
      <c r="EJ99" s="288"/>
      <c r="EK99" s="288"/>
      <c r="EL99" s="288"/>
      <c r="EM99" s="288"/>
      <c r="EN99" s="288"/>
      <c r="EO99" s="288"/>
      <c r="EP99" s="288"/>
      <c r="EQ99" s="288"/>
      <c r="ER99" s="288"/>
      <c r="ES99" s="288"/>
      <c r="ET99" s="288"/>
      <c r="EU99" s="288"/>
      <c r="EV99" s="288"/>
      <c r="EW99" s="288"/>
      <c r="EX99" s="288"/>
      <c r="EY99" s="288"/>
      <c r="EZ99" s="288"/>
      <c r="FA99" s="288"/>
      <c r="FB99" s="288"/>
      <c r="FC99" s="288"/>
      <c r="FD99" s="288"/>
      <c r="FE99" s="288"/>
      <c r="FF99" s="288"/>
      <c r="FG99" s="288"/>
      <c r="FH99" s="288"/>
    </row>
    <row r="100" ht="14.25" customHeight="1">
      <c r="A100" s="293"/>
      <c r="B100" s="293"/>
      <c r="C100" s="293"/>
      <c r="D100" s="293"/>
      <c r="E100" s="293"/>
      <c r="F100" s="293"/>
      <c r="G100" s="293"/>
      <c r="H100" s="293"/>
      <c r="I100" s="293"/>
      <c r="J100" s="293"/>
      <c r="K100" s="293"/>
      <c r="L100" s="293"/>
      <c r="M100" s="293"/>
      <c r="N100" s="293"/>
      <c r="O100" s="293"/>
      <c r="P100" s="293"/>
      <c r="Q100" s="293"/>
      <c r="R100" s="293"/>
      <c r="S100" s="293"/>
      <c r="T100" s="293"/>
      <c r="U100" s="293"/>
      <c r="V100" s="293"/>
      <c r="W100" s="293"/>
      <c r="X100" s="293"/>
      <c r="Y100" s="293"/>
      <c r="Z100" s="293"/>
      <c r="AA100" s="293"/>
      <c r="AB100" s="293"/>
      <c r="AC100" s="293"/>
      <c r="AD100" s="293"/>
      <c r="AE100" s="293"/>
      <c r="AF100" s="293"/>
      <c r="AG100" s="293"/>
      <c r="AH100" s="293"/>
      <c r="AI100" s="293"/>
      <c r="AJ100" s="293"/>
      <c r="AK100" s="293"/>
      <c r="AL100" s="293"/>
      <c r="AM100" s="293"/>
      <c r="AN100" s="293"/>
      <c r="AO100" s="293"/>
      <c r="AP100" s="293"/>
      <c r="AQ100" s="293"/>
      <c r="AR100" s="293"/>
      <c r="AS100" s="293"/>
      <c r="AT100" s="293"/>
      <c r="AU100" s="293"/>
      <c r="AV100" s="293"/>
      <c r="AW100" s="293"/>
      <c r="AX100" s="293"/>
      <c r="AY100" s="293"/>
      <c r="AZ100" s="293"/>
      <c r="BA100" s="293"/>
      <c r="BB100" s="293"/>
      <c r="BC100" s="293"/>
      <c r="BD100" s="293"/>
      <c r="BE100" s="293"/>
      <c r="BF100" s="293"/>
      <c r="BG100" s="293"/>
      <c r="BH100" s="293"/>
      <c r="BI100" s="293"/>
      <c r="BJ100" s="293"/>
      <c r="BK100" s="293"/>
      <c r="BL100" s="293"/>
      <c r="BM100" s="293"/>
      <c r="BN100" s="293"/>
      <c r="BO100" s="293"/>
      <c r="BP100" s="293"/>
      <c r="BQ100" s="293"/>
      <c r="BR100" s="293"/>
      <c r="BS100" s="293"/>
      <c r="BT100" s="293"/>
      <c r="BU100" s="293"/>
      <c r="BV100" s="293"/>
      <c r="BW100" s="293"/>
      <c r="BX100" s="293"/>
      <c r="BY100" s="293"/>
      <c r="BZ100" s="293"/>
      <c r="CA100" s="293"/>
      <c r="CB100" s="293"/>
      <c r="CC100" s="293"/>
      <c r="CD100" s="293"/>
      <c r="CE100" s="293"/>
      <c r="CF100" s="293"/>
      <c r="CG100" s="293"/>
      <c r="CH100" s="293"/>
      <c r="CI100" s="293"/>
      <c r="CJ100" s="293"/>
      <c r="CK100" s="293"/>
      <c r="CL100" s="293"/>
      <c r="CM100" s="293"/>
      <c r="CN100" s="293"/>
      <c r="CO100" s="293"/>
      <c r="CP100" s="293"/>
      <c r="CQ100" s="293"/>
      <c r="CR100" s="293"/>
      <c r="CS100" s="293"/>
      <c r="CT100" s="293"/>
      <c r="CU100" s="293"/>
      <c r="CV100" s="293"/>
      <c r="CW100" s="293"/>
      <c r="CX100" s="293"/>
      <c r="CY100" s="293"/>
      <c r="CZ100" s="293"/>
      <c r="DA100" s="293"/>
      <c r="DB100" s="293"/>
      <c r="DC100" s="293"/>
      <c r="DD100" s="293"/>
      <c r="DE100" s="293"/>
      <c r="DF100" s="293"/>
      <c r="DG100" s="293"/>
      <c r="DH100" s="293"/>
      <c r="DI100" s="293"/>
      <c r="DJ100" s="293"/>
      <c r="DK100" s="293"/>
      <c r="DL100" s="293"/>
      <c r="DM100" s="293"/>
      <c r="DN100" s="293"/>
      <c r="DO100" s="293"/>
      <c r="DP100" s="293"/>
      <c r="DQ100" s="293"/>
      <c r="DR100" s="293"/>
      <c r="DS100" s="288"/>
      <c r="DT100" s="288"/>
      <c r="DU100" s="288"/>
      <c r="DV100" s="288"/>
      <c r="DW100" s="288"/>
      <c r="DX100" s="288"/>
      <c r="DY100" s="288"/>
      <c r="DZ100" s="288"/>
      <c r="EA100" s="288"/>
      <c r="EB100" s="288"/>
      <c r="EC100" s="288"/>
      <c r="ED100" s="288"/>
      <c r="EE100" s="288"/>
      <c r="EF100" s="288"/>
      <c r="EG100" s="288"/>
      <c r="EH100" s="288"/>
      <c r="EI100" s="288"/>
      <c r="EJ100" s="288"/>
      <c r="EK100" s="288"/>
      <c r="EL100" s="288"/>
      <c r="EM100" s="288"/>
      <c r="EN100" s="288"/>
      <c r="EO100" s="288"/>
      <c r="EP100" s="288"/>
      <c r="EQ100" s="288"/>
      <c r="ER100" s="288"/>
      <c r="ES100" s="288"/>
      <c r="ET100" s="288"/>
      <c r="EU100" s="288"/>
      <c r="EV100" s="288"/>
      <c r="EW100" s="288"/>
      <c r="EX100" s="288"/>
      <c r="EY100" s="288"/>
      <c r="EZ100" s="288"/>
      <c r="FA100" s="288"/>
      <c r="FB100" s="288"/>
      <c r="FC100" s="288"/>
      <c r="FD100" s="288"/>
      <c r="FE100" s="288"/>
      <c r="FF100" s="288"/>
      <c r="FG100" s="288"/>
      <c r="FH100" s="288"/>
    </row>
    <row r="101" ht="14.25" customHeight="1">
      <c r="A101" s="293"/>
      <c r="B101" s="293"/>
      <c r="C101" s="293"/>
      <c r="D101" s="293"/>
      <c r="E101" s="293"/>
      <c r="F101" s="293"/>
      <c r="G101" s="293"/>
      <c r="H101" s="293"/>
      <c r="I101" s="293"/>
      <c r="J101" s="293"/>
      <c r="K101" s="293"/>
      <c r="L101" s="293"/>
      <c r="M101" s="293"/>
      <c r="N101" s="293"/>
      <c r="O101" s="293"/>
      <c r="P101" s="293"/>
      <c r="Q101" s="293"/>
      <c r="R101" s="293"/>
      <c r="S101" s="293"/>
      <c r="T101" s="293"/>
      <c r="U101" s="293"/>
      <c r="V101" s="293"/>
      <c r="W101" s="293"/>
      <c r="X101" s="293"/>
      <c r="Y101" s="293"/>
      <c r="Z101" s="293"/>
      <c r="AA101" s="293"/>
      <c r="AB101" s="293"/>
      <c r="AC101" s="293"/>
      <c r="AD101" s="293"/>
      <c r="AE101" s="293"/>
      <c r="AF101" s="293"/>
      <c r="AG101" s="293"/>
      <c r="AH101" s="293"/>
      <c r="AI101" s="293"/>
      <c r="AJ101" s="293"/>
      <c r="AK101" s="293"/>
      <c r="AL101" s="293"/>
      <c r="AM101" s="293"/>
      <c r="AN101" s="293"/>
      <c r="AO101" s="293"/>
      <c r="AP101" s="293"/>
      <c r="AQ101" s="293"/>
      <c r="AR101" s="293"/>
      <c r="AS101" s="293"/>
      <c r="AT101" s="293"/>
      <c r="AU101" s="293"/>
      <c r="AV101" s="293"/>
      <c r="AW101" s="293"/>
      <c r="AX101" s="293"/>
      <c r="AY101" s="293"/>
      <c r="AZ101" s="293"/>
      <c r="BA101" s="293"/>
      <c r="BB101" s="293"/>
      <c r="BC101" s="293"/>
      <c r="BD101" s="293"/>
      <c r="BE101" s="293"/>
      <c r="BF101" s="293"/>
      <c r="BG101" s="293"/>
      <c r="BH101" s="293"/>
      <c r="BI101" s="293"/>
      <c r="BJ101" s="293"/>
      <c r="BK101" s="293"/>
      <c r="BL101" s="293"/>
      <c r="BM101" s="293"/>
      <c r="BN101" s="293"/>
      <c r="BO101" s="293"/>
      <c r="BP101" s="293"/>
      <c r="BQ101" s="293"/>
      <c r="BR101" s="293"/>
      <c r="BS101" s="293"/>
      <c r="BT101" s="293"/>
      <c r="BU101" s="293"/>
      <c r="BV101" s="293"/>
      <c r="BW101" s="293"/>
      <c r="BX101" s="293"/>
      <c r="BY101" s="293"/>
      <c r="BZ101" s="293"/>
      <c r="CA101" s="293"/>
      <c r="CB101" s="293"/>
      <c r="CC101" s="293"/>
      <c r="CD101" s="293"/>
      <c r="CE101" s="293"/>
      <c r="CF101" s="293"/>
      <c r="CG101" s="293"/>
      <c r="CH101" s="293"/>
      <c r="CI101" s="293"/>
      <c r="CJ101" s="293"/>
      <c r="CK101" s="293"/>
      <c r="CL101" s="293"/>
      <c r="CM101" s="293"/>
      <c r="CN101" s="293"/>
      <c r="CO101" s="293"/>
      <c r="CP101" s="293"/>
      <c r="CQ101" s="293"/>
      <c r="CR101" s="293"/>
      <c r="CS101" s="293"/>
      <c r="CT101" s="293"/>
      <c r="CU101" s="293"/>
      <c r="CV101" s="293"/>
      <c r="CW101" s="293"/>
      <c r="CX101" s="293"/>
      <c r="CY101" s="293"/>
      <c r="CZ101" s="293"/>
      <c r="DA101" s="293"/>
      <c r="DB101" s="293"/>
      <c r="DC101" s="293"/>
      <c r="DD101" s="293"/>
      <c r="DE101" s="293"/>
      <c r="DF101" s="293"/>
      <c r="DG101" s="293"/>
      <c r="DH101" s="293"/>
      <c r="DI101" s="293"/>
      <c r="DJ101" s="293"/>
      <c r="DK101" s="293"/>
      <c r="DL101" s="293"/>
      <c r="DM101" s="293"/>
      <c r="DN101" s="293"/>
      <c r="DO101" s="293"/>
      <c r="DP101" s="293"/>
      <c r="DQ101" s="293"/>
      <c r="DR101" s="293"/>
      <c r="DS101" s="288"/>
      <c r="DT101" s="288"/>
      <c r="DU101" s="288"/>
      <c r="DV101" s="288"/>
      <c r="DW101" s="288"/>
      <c r="DX101" s="288"/>
      <c r="DY101" s="288"/>
      <c r="DZ101" s="288"/>
      <c r="EA101" s="288"/>
      <c r="EB101" s="288"/>
      <c r="EC101" s="288"/>
      <c r="ED101" s="288"/>
      <c r="EE101" s="288"/>
      <c r="EF101" s="288"/>
      <c r="EG101" s="288"/>
      <c r="EH101" s="288"/>
      <c r="EI101" s="288"/>
      <c r="EJ101" s="288"/>
      <c r="EK101" s="288"/>
      <c r="EL101" s="288"/>
      <c r="EM101" s="288"/>
      <c r="EN101" s="288"/>
      <c r="EO101" s="288"/>
      <c r="EP101" s="288"/>
      <c r="EQ101" s="288"/>
      <c r="ER101" s="288"/>
      <c r="ES101" s="288"/>
      <c r="ET101" s="288"/>
      <c r="EU101" s="288"/>
      <c r="EV101" s="288"/>
      <c r="EW101" s="288"/>
      <c r="EX101" s="288"/>
      <c r="EY101" s="288"/>
      <c r="EZ101" s="288"/>
      <c r="FA101" s="288"/>
      <c r="FB101" s="288"/>
      <c r="FC101" s="288"/>
      <c r="FD101" s="288"/>
      <c r="FE101" s="288"/>
      <c r="FF101" s="288"/>
      <c r="FG101" s="288"/>
      <c r="FH101" s="288"/>
    </row>
    <row r="102" ht="14.25" customHeight="1">
      <c r="A102" s="293"/>
      <c r="B102" s="293"/>
      <c r="C102" s="293"/>
      <c r="D102" s="293"/>
      <c r="E102" s="293"/>
      <c r="F102" s="293"/>
      <c r="G102" s="293"/>
      <c r="H102" s="293"/>
      <c r="I102" s="293"/>
      <c r="J102" s="293"/>
      <c r="K102" s="293"/>
      <c r="L102" s="293"/>
      <c r="M102" s="293"/>
      <c r="N102" s="293"/>
      <c r="O102" s="293"/>
      <c r="P102" s="293"/>
      <c r="Q102" s="293"/>
      <c r="R102" s="293"/>
      <c r="S102" s="293"/>
      <c r="T102" s="293"/>
      <c r="U102" s="293"/>
      <c r="V102" s="293"/>
      <c r="W102" s="293"/>
      <c r="X102" s="293"/>
      <c r="Y102" s="293"/>
      <c r="Z102" s="293"/>
      <c r="AA102" s="293"/>
      <c r="AB102" s="293"/>
      <c r="AC102" s="293"/>
      <c r="AD102" s="293"/>
      <c r="AE102" s="293"/>
      <c r="AF102" s="293"/>
      <c r="AG102" s="293"/>
      <c r="AH102" s="293"/>
      <c r="AI102" s="293"/>
      <c r="AJ102" s="293"/>
      <c r="AK102" s="293"/>
      <c r="AL102" s="293"/>
      <c r="AM102" s="293"/>
      <c r="AN102" s="293"/>
      <c r="AO102" s="293"/>
      <c r="AP102" s="293"/>
      <c r="AQ102" s="293"/>
      <c r="AR102" s="293"/>
      <c r="AS102" s="293"/>
      <c r="AT102" s="293"/>
      <c r="AU102" s="293"/>
      <c r="AV102" s="293"/>
      <c r="AW102" s="293"/>
      <c r="AX102" s="293"/>
      <c r="AY102" s="293"/>
      <c r="AZ102" s="293"/>
      <c r="BA102" s="293"/>
      <c r="BB102" s="293"/>
      <c r="BC102" s="293"/>
      <c r="BD102" s="293"/>
      <c r="BE102" s="293"/>
      <c r="BF102" s="293"/>
      <c r="BG102" s="293"/>
      <c r="BH102" s="293"/>
      <c r="BI102" s="293"/>
      <c r="BJ102" s="293"/>
      <c r="BK102" s="293"/>
      <c r="BL102" s="293"/>
      <c r="BM102" s="293"/>
      <c r="BN102" s="293"/>
      <c r="BO102" s="293"/>
      <c r="BP102" s="293"/>
      <c r="BQ102" s="293"/>
      <c r="BR102" s="293"/>
      <c r="BS102" s="293"/>
      <c r="BT102" s="293"/>
      <c r="BU102" s="293"/>
      <c r="BV102" s="293"/>
      <c r="BW102" s="293"/>
      <c r="BX102" s="293"/>
      <c r="BY102" s="293"/>
      <c r="BZ102" s="293"/>
      <c r="CA102" s="293"/>
      <c r="CB102" s="293"/>
      <c r="CC102" s="293"/>
      <c r="CD102" s="293"/>
      <c r="CE102" s="293"/>
      <c r="CF102" s="293"/>
      <c r="CG102" s="293"/>
      <c r="CH102" s="293"/>
      <c r="CI102" s="293"/>
      <c r="CJ102" s="293"/>
      <c r="CK102" s="293"/>
      <c r="CL102" s="293"/>
      <c r="CM102" s="293"/>
      <c r="CN102" s="293"/>
      <c r="CO102" s="293"/>
      <c r="CP102" s="293"/>
      <c r="CQ102" s="293"/>
      <c r="CR102" s="293"/>
      <c r="CS102" s="293"/>
      <c r="CT102" s="293"/>
      <c r="CU102" s="293"/>
      <c r="CV102" s="293"/>
      <c r="CW102" s="293"/>
      <c r="CX102" s="293"/>
      <c r="CY102" s="293"/>
      <c r="CZ102" s="293"/>
      <c r="DA102" s="293"/>
      <c r="DB102" s="293"/>
      <c r="DC102" s="293"/>
      <c r="DD102" s="293"/>
      <c r="DE102" s="293"/>
      <c r="DF102" s="293"/>
      <c r="DG102" s="293"/>
      <c r="DH102" s="293"/>
      <c r="DI102" s="293"/>
      <c r="DJ102" s="293"/>
      <c r="DK102" s="293"/>
      <c r="DL102" s="293"/>
      <c r="DM102" s="293"/>
      <c r="DN102" s="293"/>
      <c r="DO102" s="293"/>
      <c r="DP102" s="293"/>
      <c r="DQ102" s="293"/>
      <c r="DR102" s="293"/>
      <c r="DS102" s="288"/>
      <c r="DT102" s="288"/>
      <c r="DU102" s="288"/>
      <c r="DV102" s="288"/>
      <c r="DW102" s="288"/>
      <c r="DX102" s="288"/>
      <c r="DY102" s="288"/>
      <c r="DZ102" s="288"/>
      <c r="EA102" s="288"/>
      <c r="EB102" s="288"/>
      <c r="EC102" s="288"/>
      <c r="ED102" s="288"/>
      <c r="EE102" s="288"/>
      <c r="EF102" s="288"/>
      <c r="EG102" s="288"/>
      <c r="EH102" s="288"/>
      <c r="EI102" s="288"/>
      <c r="EJ102" s="288"/>
      <c r="EK102" s="288"/>
      <c r="EL102" s="288"/>
      <c r="EM102" s="288"/>
      <c r="EN102" s="288"/>
      <c r="EO102" s="288"/>
      <c r="EP102" s="288"/>
      <c r="EQ102" s="288"/>
      <c r="ER102" s="288"/>
      <c r="ES102" s="288"/>
      <c r="ET102" s="288"/>
      <c r="EU102" s="288"/>
      <c r="EV102" s="288"/>
      <c r="EW102" s="288"/>
      <c r="EX102" s="288"/>
      <c r="EY102" s="288"/>
      <c r="EZ102" s="288"/>
      <c r="FA102" s="288"/>
      <c r="FB102" s="288"/>
      <c r="FC102" s="288"/>
      <c r="FD102" s="288"/>
      <c r="FE102" s="288"/>
      <c r="FF102" s="288"/>
      <c r="FG102" s="288"/>
      <c r="FH102" s="288"/>
    </row>
    <row r="103" ht="14.25" customHeight="1">
      <c r="A103" s="293"/>
      <c r="B103" s="293"/>
      <c r="C103" s="293"/>
      <c r="D103" s="293"/>
      <c r="E103" s="293"/>
      <c r="F103" s="293"/>
      <c r="G103" s="293"/>
      <c r="H103" s="293"/>
      <c r="I103" s="293"/>
      <c r="J103" s="293"/>
      <c r="K103" s="293"/>
      <c r="L103" s="293"/>
      <c r="M103" s="293"/>
      <c r="N103" s="293"/>
      <c r="O103" s="293"/>
      <c r="P103" s="293"/>
      <c r="Q103" s="293"/>
      <c r="R103" s="293"/>
      <c r="S103" s="293"/>
      <c r="T103" s="293"/>
      <c r="U103" s="293"/>
      <c r="V103" s="293"/>
      <c r="W103" s="293"/>
      <c r="X103" s="293"/>
      <c r="Y103" s="293"/>
      <c r="Z103" s="293"/>
      <c r="AA103" s="293"/>
      <c r="AB103" s="293"/>
      <c r="AC103" s="293"/>
      <c r="AD103" s="293"/>
      <c r="AE103" s="293"/>
      <c r="AF103" s="293"/>
      <c r="AG103" s="293"/>
      <c r="AH103" s="293"/>
      <c r="AI103" s="293"/>
      <c r="AJ103" s="293"/>
      <c r="AK103" s="293"/>
      <c r="AL103" s="293"/>
      <c r="AM103" s="293"/>
      <c r="AN103" s="293"/>
      <c r="AO103" s="293"/>
      <c r="AP103" s="293"/>
      <c r="AQ103" s="293"/>
      <c r="AR103" s="293"/>
      <c r="AS103" s="293"/>
      <c r="AT103" s="293"/>
      <c r="AU103" s="293"/>
      <c r="AV103" s="293"/>
      <c r="AW103" s="293"/>
      <c r="AX103" s="293"/>
      <c r="AY103" s="293"/>
      <c r="AZ103" s="293"/>
      <c r="BA103" s="293"/>
      <c r="BB103" s="293"/>
      <c r="BC103" s="293"/>
      <c r="BD103" s="293"/>
      <c r="BE103" s="293"/>
      <c r="BF103" s="293"/>
      <c r="BG103" s="293"/>
      <c r="BH103" s="293"/>
      <c r="BI103" s="293"/>
      <c r="BJ103" s="293"/>
      <c r="BK103" s="293"/>
      <c r="BL103" s="293"/>
      <c r="BM103" s="293"/>
      <c r="BN103" s="293"/>
      <c r="BO103" s="293"/>
      <c r="BP103" s="293"/>
      <c r="BQ103" s="293"/>
      <c r="BR103" s="293"/>
      <c r="BS103" s="293"/>
      <c r="BT103" s="293"/>
      <c r="BU103" s="293"/>
      <c r="BV103" s="293"/>
      <c r="BW103" s="293"/>
      <c r="BX103" s="293"/>
      <c r="BY103" s="293"/>
      <c r="BZ103" s="293"/>
      <c r="CA103" s="293"/>
      <c r="CB103" s="293"/>
      <c r="CC103" s="293"/>
      <c r="CD103" s="293"/>
      <c r="CE103" s="293"/>
      <c r="CF103" s="293"/>
      <c r="CG103" s="293"/>
      <c r="CH103" s="293"/>
      <c r="CI103" s="293"/>
      <c r="CJ103" s="293"/>
      <c r="CK103" s="293"/>
      <c r="CL103" s="293"/>
      <c r="CM103" s="293"/>
      <c r="CN103" s="293"/>
      <c r="CO103" s="293"/>
      <c r="CP103" s="293"/>
      <c r="CQ103" s="293"/>
      <c r="CR103" s="293"/>
      <c r="CS103" s="293"/>
      <c r="CT103" s="293"/>
      <c r="CU103" s="293"/>
      <c r="CV103" s="293"/>
      <c r="CW103" s="293"/>
      <c r="CX103" s="293"/>
      <c r="CY103" s="293"/>
      <c r="CZ103" s="293"/>
      <c r="DA103" s="293"/>
      <c r="DB103" s="293"/>
      <c r="DC103" s="293"/>
      <c r="DD103" s="293"/>
      <c r="DE103" s="293"/>
      <c r="DF103" s="293"/>
      <c r="DG103" s="293"/>
      <c r="DH103" s="293"/>
      <c r="DI103" s="293"/>
      <c r="DJ103" s="293"/>
      <c r="DK103" s="293"/>
      <c r="DL103" s="293"/>
      <c r="DM103" s="293"/>
      <c r="DN103" s="293"/>
      <c r="DO103" s="293"/>
      <c r="DP103" s="293"/>
      <c r="DQ103" s="293"/>
      <c r="DR103" s="293"/>
      <c r="DS103" s="288"/>
      <c r="DT103" s="288"/>
      <c r="DU103" s="288"/>
      <c r="DV103" s="288"/>
      <c r="DW103" s="288"/>
      <c r="DX103" s="288"/>
      <c r="DY103" s="288"/>
      <c r="DZ103" s="288"/>
      <c r="EA103" s="288"/>
      <c r="EB103" s="288"/>
      <c r="EC103" s="288"/>
      <c r="ED103" s="288"/>
      <c r="EE103" s="288"/>
      <c r="EF103" s="288"/>
      <c r="EG103" s="288"/>
      <c r="EH103" s="288"/>
      <c r="EI103" s="288"/>
      <c r="EJ103" s="288"/>
      <c r="EK103" s="288"/>
      <c r="EL103" s="288"/>
      <c r="EM103" s="288"/>
      <c r="EN103" s="288"/>
      <c r="EO103" s="288"/>
      <c r="EP103" s="288"/>
      <c r="EQ103" s="288"/>
      <c r="ER103" s="288"/>
      <c r="ES103" s="288"/>
      <c r="ET103" s="288"/>
      <c r="EU103" s="288"/>
      <c r="EV103" s="288"/>
      <c r="EW103" s="288"/>
      <c r="EX103" s="288"/>
      <c r="EY103" s="288"/>
      <c r="EZ103" s="288"/>
      <c r="FA103" s="288"/>
      <c r="FB103" s="288"/>
      <c r="FC103" s="288"/>
      <c r="FD103" s="288"/>
      <c r="FE103" s="288"/>
      <c r="FF103" s="288"/>
      <c r="FG103" s="288"/>
      <c r="FH103" s="288"/>
    </row>
    <row r="104" ht="14.25" customHeight="1">
      <c r="A104" s="293"/>
      <c r="B104" s="293"/>
      <c r="C104" s="293"/>
      <c r="D104" s="293"/>
      <c r="E104" s="293"/>
      <c r="F104" s="293"/>
      <c r="G104" s="293"/>
      <c r="H104" s="293"/>
      <c r="I104" s="293"/>
      <c r="J104" s="293"/>
      <c r="K104" s="293"/>
      <c r="L104" s="293"/>
      <c r="M104" s="293"/>
      <c r="N104" s="293"/>
      <c r="O104" s="293"/>
      <c r="P104" s="293"/>
      <c r="Q104" s="293"/>
      <c r="R104" s="293"/>
      <c r="S104" s="293"/>
      <c r="T104" s="293"/>
      <c r="U104" s="293"/>
      <c r="V104" s="293"/>
      <c r="W104" s="293"/>
      <c r="X104" s="293"/>
      <c r="Y104" s="293"/>
      <c r="Z104" s="293"/>
      <c r="AA104" s="293"/>
      <c r="AB104" s="293"/>
      <c r="AC104" s="293"/>
      <c r="AD104" s="293"/>
      <c r="AE104" s="293"/>
      <c r="AF104" s="293"/>
      <c r="AG104" s="293"/>
      <c r="AH104" s="293"/>
      <c r="AI104" s="293"/>
      <c r="AJ104" s="293"/>
      <c r="AK104" s="293"/>
      <c r="AL104" s="293"/>
      <c r="AM104" s="293"/>
      <c r="AN104" s="293"/>
      <c r="AO104" s="293"/>
      <c r="AP104" s="293"/>
      <c r="AQ104" s="293"/>
      <c r="AR104" s="293"/>
      <c r="AS104" s="293"/>
      <c r="AT104" s="293"/>
      <c r="AU104" s="293"/>
      <c r="AV104" s="293"/>
      <c r="AW104" s="293"/>
      <c r="AX104" s="293"/>
      <c r="AY104" s="293"/>
      <c r="AZ104" s="293"/>
      <c r="BA104" s="293"/>
      <c r="BB104" s="293"/>
      <c r="BC104" s="293"/>
      <c r="BD104" s="293"/>
      <c r="BE104" s="293"/>
      <c r="BF104" s="293"/>
      <c r="BG104" s="293"/>
      <c r="BH104" s="293"/>
      <c r="BI104" s="293"/>
      <c r="BJ104" s="293"/>
      <c r="BK104" s="293"/>
      <c r="BL104" s="293"/>
      <c r="BM104" s="293"/>
      <c r="BN104" s="293"/>
      <c r="BO104" s="293"/>
      <c r="BP104" s="293"/>
      <c r="BQ104" s="293"/>
      <c r="BR104" s="293"/>
      <c r="BS104" s="293"/>
      <c r="BT104" s="293"/>
      <c r="BU104" s="293"/>
      <c r="BV104" s="293"/>
      <c r="BW104" s="293"/>
      <c r="BX104" s="293"/>
      <c r="BY104" s="293"/>
      <c r="BZ104" s="293"/>
      <c r="CA104" s="293"/>
      <c r="CB104" s="293"/>
      <c r="CC104" s="293"/>
      <c r="CD104" s="293"/>
      <c r="CE104" s="293"/>
      <c r="CF104" s="293"/>
      <c r="CG104" s="293"/>
      <c r="CH104" s="293"/>
      <c r="CI104" s="293"/>
      <c r="CJ104" s="293"/>
      <c r="CK104" s="293"/>
      <c r="CL104" s="293"/>
      <c r="CM104" s="293"/>
      <c r="CN104" s="293"/>
      <c r="CO104" s="293"/>
      <c r="CP104" s="293"/>
      <c r="CQ104" s="293"/>
      <c r="CR104" s="293"/>
      <c r="CS104" s="293"/>
      <c r="CT104" s="293"/>
      <c r="CU104" s="293"/>
      <c r="CV104" s="293"/>
      <c r="CW104" s="293"/>
      <c r="CX104" s="293"/>
      <c r="CY104" s="293"/>
      <c r="CZ104" s="293"/>
      <c r="DA104" s="293"/>
      <c r="DB104" s="293"/>
      <c r="DC104" s="293"/>
      <c r="DD104" s="293"/>
      <c r="DE104" s="293"/>
      <c r="DF104" s="293"/>
      <c r="DG104" s="293"/>
      <c r="DH104" s="293"/>
      <c r="DI104" s="293"/>
      <c r="DJ104" s="293"/>
      <c r="DK104" s="293"/>
      <c r="DL104" s="293"/>
      <c r="DM104" s="293"/>
      <c r="DN104" s="293"/>
      <c r="DO104" s="293"/>
      <c r="DP104" s="293"/>
      <c r="DQ104" s="293"/>
      <c r="DR104" s="293"/>
      <c r="DS104" s="288"/>
      <c r="DT104" s="288"/>
      <c r="DU104" s="288"/>
      <c r="DV104" s="288"/>
      <c r="DW104" s="288"/>
      <c r="DX104" s="288"/>
      <c r="DY104" s="288"/>
      <c r="DZ104" s="288"/>
      <c r="EA104" s="288"/>
      <c r="EB104" s="288"/>
      <c r="EC104" s="288"/>
      <c r="ED104" s="288"/>
      <c r="EE104" s="288"/>
      <c r="EF104" s="288"/>
      <c r="EG104" s="288"/>
      <c r="EH104" s="288"/>
      <c r="EI104" s="288"/>
      <c r="EJ104" s="288"/>
      <c r="EK104" s="288"/>
      <c r="EL104" s="288"/>
      <c r="EM104" s="288"/>
      <c r="EN104" s="288"/>
      <c r="EO104" s="288"/>
      <c r="EP104" s="288"/>
      <c r="EQ104" s="288"/>
      <c r="ER104" s="288"/>
      <c r="ES104" s="288"/>
      <c r="ET104" s="288"/>
      <c r="EU104" s="288"/>
      <c r="EV104" s="288"/>
      <c r="EW104" s="288"/>
      <c r="EX104" s="288"/>
      <c r="EY104" s="288"/>
      <c r="EZ104" s="288"/>
      <c r="FA104" s="288"/>
      <c r="FB104" s="288"/>
      <c r="FC104" s="288"/>
      <c r="FD104" s="288"/>
      <c r="FE104" s="288"/>
      <c r="FF104" s="288"/>
      <c r="FG104" s="288"/>
      <c r="FH104" s="288"/>
    </row>
    <row r="105" ht="14.25" customHeight="1">
      <c r="A105" s="293"/>
      <c r="B105" s="293"/>
      <c r="C105" s="293"/>
      <c r="D105" s="293"/>
      <c r="E105" s="293"/>
      <c r="F105" s="293"/>
      <c r="G105" s="293"/>
      <c r="H105" s="293"/>
      <c r="I105" s="293"/>
      <c r="J105" s="293"/>
      <c r="K105" s="293"/>
      <c r="L105" s="293"/>
      <c r="M105" s="293"/>
      <c r="N105" s="293"/>
      <c r="O105" s="293"/>
      <c r="P105" s="293"/>
      <c r="Q105" s="293"/>
      <c r="R105" s="293"/>
      <c r="S105" s="293"/>
      <c r="T105" s="293"/>
      <c r="U105" s="293"/>
      <c r="V105" s="293"/>
      <c r="W105" s="293"/>
      <c r="X105" s="293"/>
      <c r="Y105" s="293"/>
      <c r="Z105" s="293"/>
      <c r="AA105" s="293"/>
      <c r="AB105" s="293"/>
      <c r="AC105" s="293"/>
      <c r="AD105" s="293"/>
      <c r="AE105" s="293"/>
      <c r="AF105" s="293"/>
      <c r="AG105" s="293"/>
      <c r="AH105" s="293"/>
      <c r="AI105" s="293"/>
      <c r="AJ105" s="293"/>
      <c r="AK105" s="293"/>
      <c r="AL105" s="293"/>
      <c r="AM105" s="293"/>
      <c r="AN105" s="293"/>
      <c r="AO105" s="293"/>
      <c r="AP105" s="293"/>
      <c r="AQ105" s="293"/>
      <c r="AR105" s="293"/>
      <c r="AS105" s="293"/>
      <c r="AT105" s="293"/>
      <c r="AU105" s="293"/>
      <c r="AV105" s="293"/>
      <c r="AW105" s="293"/>
      <c r="AX105" s="293"/>
      <c r="AY105" s="293"/>
      <c r="AZ105" s="293"/>
      <c r="BA105" s="293"/>
      <c r="BB105" s="293"/>
      <c r="BC105" s="293"/>
      <c r="BD105" s="293"/>
      <c r="BE105" s="293"/>
      <c r="BF105" s="293"/>
      <c r="BG105" s="293"/>
      <c r="BH105" s="293"/>
      <c r="BI105" s="293"/>
      <c r="BJ105" s="293"/>
      <c r="BK105" s="293"/>
      <c r="BL105" s="293"/>
      <c r="BM105" s="293"/>
      <c r="BN105" s="293"/>
      <c r="BO105" s="293"/>
      <c r="BP105" s="293"/>
      <c r="BQ105" s="293"/>
      <c r="BR105" s="293"/>
      <c r="BS105" s="293"/>
      <c r="BT105" s="293"/>
      <c r="BU105" s="293"/>
      <c r="BV105" s="293"/>
      <c r="BW105" s="293"/>
      <c r="BX105" s="293"/>
      <c r="BY105" s="293"/>
      <c r="BZ105" s="293"/>
      <c r="CA105" s="293"/>
      <c r="CB105" s="293"/>
      <c r="CC105" s="293"/>
      <c r="CD105" s="293"/>
      <c r="CE105" s="293"/>
      <c r="CF105" s="293"/>
      <c r="CG105" s="293"/>
      <c r="CH105" s="293"/>
      <c r="CI105" s="293"/>
      <c r="CJ105" s="293"/>
      <c r="CK105" s="293"/>
      <c r="CL105" s="293"/>
      <c r="CM105" s="293"/>
      <c r="CN105" s="293"/>
      <c r="CO105" s="293"/>
      <c r="CP105" s="293"/>
      <c r="CQ105" s="293"/>
      <c r="CR105" s="293"/>
      <c r="CS105" s="293"/>
      <c r="CT105" s="293"/>
      <c r="CU105" s="293"/>
      <c r="CV105" s="293"/>
      <c r="CW105" s="293"/>
      <c r="CX105" s="293"/>
      <c r="CY105" s="293"/>
      <c r="CZ105" s="293"/>
      <c r="DA105" s="293"/>
      <c r="DB105" s="293"/>
      <c r="DC105" s="293"/>
      <c r="DD105" s="293"/>
      <c r="DE105" s="293"/>
      <c r="DF105" s="293"/>
      <c r="DG105" s="293"/>
      <c r="DH105" s="293"/>
      <c r="DI105" s="293"/>
      <c r="DJ105" s="293"/>
      <c r="DK105" s="293"/>
      <c r="DL105" s="293"/>
      <c r="DM105" s="293"/>
      <c r="DN105" s="293"/>
      <c r="DO105" s="293"/>
      <c r="DP105" s="293"/>
      <c r="DQ105" s="293"/>
      <c r="DR105" s="293"/>
      <c r="DS105" s="288"/>
      <c r="DT105" s="288"/>
      <c r="DU105" s="288"/>
      <c r="DV105" s="288"/>
      <c r="DW105" s="288"/>
      <c r="DX105" s="288"/>
      <c r="DY105" s="288"/>
      <c r="DZ105" s="288"/>
      <c r="EA105" s="288"/>
      <c r="EB105" s="288"/>
      <c r="EC105" s="288"/>
      <c r="ED105" s="288"/>
      <c r="EE105" s="288"/>
      <c r="EF105" s="288"/>
      <c r="EG105" s="288"/>
      <c r="EH105" s="288"/>
      <c r="EI105" s="288"/>
      <c r="EJ105" s="288"/>
      <c r="EK105" s="288"/>
      <c r="EL105" s="288"/>
      <c r="EM105" s="288"/>
      <c r="EN105" s="288"/>
      <c r="EO105" s="288"/>
      <c r="EP105" s="288"/>
      <c r="EQ105" s="288"/>
      <c r="ER105" s="288"/>
      <c r="ES105" s="288"/>
      <c r="ET105" s="288"/>
      <c r="EU105" s="288"/>
      <c r="EV105" s="288"/>
      <c r="EW105" s="288"/>
      <c r="EX105" s="288"/>
      <c r="EY105" s="288"/>
      <c r="EZ105" s="288"/>
      <c r="FA105" s="288"/>
      <c r="FB105" s="288"/>
      <c r="FC105" s="288"/>
      <c r="FD105" s="288"/>
      <c r="FE105" s="288"/>
      <c r="FF105" s="288"/>
      <c r="FG105" s="288"/>
      <c r="FH105" s="288"/>
    </row>
    <row r="106" ht="14.25" customHeight="1">
      <c r="A106" s="293"/>
      <c r="B106" s="293"/>
      <c r="C106" s="293"/>
      <c r="D106" s="293"/>
      <c r="E106" s="293"/>
      <c r="F106" s="293"/>
      <c r="G106" s="293"/>
      <c r="H106" s="293"/>
      <c r="I106" s="293"/>
      <c r="J106" s="293"/>
      <c r="K106" s="293"/>
      <c r="L106" s="293"/>
      <c r="M106" s="293"/>
      <c r="N106" s="293"/>
      <c r="O106" s="293"/>
      <c r="P106" s="293"/>
      <c r="Q106" s="293"/>
      <c r="R106" s="293"/>
      <c r="S106" s="293"/>
      <c r="T106" s="293"/>
      <c r="U106" s="293"/>
      <c r="V106" s="293"/>
      <c r="W106" s="293"/>
      <c r="X106" s="293"/>
      <c r="Y106" s="293"/>
      <c r="Z106" s="293"/>
      <c r="AA106" s="293"/>
      <c r="AB106" s="293"/>
      <c r="AC106" s="293"/>
      <c r="AD106" s="293"/>
      <c r="AE106" s="293"/>
      <c r="AF106" s="293"/>
      <c r="AG106" s="293"/>
      <c r="AH106" s="293"/>
      <c r="AI106" s="293"/>
      <c r="AJ106" s="293"/>
      <c r="AK106" s="293"/>
      <c r="AL106" s="293"/>
      <c r="AM106" s="293"/>
      <c r="AN106" s="293"/>
      <c r="AO106" s="293"/>
      <c r="AP106" s="293"/>
      <c r="AQ106" s="293"/>
      <c r="AR106" s="293"/>
      <c r="AS106" s="293"/>
      <c r="AT106" s="293"/>
      <c r="AU106" s="293"/>
      <c r="AV106" s="293"/>
      <c r="AW106" s="293"/>
      <c r="AX106" s="293"/>
      <c r="AY106" s="293"/>
      <c r="AZ106" s="293"/>
      <c r="BA106" s="293"/>
      <c r="BB106" s="293"/>
      <c r="BC106" s="293"/>
      <c r="BD106" s="293"/>
      <c r="BE106" s="293"/>
      <c r="BF106" s="293"/>
      <c r="BG106" s="293"/>
      <c r="BH106" s="293"/>
      <c r="BI106" s="293"/>
      <c r="BJ106" s="293"/>
      <c r="BK106" s="293"/>
      <c r="BL106" s="293"/>
      <c r="BM106" s="293"/>
      <c r="BN106" s="293"/>
      <c r="BO106" s="293"/>
      <c r="BP106" s="293"/>
      <c r="BQ106" s="293"/>
      <c r="BR106" s="293"/>
      <c r="BS106" s="293"/>
      <c r="BT106" s="293"/>
      <c r="BU106" s="293"/>
      <c r="BV106" s="293"/>
      <c r="BW106" s="293"/>
      <c r="BX106" s="293"/>
      <c r="BY106" s="293"/>
      <c r="BZ106" s="293"/>
      <c r="CA106" s="293"/>
      <c r="CB106" s="293"/>
      <c r="CC106" s="293"/>
      <c r="CD106" s="293"/>
      <c r="CE106" s="293"/>
      <c r="CF106" s="293"/>
      <c r="CG106" s="293"/>
      <c r="CH106" s="293"/>
      <c r="CI106" s="293"/>
      <c r="CJ106" s="293"/>
      <c r="CK106" s="293"/>
      <c r="CL106" s="293"/>
      <c r="CM106" s="293"/>
      <c r="CN106" s="293"/>
      <c r="CO106" s="293"/>
      <c r="CP106" s="293"/>
      <c r="CQ106" s="293"/>
      <c r="CR106" s="293"/>
      <c r="CS106" s="293"/>
      <c r="CT106" s="293"/>
      <c r="CU106" s="293"/>
      <c r="CV106" s="293"/>
      <c r="CW106" s="293"/>
      <c r="CX106" s="293"/>
      <c r="CY106" s="293"/>
      <c r="CZ106" s="293"/>
      <c r="DA106" s="293"/>
      <c r="DB106" s="293"/>
      <c r="DC106" s="293"/>
      <c r="DD106" s="293"/>
      <c r="DE106" s="293"/>
      <c r="DF106" s="293"/>
      <c r="DG106" s="293"/>
      <c r="DH106" s="293"/>
      <c r="DI106" s="293"/>
      <c r="DJ106" s="293"/>
      <c r="DK106" s="293"/>
      <c r="DL106" s="293"/>
      <c r="DM106" s="293"/>
      <c r="DN106" s="293"/>
      <c r="DO106" s="293"/>
      <c r="DP106" s="293"/>
      <c r="DQ106" s="293"/>
      <c r="DR106" s="293"/>
      <c r="DS106" s="288"/>
      <c r="DT106" s="288"/>
      <c r="DU106" s="288"/>
      <c r="DV106" s="288"/>
      <c r="DW106" s="288"/>
      <c r="DX106" s="288"/>
      <c r="DY106" s="288"/>
      <c r="DZ106" s="288"/>
      <c r="EA106" s="288"/>
      <c r="EB106" s="288"/>
      <c r="EC106" s="288"/>
      <c r="ED106" s="288"/>
      <c r="EE106" s="288"/>
      <c r="EF106" s="288"/>
      <c r="EG106" s="288"/>
      <c r="EH106" s="288"/>
      <c r="EI106" s="288"/>
      <c r="EJ106" s="288"/>
      <c r="EK106" s="288"/>
      <c r="EL106" s="288"/>
      <c r="EM106" s="288"/>
      <c r="EN106" s="288"/>
      <c r="EO106" s="288"/>
      <c r="EP106" s="288"/>
      <c r="EQ106" s="288"/>
      <c r="ER106" s="288"/>
      <c r="ES106" s="288"/>
      <c r="ET106" s="288"/>
      <c r="EU106" s="288"/>
      <c r="EV106" s="288"/>
      <c r="EW106" s="288"/>
      <c r="EX106" s="288"/>
      <c r="EY106" s="288"/>
      <c r="EZ106" s="288"/>
      <c r="FA106" s="288"/>
      <c r="FB106" s="288"/>
      <c r="FC106" s="288"/>
      <c r="FD106" s="288"/>
      <c r="FE106" s="288"/>
      <c r="FF106" s="288"/>
      <c r="FG106" s="288"/>
      <c r="FH106" s="288"/>
    </row>
    <row r="107" ht="14.25" customHeight="1">
      <c r="A107" s="293"/>
      <c r="B107" s="293"/>
      <c r="C107" s="293"/>
      <c r="D107" s="293"/>
      <c r="E107" s="293"/>
      <c r="F107" s="293"/>
      <c r="G107" s="293"/>
      <c r="H107" s="293"/>
      <c r="I107" s="293"/>
      <c r="J107" s="293"/>
      <c r="K107" s="293"/>
      <c r="L107" s="293"/>
      <c r="M107" s="293"/>
      <c r="N107" s="293"/>
      <c r="O107" s="293"/>
      <c r="P107" s="293"/>
      <c r="Q107" s="293"/>
      <c r="R107" s="293"/>
      <c r="S107" s="293"/>
      <c r="T107" s="293"/>
      <c r="U107" s="293"/>
      <c r="V107" s="293"/>
      <c r="W107" s="293"/>
      <c r="X107" s="293"/>
      <c r="Y107" s="293"/>
      <c r="Z107" s="293"/>
      <c r="AA107" s="293"/>
      <c r="AB107" s="293"/>
      <c r="AC107" s="293"/>
      <c r="AD107" s="293"/>
      <c r="AE107" s="293"/>
      <c r="AF107" s="293"/>
      <c r="AG107" s="293"/>
      <c r="AH107" s="293"/>
      <c r="AI107" s="293"/>
      <c r="AJ107" s="293"/>
      <c r="AK107" s="293"/>
      <c r="AL107" s="293"/>
      <c r="AM107" s="293"/>
      <c r="AN107" s="293"/>
      <c r="AO107" s="293"/>
      <c r="AP107" s="293"/>
      <c r="AQ107" s="293"/>
      <c r="AR107" s="293"/>
      <c r="AS107" s="293"/>
      <c r="AT107" s="293"/>
      <c r="AU107" s="293"/>
      <c r="AV107" s="293"/>
      <c r="AW107" s="293"/>
      <c r="AX107" s="293"/>
      <c r="AY107" s="293"/>
      <c r="AZ107" s="293"/>
      <c r="BA107" s="293"/>
      <c r="BB107" s="293"/>
      <c r="BC107" s="293"/>
      <c r="BD107" s="293"/>
      <c r="BE107" s="293"/>
      <c r="BF107" s="293"/>
      <c r="BG107" s="293"/>
      <c r="BH107" s="293"/>
      <c r="BI107" s="293"/>
      <c r="BJ107" s="293"/>
      <c r="BK107" s="293"/>
      <c r="BL107" s="293"/>
      <c r="BM107" s="293"/>
      <c r="BN107" s="293"/>
      <c r="BO107" s="293"/>
      <c r="BP107" s="293"/>
      <c r="BQ107" s="293"/>
      <c r="BR107" s="293"/>
      <c r="BS107" s="293"/>
      <c r="BT107" s="293"/>
      <c r="BU107" s="293"/>
      <c r="BV107" s="293"/>
      <c r="BW107" s="293"/>
      <c r="BX107" s="293"/>
      <c r="BY107" s="293"/>
      <c r="BZ107" s="293"/>
      <c r="CA107" s="293"/>
      <c r="CB107" s="293"/>
      <c r="CC107" s="293"/>
      <c r="CD107" s="293"/>
      <c r="CE107" s="293"/>
      <c r="CF107" s="293"/>
      <c r="CG107" s="293"/>
      <c r="CH107" s="293"/>
      <c r="CI107" s="293"/>
      <c r="CJ107" s="293"/>
      <c r="CK107" s="293"/>
      <c r="CL107" s="293"/>
      <c r="CM107" s="293"/>
      <c r="CN107" s="293"/>
      <c r="CO107" s="293"/>
      <c r="CP107" s="293"/>
      <c r="CQ107" s="293"/>
      <c r="CR107" s="293"/>
      <c r="CS107" s="293"/>
      <c r="CT107" s="293"/>
      <c r="CU107" s="293"/>
      <c r="CV107" s="293"/>
      <c r="CW107" s="293"/>
      <c r="CX107" s="293"/>
      <c r="CY107" s="293"/>
      <c r="CZ107" s="293"/>
      <c r="DA107" s="293"/>
      <c r="DB107" s="293"/>
      <c r="DC107" s="293"/>
      <c r="DD107" s="293"/>
      <c r="DE107" s="293"/>
      <c r="DF107" s="293"/>
      <c r="DG107" s="293"/>
      <c r="DH107" s="293"/>
      <c r="DI107" s="293"/>
      <c r="DJ107" s="293"/>
      <c r="DK107" s="293"/>
      <c r="DL107" s="293"/>
      <c r="DM107" s="293"/>
      <c r="DN107" s="293"/>
      <c r="DO107" s="293"/>
      <c r="DP107" s="293"/>
      <c r="DQ107" s="293"/>
      <c r="DR107" s="293"/>
      <c r="DS107" s="288"/>
      <c r="DT107" s="288"/>
      <c r="DU107" s="288"/>
      <c r="DV107" s="288"/>
      <c r="DW107" s="288"/>
      <c r="DX107" s="288"/>
      <c r="DY107" s="288"/>
      <c r="DZ107" s="288"/>
      <c r="EA107" s="288"/>
      <c r="EB107" s="288"/>
      <c r="EC107" s="288"/>
      <c r="ED107" s="288"/>
      <c r="EE107" s="288"/>
      <c r="EF107" s="288"/>
      <c r="EG107" s="288"/>
      <c r="EH107" s="288"/>
      <c r="EI107" s="288"/>
      <c r="EJ107" s="288"/>
      <c r="EK107" s="288"/>
      <c r="EL107" s="288"/>
      <c r="EM107" s="288"/>
      <c r="EN107" s="288"/>
      <c r="EO107" s="288"/>
      <c r="EP107" s="288"/>
      <c r="EQ107" s="288"/>
      <c r="ER107" s="288"/>
      <c r="ES107" s="288"/>
      <c r="ET107" s="288"/>
      <c r="EU107" s="288"/>
      <c r="EV107" s="288"/>
      <c r="EW107" s="288"/>
      <c r="EX107" s="288"/>
      <c r="EY107" s="288"/>
      <c r="EZ107" s="288"/>
      <c r="FA107" s="288"/>
      <c r="FB107" s="288"/>
      <c r="FC107" s="288"/>
      <c r="FD107" s="288"/>
      <c r="FE107" s="288"/>
      <c r="FF107" s="288"/>
      <c r="FG107" s="288"/>
      <c r="FH107" s="288"/>
    </row>
    <row r="108" ht="14.25" customHeight="1">
      <c r="A108" s="293"/>
      <c r="B108" s="293"/>
      <c r="C108" s="293"/>
      <c r="D108" s="293"/>
      <c r="E108" s="293"/>
      <c r="F108" s="293"/>
      <c r="G108" s="293"/>
      <c r="H108" s="293"/>
      <c r="I108" s="293"/>
      <c r="J108" s="293"/>
      <c r="K108" s="293"/>
      <c r="L108" s="293"/>
      <c r="M108" s="293"/>
      <c r="N108" s="293"/>
      <c r="O108" s="293"/>
      <c r="P108" s="293"/>
      <c r="Q108" s="293"/>
      <c r="R108" s="293"/>
      <c r="S108" s="293"/>
      <c r="T108" s="293"/>
      <c r="U108" s="293"/>
      <c r="V108" s="293"/>
      <c r="W108" s="293"/>
      <c r="X108" s="293"/>
      <c r="Y108" s="293"/>
      <c r="Z108" s="293"/>
      <c r="AA108" s="293"/>
      <c r="AB108" s="293"/>
      <c r="AC108" s="293"/>
      <c r="AD108" s="293"/>
      <c r="AE108" s="293"/>
      <c r="AF108" s="293"/>
      <c r="AG108" s="293"/>
      <c r="AH108" s="293"/>
      <c r="AI108" s="293"/>
      <c r="AJ108" s="293"/>
      <c r="AK108" s="293"/>
      <c r="AL108" s="293"/>
      <c r="AM108" s="293"/>
      <c r="AN108" s="293"/>
      <c r="AO108" s="293"/>
      <c r="AP108" s="293"/>
      <c r="AQ108" s="293"/>
      <c r="AR108" s="293"/>
      <c r="AS108" s="293"/>
      <c r="AT108" s="293"/>
      <c r="AU108" s="293"/>
      <c r="AV108" s="293"/>
      <c r="AW108" s="293"/>
      <c r="AX108" s="293"/>
      <c r="AY108" s="293"/>
      <c r="AZ108" s="293"/>
      <c r="BA108" s="293"/>
      <c r="BB108" s="293"/>
      <c r="BC108" s="293"/>
      <c r="BD108" s="293"/>
      <c r="BE108" s="293"/>
      <c r="BF108" s="293"/>
      <c r="BG108" s="293"/>
      <c r="BH108" s="293"/>
      <c r="BI108" s="293"/>
      <c r="BJ108" s="293"/>
      <c r="BK108" s="293"/>
      <c r="BL108" s="293"/>
      <c r="BM108" s="293"/>
      <c r="BN108" s="293"/>
      <c r="BO108" s="293"/>
      <c r="BP108" s="293"/>
      <c r="BQ108" s="293"/>
      <c r="BR108" s="293"/>
      <c r="BS108" s="293"/>
      <c r="BT108" s="293"/>
      <c r="BU108" s="293"/>
      <c r="BV108" s="293"/>
      <c r="BW108" s="293"/>
      <c r="BX108" s="293"/>
      <c r="BY108" s="293"/>
      <c r="BZ108" s="293"/>
      <c r="CA108" s="293"/>
      <c r="CB108" s="293"/>
      <c r="CC108" s="293"/>
      <c r="CD108" s="293"/>
      <c r="CE108" s="293"/>
      <c r="CF108" s="293"/>
      <c r="CG108" s="293"/>
      <c r="CH108" s="293"/>
      <c r="CI108" s="293"/>
      <c r="CJ108" s="293"/>
      <c r="CK108" s="293"/>
      <c r="CL108" s="293"/>
      <c r="CM108" s="293"/>
      <c r="CN108" s="293"/>
      <c r="CO108" s="293"/>
      <c r="CP108" s="293"/>
      <c r="CQ108" s="293"/>
      <c r="CR108" s="293"/>
      <c r="CS108" s="293"/>
      <c r="CT108" s="293"/>
      <c r="CU108" s="293"/>
      <c r="CV108" s="293"/>
      <c r="CW108" s="293"/>
      <c r="CX108" s="293"/>
      <c r="CY108" s="293"/>
      <c r="CZ108" s="293"/>
      <c r="DA108" s="293"/>
      <c r="DB108" s="293"/>
      <c r="DC108" s="293"/>
      <c r="DD108" s="293"/>
      <c r="DE108" s="293"/>
      <c r="DF108" s="293"/>
      <c r="DG108" s="293"/>
      <c r="DH108" s="293"/>
      <c r="DI108" s="293"/>
      <c r="DJ108" s="293"/>
      <c r="DK108" s="293"/>
      <c r="DL108" s="293"/>
      <c r="DM108" s="293"/>
      <c r="DN108" s="293"/>
      <c r="DO108" s="293"/>
      <c r="DP108" s="293"/>
      <c r="DQ108" s="293"/>
      <c r="DR108" s="293"/>
      <c r="DS108" s="288"/>
      <c r="DT108" s="288"/>
      <c r="DU108" s="288"/>
      <c r="DV108" s="288"/>
      <c r="DW108" s="288"/>
      <c r="DX108" s="288"/>
      <c r="DY108" s="288"/>
      <c r="DZ108" s="288"/>
      <c r="EA108" s="288"/>
      <c r="EB108" s="288"/>
      <c r="EC108" s="288"/>
      <c r="ED108" s="288"/>
      <c r="EE108" s="288"/>
      <c r="EF108" s="288"/>
      <c r="EG108" s="288"/>
      <c r="EH108" s="288"/>
      <c r="EI108" s="288"/>
      <c r="EJ108" s="288"/>
      <c r="EK108" s="288"/>
      <c r="EL108" s="288"/>
      <c r="EM108" s="288"/>
      <c r="EN108" s="288"/>
      <c r="EO108" s="288"/>
      <c r="EP108" s="288"/>
      <c r="EQ108" s="288"/>
      <c r="ER108" s="288"/>
      <c r="ES108" s="288"/>
      <c r="ET108" s="288"/>
      <c r="EU108" s="288"/>
      <c r="EV108" s="288"/>
      <c r="EW108" s="288"/>
      <c r="EX108" s="288"/>
      <c r="EY108" s="288"/>
      <c r="EZ108" s="288"/>
      <c r="FA108" s="288"/>
      <c r="FB108" s="288"/>
      <c r="FC108" s="288"/>
      <c r="FD108" s="288"/>
      <c r="FE108" s="288"/>
      <c r="FF108" s="288"/>
      <c r="FG108" s="288"/>
      <c r="FH108" s="288"/>
    </row>
    <row r="109" ht="14.25" customHeight="1">
      <c r="A109" s="293"/>
      <c r="B109" s="293"/>
      <c r="C109" s="293"/>
      <c r="D109" s="293"/>
      <c r="E109" s="293"/>
      <c r="F109" s="293"/>
      <c r="G109" s="293"/>
      <c r="H109" s="293"/>
      <c r="I109" s="293"/>
      <c r="J109" s="293"/>
      <c r="K109" s="293"/>
      <c r="L109" s="293"/>
      <c r="M109" s="293"/>
      <c r="N109" s="293"/>
      <c r="O109" s="293"/>
      <c r="P109" s="293"/>
      <c r="Q109" s="293"/>
      <c r="R109" s="293"/>
      <c r="S109" s="293"/>
      <c r="T109" s="293"/>
      <c r="U109" s="293"/>
      <c r="V109" s="293"/>
      <c r="W109" s="293"/>
      <c r="X109" s="293"/>
      <c r="Y109" s="293"/>
      <c r="Z109" s="293"/>
      <c r="AA109" s="293"/>
      <c r="AB109" s="293"/>
      <c r="AC109" s="293"/>
      <c r="AD109" s="293"/>
      <c r="AE109" s="293"/>
      <c r="AF109" s="293"/>
      <c r="AG109" s="293"/>
      <c r="AH109" s="293"/>
      <c r="AI109" s="293"/>
      <c r="AJ109" s="293"/>
      <c r="AK109" s="293"/>
      <c r="AL109" s="293"/>
      <c r="AM109" s="293"/>
      <c r="AN109" s="293"/>
      <c r="AO109" s="293"/>
      <c r="AP109" s="293"/>
      <c r="AQ109" s="293"/>
      <c r="AR109" s="293"/>
      <c r="AS109" s="293"/>
      <c r="AT109" s="293"/>
      <c r="AU109" s="293"/>
      <c r="AV109" s="293"/>
      <c r="AW109" s="293"/>
      <c r="AX109" s="293"/>
      <c r="AY109" s="293"/>
      <c r="AZ109" s="293"/>
      <c r="BA109" s="293"/>
      <c r="BB109" s="293"/>
      <c r="BC109" s="293"/>
      <c r="BD109" s="293"/>
      <c r="BE109" s="293"/>
      <c r="BF109" s="293"/>
      <c r="BG109" s="293"/>
      <c r="BH109" s="293"/>
      <c r="BI109" s="293"/>
      <c r="BJ109" s="293"/>
      <c r="BK109" s="293"/>
      <c r="BL109" s="293"/>
      <c r="BM109" s="293"/>
      <c r="BN109" s="293"/>
      <c r="BO109" s="293"/>
      <c r="BP109" s="293"/>
      <c r="BQ109" s="293"/>
      <c r="BR109" s="293"/>
      <c r="BS109" s="293"/>
      <c r="BT109" s="293"/>
      <c r="BU109" s="293"/>
      <c r="BV109" s="293"/>
      <c r="BW109" s="293"/>
      <c r="BX109" s="293"/>
      <c r="BY109" s="293"/>
      <c r="BZ109" s="293"/>
      <c r="CA109" s="293"/>
      <c r="CB109" s="293"/>
      <c r="CC109" s="293"/>
      <c r="CD109" s="293"/>
      <c r="CE109" s="293"/>
      <c r="CF109" s="293"/>
      <c r="CG109" s="293"/>
      <c r="CH109" s="293"/>
      <c r="CI109" s="293"/>
      <c r="CJ109" s="293"/>
      <c r="CK109" s="293"/>
      <c r="CL109" s="293"/>
      <c r="CM109" s="293"/>
      <c r="CN109" s="293"/>
      <c r="CO109" s="293"/>
      <c r="CP109" s="293"/>
      <c r="CQ109" s="293"/>
      <c r="CR109" s="293"/>
      <c r="CS109" s="293"/>
      <c r="CT109" s="293"/>
      <c r="CU109" s="293"/>
      <c r="CV109" s="293"/>
      <c r="CW109" s="293"/>
      <c r="CX109" s="293"/>
      <c r="CY109" s="293"/>
      <c r="CZ109" s="293"/>
      <c r="DA109" s="293"/>
      <c r="DB109" s="293"/>
      <c r="DC109" s="293"/>
      <c r="DD109" s="293"/>
      <c r="DE109" s="293"/>
      <c r="DF109" s="293"/>
      <c r="DG109" s="293"/>
      <c r="DH109" s="293"/>
      <c r="DI109" s="293"/>
      <c r="DJ109" s="293"/>
      <c r="DK109" s="293"/>
      <c r="DL109" s="293"/>
      <c r="DM109" s="293"/>
      <c r="DN109" s="293"/>
      <c r="DO109" s="293"/>
      <c r="DP109" s="293"/>
      <c r="DQ109" s="293"/>
      <c r="DR109" s="293"/>
      <c r="DS109" s="288"/>
      <c r="DT109" s="288"/>
      <c r="DU109" s="288"/>
      <c r="DV109" s="288"/>
      <c r="DW109" s="288"/>
      <c r="DX109" s="288"/>
      <c r="DY109" s="288"/>
      <c r="DZ109" s="288"/>
      <c r="EA109" s="288"/>
      <c r="EB109" s="288"/>
      <c r="EC109" s="288"/>
      <c r="ED109" s="288"/>
      <c r="EE109" s="288"/>
      <c r="EF109" s="288"/>
      <c r="EG109" s="288"/>
      <c r="EH109" s="288"/>
      <c r="EI109" s="288"/>
      <c r="EJ109" s="288"/>
      <c r="EK109" s="288"/>
      <c r="EL109" s="288"/>
      <c r="EM109" s="288"/>
      <c r="EN109" s="288"/>
      <c r="EO109" s="288"/>
      <c r="EP109" s="288"/>
      <c r="EQ109" s="288"/>
      <c r="ER109" s="288"/>
      <c r="ES109" s="288"/>
      <c r="ET109" s="288"/>
      <c r="EU109" s="288"/>
      <c r="EV109" s="288"/>
      <c r="EW109" s="288"/>
      <c r="EX109" s="288"/>
      <c r="EY109" s="288"/>
      <c r="EZ109" s="288"/>
      <c r="FA109" s="288"/>
      <c r="FB109" s="288"/>
      <c r="FC109" s="288"/>
      <c r="FD109" s="288"/>
      <c r="FE109" s="288"/>
      <c r="FF109" s="288"/>
      <c r="FG109" s="288"/>
      <c r="FH109" s="288"/>
    </row>
    <row r="110" ht="14.25" customHeight="1">
      <c r="A110" s="293"/>
      <c r="B110" s="293"/>
      <c r="C110" s="293"/>
      <c r="D110" s="293"/>
      <c r="E110" s="293"/>
      <c r="F110" s="293"/>
      <c r="G110" s="293"/>
      <c r="H110" s="293"/>
      <c r="I110" s="293"/>
      <c r="J110" s="293"/>
      <c r="K110" s="293"/>
      <c r="L110" s="293"/>
      <c r="M110" s="293"/>
      <c r="N110" s="293"/>
      <c r="O110" s="293"/>
      <c r="P110" s="293"/>
      <c r="Q110" s="293"/>
      <c r="R110" s="293"/>
      <c r="S110" s="293"/>
      <c r="T110" s="293"/>
      <c r="U110" s="293"/>
      <c r="V110" s="293"/>
      <c r="W110" s="293"/>
      <c r="X110" s="293"/>
      <c r="Y110" s="293"/>
      <c r="Z110" s="293"/>
      <c r="AA110" s="293"/>
      <c r="AB110" s="293"/>
      <c r="AC110" s="293"/>
      <c r="AD110" s="293"/>
      <c r="AE110" s="293"/>
      <c r="AF110" s="293"/>
      <c r="AG110" s="293"/>
      <c r="AH110" s="293"/>
      <c r="AI110" s="293"/>
      <c r="AJ110" s="293"/>
      <c r="AK110" s="293"/>
      <c r="AL110" s="293"/>
      <c r="AM110" s="293"/>
      <c r="AN110" s="293"/>
      <c r="AO110" s="293"/>
      <c r="AP110" s="293"/>
      <c r="AQ110" s="293"/>
      <c r="AR110" s="293"/>
      <c r="AS110" s="293"/>
      <c r="AT110" s="293"/>
      <c r="AU110" s="293"/>
      <c r="AV110" s="293"/>
      <c r="AW110" s="293"/>
      <c r="AX110" s="293"/>
      <c r="AY110" s="293"/>
      <c r="AZ110" s="293"/>
      <c r="BA110" s="293"/>
      <c r="BB110" s="293"/>
      <c r="BC110" s="293"/>
      <c r="BD110" s="293"/>
      <c r="BE110" s="293"/>
      <c r="BF110" s="293"/>
      <c r="BG110" s="293"/>
      <c r="BH110" s="293"/>
      <c r="BI110" s="293"/>
      <c r="BJ110" s="293"/>
      <c r="BK110" s="293"/>
      <c r="BL110" s="293"/>
      <c r="BM110" s="293"/>
      <c r="BN110" s="293"/>
      <c r="BO110" s="293"/>
      <c r="BP110" s="293"/>
      <c r="BQ110" s="293"/>
      <c r="BR110" s="293"/>
      <c r="BS110" s="293"/>
      <c r="BT110" s="293"/>
      <c r="BU110" s="293"/>
      <c r="BV110" s="293"/>
      <c r="BW110" s="293"/>
      <c r="BX110" s="293"/>
      <c r="BY110" s="293"/>
      <c r="BZ110" s="293"/>
      <c r="CA110" s="293"/>
      <c r="CB110" s="293"/>
      <c r="CC110" s="293"/>
      <c r="CD110" s="293"/>
      <c r="CE110" s="293"/>
      <c r="CF110" s="293"/>
      <c r="CG110" s="293"/>
      <c r="CH110" s="293"/>
      <c r="CI110" s="293"/>
      <c r="CJ110" s="293"/>
      <c r="CK110" s="293"/>
      <c r="CL110" s="293"/>
      <c r="CM110" s="293"/>
      <c r="CN110" s="293"/>
      <c r="CO110" s="293"/>
      <c r="CP110" s="293"/>
      <c r="CQ110" s="293"/>
      <c r="CR110" s="293"/>
      <c r="CS110" s="293"/>
      <c r="CT110" s="293"/>
      <c r="CU110" s="293"/>
      <c r="CV110" s="293"/>
      <c r="CW110" s="293"/>
      <c r="CX110" s="293"/>
      <c r="CY110" s="293"/>
      <c r="CZ110" s="293"/>
      <c r="DA110" s="293"/>
      <c r="DB110" s="293"/>
      <c r="DC110" s="293"/>
      <c r="DD110" s="293"/>
      <c r="DE110" s="293"/>
      <c r="DF110" s="293"/>
      <c r="DG110" s="293"/>
      <c r="DH110" s="293"/>
      <c r="DI110" s="293"/>
      <c r="DJ110" s="293"/>
      <c r="DK110" s="293"/>
      <c r="DL110" s="293"/>
      <c r="DM110" s="293"/>
      <c r="DN110" s="293"/>
      <c r="DO110" s="293"/>
      <c r="DP110" s="293"/>
      <c r="DQ110" s="293"/>
      <c r="DR110" s="293"/>
      <c r="DS110" s="288"/>
      <c r="DT110" s="288"/>
      <c r="DU110" s="288"/>
      <c r="DV110" s="288"/>
      <c r="DW110" s="288"/>
      <c r="DX110" s="288"/>
      <c r="DY110" s="288"/>
      <c r="DZ110" s="288"/>
      <c r="EA110" s="288"/>
      <c r="EB110" s="288"/>
      <c r="EC110" s="288"/>
      <c r="ED110" s="288"/>
      <c r="EE110" s="288"/>
      <c r="EF110" s="288"/>
      <c r="EG110" s="288"/>
      <c r="EH110" s="288"/>
      <c r="EI110" s="288"/>
      <c r="EJ110" s="288"/>
      <c r="EK110" s="288"/>
      <c r="EL110" s="288"/>
      <c r="EM110" s="288"/>
      <c r="EN110" s="288"/>
      <c r="EO110" s="288"/>
      <c r="EP110" s="288"/>
      <c r="EQ110" s="288"/>
      <c r="ER110" s="288"/>
      <c r="ES110" s="288"/>
      <c r="ET110" s="288"/>
      <c r="EU110" s="288"/>
      <c r="EV110" s="288"/>
      <c r="EW110" s="288"/>
      <c r="EX110" s="288"/>
      <c r="EY110" s="288"/>
      <c r="EZ110" s="288"/>
      <c r="FA110" s="288"/>
      <c r="FB110" s="288"/>
      <c r="FC110" s="288"/>
      <c r="FD110" s="288"/>
      <c r="FE110" s="288"/>
      <c r="FF110" s="288"/>
      <c r="FG110" s="288"/>
      <c r="FH110" s="288"/>
    </row>
    <row r="111" ht="14.25" customHeight="1">
      <c r="A111" s="293"/>
      <c r="B111" s="293"/>
      <c r="C111" s="293"/>
      <c r="D111" s="293"/>
      <c r="E111" s="293"/>
      <c r="F111" s="293"/>
      <c r="G111" s="293"/>
      <c r="H111" s="293"/>
      <c r="I111" s="293"/>
      <c r="J111" s="293"/>
      <c r="K111" s="293"/>
      <c r="L111" s="293"/>
      <c r="M111" s="293"/>
      <c r="N111" s="293"/>
      <c r="O111" s="293"/>
      <c r="P111" s="293"/>
      <c r="Q111" s="293"/>
      <c r="R111" s="293"/>
      <c r="S111" s="293"/>
      <c r="T111" s="293"/>
      <c r="U111" s="293"/>
      <c r="V111" s="293"/>
      <c r="W111" s="293"/>
      <c r="X111" s="293"/>
      <c r="Y111" s="293"/>
      <c r="Z111" s="293"/>
      <c r="AA111" s="293"/>
      <c r="AB111" s="293"/>
      <c r="AC111" s="293"/>
      <c r="AD111" s="293"/>
      <c r="AE111" s="293"/>
      <c r="AF111" s="293"/>
      <c r="AG111" s="293"/>
      <c r="AH111" s="293"/>
      <c r="AI111" s="293"/>
      <c r="AJ111" s="293"/>
      <c r="AK111" s="293"/>
      <c r="AL111" s="293"/>
      <c r="AM111" s="293"/>
      <c r="AN111" s="293"/>
      <c r="AO111" s="293"/>
      <c r="AP111" s="293"/>
      <c r="AQ111" s="293"/>
      <c r="AR111" s="293"/>
      <c r="AS111" s="293"/>
      <c r="AT111" s="293"/>
      <c r="AU111" s="293"/>
      <c r="AV111" s="293"/>
      <c r="AW111" s="293"/>
      <c r="AX111" s="293"/>
      <c r="AY111" s="293"/>
      <c r="AZ111" s="293"/>
      <c r="BA111" s="293"/>
      <c r="BB111" s="293"/>
      <c r="BC111" s="293"/>
      <c r="BD111" s="293"/>
      <c r="BE111" s="293"/>
      <c r="BF111" s="293"/>
      <c r="BG111" s="293"/>
      <c r="BH111" s="293"/>
      <c r="BI111" s="293"/>
      <c r="BJ111" s="293"/>
      <c r="BK111" s="293"/>
      <c r="BL111" s="293"/>
      <c r="BM111" s="293"/>
      <c r="BN111" s="293"/>
      <c r="BO111" s="293"/>
      <c r="BP111" s="293"/>
      <c r="BQ111" s="293"/>
      <c r="BR111" s="293"/>
      <c r="BS111" s="293"/>
      <c r="BT111" s="293"/>
      <c r="BU111" s="293"/>
      <c r="BV111" s="293"/>
      <c r="BW111" s="293"/>
      <c r="BX111" s="293"/>
      <c r="BY111" s="293"/>
      <c r="BZ111" s="293"/>
      <c r="CA111" s="293"/>
      <c r="CB111" s="293"/>
      <c r="CC111" s="293"/>
      <c r="CD111" s="293"/>
      <c r="CE111" s="293"/>
      <c r="CF111" s="293"/>
      <c r="CG111" s="293"/>
      <c r="CH111" s="293"/>
      <c r="CI111" s="293"/>
      <c r="CJ111" s="293"/>
      <c r="CK111" s="293"/>
      <c r="CL111" s="293"/>
      <c r="CM111" s="293"/>
      <c r="CN111" s="293"/>
      <c r="CO111" s="293"/>
      <c r="CP111" s="293"/>
      <c r="CQ111" s="293"/>
      <c r="CR111" s="293"/>
      <c r="CS111" s="293"/>
      <c r="CT111" s="293"/>
      <c r="CU111" s="293"/>
      <c r="CV111" s="293"/>
      <c r="CW111" s="293"/>
      <c r="CX111" s="293"/>
      <c r="CY111" s="293"/>
      <c r="CZ111" s="293"/>
      <c r="DA111" s="293"/>
      <c r="DB111" s="293"/>
      <c r="DC111" s="293"/>
      <c r="DD111" s="293"/>
      <c r="DE111" s="293"/>
      <c r="DF111" s="293"/>
      <c r="DG111" s="293"/>
      <c r="DH111" s="293"/>
      <c r="DI111" s="293"/>
      <c r="DJ111" s="293"/>
      <c r="DK111" s="293"/>
      <c r="DL111" s="293"/>
      <c r="DM111" s="293"/>
      <c r="DN111" s="293"/>
      <c r="DO111" s="293"/>
      <c r="DP111" s="293"/>
      <c r="DQ111" s="293"/>
      <c r="DR111" s="293"/>
      <c r="DS111" s="288"/>
      <c r="DT111" s="288"/>
      <c r="DU111" s="288"/>
      <c r="DV111" s="288"/>
      <c r="DW111" s="288"/>
      <c r="DX111" s="288"/>
      <c r="DY111" s="288"/>
      <c r="DZ111" s="288"/>
      <c r="EA111" s="288"/>
      <c r="EB111" s="288"/>
      <c r="EC111" s="288"/>
      <c r="ED111" s="288"/>
      <c r="EE111" s="288"/>
      <c r="EF111" s="288"/>
      <c r="EG111" s="288"/>
      <c r="EH111" s="288"/>
      <c r="EI111" s="288"/>
      <c r="EJ111" s="288"/>
      <c r="EK111" s="288"/>
      <c r="EL111" s="288"/>
      <c r="EM111" s="288"/>
      <c r="EN111" s="288"/>
      <c r="EO111" s="288"/>
      <c r="EP111" s="288"/>
      <c r="EQ111" s="288"/>
      <c r="ER111" s="288"/>
      <c r="ES111" s="288"/>
      <c r="ET111" s="288"/>
      <c r="EU111" s="288"/>
      <c r="EV111" s="288"/>
      <c r="EW111" s="288"/>
      <c r="EX111" s="288"/>
      <c r="EY111" s="288"/>
      <c r="EZ111" s="288"/>
      <c r="FA111" s="288"/>
      <c r="FB111" s="288"/>
      <c r="FC111" s="288"/>
      <c r="FD111" s="288"/>
      <c r="FE111" s="288"/>
      <c r="FF111" s="288"/>
      <c r="FG111" s="288"/>
      <c r="FH111" s="288"/>
    </row>
    <row r="112" ht="14.25" customHeight="1">
      <c r="A112" s="293"/>
      <c r="B112" s="293"/>
      <c r="C112" s="293"/>
      <c r="D112" s="293"/>
      <c r="E112" s="293"/>
      <c r="F112" s="293"/>
      <c r="G112" s="293"/>
      <c r="H112" s="293"/>
      <c r="I112" s="293"/>
      <c r="J112" s="293"/>
      <c r="K112" s="293"/>
      <c r="L112" s="293"/>
      <c r="M112" s="293"/>
      <c r="N112" s="293"/>
      <c r="O112" s="293"/>
      <c r="P112" s="293"/>
      <c r="Q112" s="293"/>
      <c r="R112" s="293"/>
      <c r="S112" s="293"/>
      <c r="T112" s="293"/>
      <c r="U112" s="293"/>
      <c r="V112" s="293"/>
      <c r="W112" s="293"/>
      <c r="X112" s="293"/>
      <c r="Y112" s="293"/>
      <c r="Z112" s="293"/>
      <c r="AA112" s="293"/>
      <c r="AB112" s="293"/>
      <c r="AC112" s="293"/>
      <c r="AD112" s="293"/>
      <c r="AE112" s="293"/>
      <c r="AF112" s="293"/>
      <c r="AG112" s="293"/>
      <c r="AH112" s="293"/>
      <c r="AI112" s="293"/>
      <c r="AJ112" s="293"/>
      <c r="AK112" s="293"/>
      <c r="AL112" s="293"/>
      <c r="AM112" s="293"/>
      <c r="AN112" s="293"/>
      <c r="AO112" s="293"/>
      <c r="AP112" s="293"/>
      <c r="AQ112" s="293"/>
      <c r="AR112" s="293"/>
      <c r="AS112" s="293"/>
      <c r="AT112" s="293"/>
      <c r="AU112" s="293"/>
      <c r="AV112" s="293"/>
      <c r="AW112" s="293"/>
      <c r="AX112" s="293"/>
      <c r="AY112" s="293"/>
      <c r="AZ112" s="293"/>
      <c r="BA112" s="293"/>
      <c r="BB112" s="293"/>
      <c r="BC112" s="293"/>
      <c r="BD112" s="293"/>
      <c r="BE112" s="293"/>
      <c r="BF112" s="293"/>
      <c r="BG112" s="293"/>
      <c r="BH112" s="293"/>
      <c r="BI112" s="293"/>
      <c r="BJ112" s="293"/>
      <c r="BK112" s="293"/>
      <c r="BL112" s="293"/>
      <c r="BM112" s="293"/>
      <c r="BN112" s="293"/>
      <c r="BO112" s="293"/>
      <c r="BP112" s="293"/>
      <c r="BQ112" s="293"/>
      <c r="BR112" s="293"/>
      <c r="BS112" s="293"/>
      <c r="BT112" s="293"/>
      <c r="BU112" s="293"/>
      <c r="BV112" s="293"/>
      <c r="BW112" s="293"/>
      <c r="BX112" s="293"/>
      <c r="BY112" s="293"/>
      <c r="BZ112" s="293"/>
      <c r="CA112" s="293"/>
      <c r="CB112" s="293"/>
      <c r="CC112" s="293"/>
      <c r="CD112" s="293"/>
      <c r="CE112" s="293"/>
      <c r="CF112" s="293"/>
      <c r="CG112" s="293"/>
      <c r="CH112" s="293"/>
      <c r="CI112" s="293"/>
      <c r="CJ112" s="293"/>
      <c r="CK112" s="293"/>
      <c r="CL112" s="293"/>
      <c r="CM112" s="293"/>
      <c r="CN112" s="293"/>
      <c r="CO112" s="293"/>
      <c r="CP112" s="293"/>
      <c r="CQ112" s="293"/>
      <c r="CR112" s="293"/>
      <c r="CS112" s="293"/>
      <c r="CT112" s="293"/>
      <c r="CU112" s="293"/>
      <c r="CV112" s="293"/>
      <c r="CW112" s="293"/>
      <c r="CX112" s="293"/>
      <c r="CY112" s="293"/>
      <c r="CZ112" s="293"/>
      <c r="DA112" s="293"/>
      <c r="DB112" s="293"/>
      <c r="DC112" s="293"/>
      <c r="DD112" s="293"/>
      <c r="DE112" s="293"/>
      <c r="DF112" s="293"/>
      <c r="DG112" s="293"/>
      <c r="DH112" s="293"/>
      <c r="DI112" s="293"/>
      <c r="DJ112" s="293"/>
      <c r="DK112" s="293"/>
      <c r="DL112" s="293"/>
      <c r="DM112" s="293"/>
      <c r="DN112" s="293"/>
      <c r="DO112" s="293"/>
      <c r="DP112" s="293"/>
      <c r="DQ112" s="293"/>
      <c r="DR112" s="293"/>
      <c r="DS112" s="288"/>
      <c r="DT112" s="288"/>
      <c r="DU112" s="288"/>
      <c r="DV112" s="288"/>
      <c r="DW112" s="288"/>
      <c r="DX112" s="288"/>
      <c r="DY112" s="288"/>
      <c r="DZ112" s="288"/>
      <c r="EA112" s="288"/>
      <c r="EB112" s="288"/>
      <c r="EC112" s="288"/>
      <c r="ED112" s="288"/>
      <c r="EE112" s="288"/>
      <c r="EF112" s="288"/>
      <c r="EG112" s="288"/>
      <c r="EH112" s="288"/>
      <c r="EI112" s="288"/>
      <c r="EJ112" s="288"/>
      <c r="EK112" s="288"/>
      <c r="EL112" s="288"/>
      <c r="EM112" s="288"/>
      <c r="EN112" s="288"/>
      <c r="EO112" s="288"/>
      <c r="EP112" s="288"/>
      <c r="EQ112" s="288"/>
      <c r="ER112" s="288"/>
      <c r="ES112" s="288"/>
      <c r="ET112" s="288"/>
      <c r="EU112" s="288"/>
      <c r="EV112" s="288"/>
      <c r="EW112" s="288"/>
      <c r="EX112" s="288"/>
      <c r="EY112" s="288"/>
      <c r="EZ112" s="288"/>
      <c r="FA112" s="288"/>
      <c r="FB112" s="288"/>
      <c r="FC112" s="288"/>
      <c r="FD112" s="288"/>
      <c r="FE112" s="288"/>
      <c r="FF112" s="288"/>
      <c r="FG112" s="288"/>
      <c r="FH112" s="288"/>
    </row>
    <row r="113" ht="14.25" customHeight="1">
      <c r="A113" s="293"/>
      <c r="B113" s="293"/>
      <c r="C113" s="293"/>
      <c r="D113" s="293"/>
      <c r="E113" s="293"/>
      <c r="F113" s="293"/>
      <c r="G113" s="293"/>
      <c r="H113" s="293"/>
      <c r="I113" s="293"/>
      <c r="J113" s="293"/>
      <c r="K113" s="293"/>
      <c r="L113" s="293"/>
      <c r="M113" s="293"/>
      <c r="N113" s="293"/>
      <c r="O113" s="293"/>
      <c r="P113" s="293"/>
      <c r="Q113" s="293"/>
      <c r="R113" s="293"/>
      <c r="S113" s="293"/>
      <c r="T113" s="293"/>
      <c r="U113" s="293"/>
      <c r="V113" s="293"/>
      <c r="W113" s="293"/>
      <c r="X113" s="293"/>
      <c r="Y113" s="293"/>
      <c r="Z113" s="293"/>
      <c r="AA113" s="293"/>
      <c r="AB113" s="293"/>
      <c r="AC113" s="293"/>
      <c r="AD113" s="293"/>
      <c r="AE113" s="293"/>
      <c r="AF113" s="293"/>
      <c r="AG113" s="293"/>
      <c r="AH113" s="293"/>
      <c r="AI113" s="293"/>
      <c r="AJ113" s="293"/>
      <c r="AK113" s="293"/>
      <c r="AL113" s="293"/>
      <c r="AM113" s="293"/>
      <c r="AN113" s="293"/>
      <c r="AO113" s="293"/>
      <c r="AP113" s="293"/>
      <c r="AQ113" s="293"/>
      <c r="AR113" s="293"/>
      <c r="AS113" s="293"/>
      <c r="AT113" s="293"/>
      <c r="AU113" s="293"/>
      <c r="AV113" s="293"/>
      <c r="AW113" s="293"/>
      <c r="AX113" s="293"/>
      <c r="AY113" s="293"/>
      <c r="AZ113" s="293"/>
      <c r="BA113" s="293"/>
      <c r="BB113" s="293"/>
      <c r="BC113" s="293"/>
      <c r="BD113" s="293"/>
      <c r="BE113" s="293"/>
      <c r="BF113" s="293"/>
      <c r="BG113" s="293"/>
      <c r="BH113" s="293"/>
      <c r="BI113" s="293"/>
      <c r="BJ113" s="293"/>
      <c r="BK113" s="293"/>
      <c r="BL113" s="293"/>
      <c r="BM113" s="293"/>
      <c r="BN113" s="293"/>
      <c r="BO113" s="293"/>
      <c r="BP113" s="293"/>
      <c r="BQ113" s="293"/>
      <c r="BR113" s="293"/>
      <c r="BS113" s="293"/>
      <c r="BT113" s="293"/>
      <c r="BU113" s="293"/>
      <c r="BV113" s="293"/>
      <c r="BW113" s="293"/>
      <c r="BX113" s="293"/>
      <c r="BY113" s="293"/>
      <c r="BZ113" s="293"/>
      <c r="CA113" s="293"/>
      <c r="CB113" s="293"/>
      <c r="CC113" s="293"/>
      <c r="CD113" s="293"/>
      <c r="CE113" s="293"/>
      <c r="CF113" s="293"/>
      <c r="CG113" s="293"/>
      <c r="CH113" s="293"/>
      <c r="CI113" s="293"/>
      <c r="CJ113" s="293"/>
      <c r="CK113" s="293"/>
      <c r="CL113" s="293"/>
      <c r="CM113" s="293"/>
      <c r="CN113" s="293"/>
      <c r="CO113" s="293"/>
      <c r="CP113" s="293"/>
      <c r="CQ113" s="293"/>
      <c r="CR113" s="293"/>
      <c r="CS113" s="293"/>
      <c r="CT113" s="293"/>
      <c r="CU113" s="293"/>
      <c r="CV113" s="293"/>
      <c r="CW113" s="293"/>
      <c r="CX113" s="293"/>
      <c r="CY113" s="293"/>
      <c r="CZ113" s="293"/>
      <c r="DA113" s="293"/>
      <c r="DB113" s="293"/>
      <c r="DC113" s="293"/>
      <c r="DD113" s="293"/>
      <c r="DE113" s="293"/>
      <c r="DF113" s="293"/>
      <c r="DG113" s="293"/>
      <c r="DH113" s="293"/>
      <c r="DI113" s="293"/>
      <c r="DJ113" s="293"/>
      <c r="DK113" s="293"/>
      <c r="DL113" s="293"/>
      <c r="DM113" s="293"/>
      <c r="DN113" s="293"/>
      <c r="DO113" s="293"/>
      <c r="DP113" s="293"/>
      <c r="DQ113" s="293"/>
      <c r="DR113" s="293"/>
      <c r="DS113" s="288"/>
      <c r="DT113" s="288"/>
      <c r="DU113" s="288"/>
      <c r="DV113" s="288"/>
      <c r="DW113" s="288"/>
      <c r="DX113" s="288"/>
      <c r="DY113" s="288"/>
      <c r="DZ113" s="288"/>
      <c r="EA113" s="288"/>
      <c r="EB113" s="288"/>
      <c r="EC113" s="288"/>
      <c r="ED113" s="288"/>
      <c r="EE113" s="288"/>
      <c r="EF113" s="288"/>
      <c r="EG113" s="288"/>
      <c r="EH113" s="288"/>
      <c r="EI113" s="288"/>
      <c r="EJ113" s="288"/>
      <c r="EK113" s="288"/>
      <c r="EL113" s="288"/>
      <c r="EM113" s="288"/>
      <c r="EN113" s="288"/>
      <c r="EO113" s="288"/>
      <c r="EP113" s="288"/>
      <c r="EQ113" s="288"/>
      <c r="ER113" s="288"/>
      <c r="ES113" s="288"/>
      <c r="ET113" s="288"/>
      <c r="EU113" s="288"/>
      <c r="EV113" s="288"/>
      <c r="EW113" s="288"/>
      <c r="EX113" s="288"/>
      <c r="EY113" s="288"/>
      <c r="EZ113" s="288"/>
      <c r="FA113" s="288"/>
      <c r="FB113" s="288"/>
      <c r="FC113" s="288"/>
      <c r="FD113" s="288"/>
      <c r="FE113" s="288"/>
      <c r="FF113" s="288"/>
      <c r="FG113" s="288"/>
      <c r="FH113" s="288"/>
    </row>
    <row r="114" ht="14.25" customHeight="1">
      <c r="A114" s="293"/>
      <c r="B114" s="293"/>
      <c r="C114" s="293"/>
      <c r="D114" s="293"/>
      <c r="E114" s="293"/>
      <c r="F114" s="293"/>
      <c r="G114" s="293"/>
      <c r="H114" s="293"/>
      <c r="I114" s="293"/>
      <c r="J114" s="293"/>
      <c r="K114" s="293"/>
      <c r="L114" s="293"/>
      <c r="M114" s="293"/>
      <c r="N114" s="293"/>
      <c r="O114" s="293"/>
      <c r="P114" s="293"/>
      <c r="Q114" s="293"/>
      <c r="R114" s="293"/>
      <c r="S114" s="293"/>
      <c r="T114" s="293"/>
      <c r="U114" s="293"/>
      <c r="V114" s="293"/>
      <c r="W114" s="293"/>
      <c r="X114" s="293"/>
      <c r="Y114" s="293"/>
      <c r="Z114" s="293"/>
      <c r="AA114" s="293"/>
      <c r="AB114" s="293"/>
      <c r="AC114" s="293"/>
      <c r="AD114" s="293"/>
      <c r="AE114" s="293"/>
      <c r="AF114" s="293"/>
      <c r="AG114" s="293"/>
      <c r="AH114" s="293"/>
      <c r="AI114" s="293"/>
      <c r="AJ114" s="293"/>
      <c r="AK114" s="293"/>
      <c r="AL114" s="293"/>
      <c r="AM114" s="293"/>
      <c r="AN114" s="293"/>
      <c r="AO114" s="293"/>
      <c r="AP114" s="293"/>
      <c r="AQ114" s="293"/>
      <c r="AR114" s="293"/>
      <c r="AS114" s="293"/>
      <c r="AT114" s="293"/>
      <c r="AU114" s="293"/>
      <c r="AV114" s="293"/>
      <c r="AW114" s="293"/>
      <c r="AX114" s="293"/>
      <c r="AY114" s="293"/>
      <c r="AZ114" s="293"/>
      <c r="BA114" s="293"/>
      <c r="BB114" s="293"/>
      <c r="BC114" s="293"/>
      <c r="BD114" s="293"/>
      <c r="BE114" s="293"/>
      <c r="BF114" s="293"/>
      <c r="BG114" s="293"/>
      <c r="BH114" s="293"/>
      <c r="BI114" s="293"/>
      <c r="BJ114" s="293"/>
      <c r="BK114" s="293"/>
      <c r="BL114" s="293"/>
      <c r="BM114" s="293"/>
      <c r="BN114" s="293"/>
      <c r="BO114" s="293"/>
      <c r="BP114" s="293"/>
      <c r="BQ114" s="293"/>
      <c r="BR114" s="293"/>
      <c r="BS114" s="293"/>
      <c r="BT114" s="293"/>
      <c r="BU114" s="293"/>
      <c r="BV114" s="293"/>
      <c r="BW114" s="293"/>
      <c r="BX114" s="293"/>
      <c r="BY114" s="293"/>
      <c r="BZ114" s="293"/>
      <c r="CA114" s="293"/>
      <c r="CB114" s="293"/>
      <c r="CC114" s="293"/>
      <c r="CD114" s="293"/>
      <c r="CE114" s="293"/>
      <c r="CF114" s="293"/>
      <c r="CG114" s="293"/>
      <c r="CH114" s="293"/>
      <c r="CI114" s="293"/>
      <c r="CJ114" s="293"/>
      <c r="CK114" s="293"/>
      <c r="CL114" s="293"/>
      <c r="CM114" s="293"/>
      <c r="CN114" s="293"/>
      <c r="CO114" s="293"/>
      <c r="CP114" s="293"/>
      <c r="CQ114" s="293"/>
      <c r="CR114" s="293"/>
      <c r="CS114" s="293"/>
      <c r="CT114" s="293"/>
      <c r="CU114" s="293"/>
      <c r="CV114" s="293"/>
      <c r="CW114" s="293"/>
      <c r="CX114" s="293"/>
      <c r="CY114" s="293"/>
      <c r="CZ114" s="293"/>
      <c r="DA114" s="293"/>
      <c r="DB114" s="293"/>
      <c r="DC114" s="293"/>
      <c r="DD114" s="293"/>
      <c r="DE114" s="293"/>
      <c r="DF114" s="293"/>
      <c r="DG114" s="293"/>
      <c r="DH114" s="293"/>
      <c r="DI114" s="293"/>
      <c r="DJ114" s="293"/>
      <c r="DK114" s="293"/>
      <c r="DL114" s="293"/>
      <c r="DM114" s="293"/>
      <c r="DN114" s="293"/>
      <c r="DO114" s="293"/>
      <c r="DP114" s="293"/>
      <c r="DQ114" s="293"/>
      <c r="DR114" s="293"/>
      <c r="DS114" s="288"/>
      <c r="DT114" s="288"/>
      <c r="DU114" s="288"/>
      <c r="DV114" s="288"/>
      <c r="DW114" s="288"/>
      <c r="DX114" s="288"/>
      <c r="DY114" s="288"/>
      <c r="DZ114" s="288"/>
      <c r="EA114" s="288"/>
      <c r="EB114" s="288"/>
      <c r="EC114" s="288"/>
      <c r="ED114" s="288"/>
      <c r="EE114" s="288"/>
      <c r="EF114" s="288"/>
      <c r="EG114" s="288"/>
      <c r="EH114" s="288"/>
      <c r="EI114" s="288"/>
      <c r="EJ114" s="288"/>
      <c r="EK114" s="288"/>
      <c r="EL114" s="288"/>
      <c r="EM114" s="288"/>
      <c r="EN114" s="288"/>
      <c r="EO114" s="288"/>
      <c r="EP114" s="288"/>
      <c r="EQ114" s="288"/>
      <c r="ER114" s="288"/>
      <c r="ES114" s="288"/>
      <c r="ET114" s="288"/>
      <c r="EU114" s="288"/>
      <c r="EV114" s="288"/>
      <c r="EW114" s="288"/>
      <c r="EX114" s="288"/>
      <c r="EY114" s="288"/>
      <c r="EZ114" s="288"/>
      <c r="FA114" s="288"/>
      <c r="FB114" s="288"/>
      <c r="FC114" s="288"/>
      <c r="FD114" s="288"/>
      <c r="FE114" s="288"/>
      <c r="FF114" s="288"/>
      <c r="FG114" s="288"/>
      <c r="FH114" s="288"/>
    </row>
    <row r="115" ht="14.25" customHeight="1">
      <c r="A115" s="293"/>
      <c r="B115" s="293"/>
      <c r="C115" s="293"/>
      <c r="D115" s="293"/>
      <c r="E115" s="293"/>
      <c r="F115" s="293"/>
      <c r="G115" s="293"/>
      <c r="H115" s="293"/>
      <c r="I115" s="293"/>
      <c r="J115" s="293"/>
      <c r="K115" s="293"/>
      <c r="L115" s="293"/>
      <c r="M115" s="293"/>
      <c r="N115" s="293"/>
      <c r="O115" s="293"/>
      <c r="P115" s="293"/>
      <c r="Q115" s="293"/>
      <c r="R115" s="293"/>
      <c r="S115" s="293"/>
      <c r="T115" s="293"/>
      <c r="U115" s="293"/>
      <c r="V115" s="293"/>
      <c r="W115" s="293"/>
      <c r="X115" s="293"/>
      <c r="Y115" s="293"/>
      <c r="Z115" s="293"/>
      <c r="AA115" s="293"/>
      <c r="AB115" s="293"/>
      <c r="AC115" s="293"/>
      <c r="AD115" s="293"/>
      <c r="AE115" s="293"/>
      <c r="AF115" s="293"/>
      <c r="AG115" s="293"/>
      <c r="AH115" s="293"/>
      <c r="AI115" s="293"/>
      <c r="AJ115" s="293"/>
      <c r="AK115" s="293"/>
      <c r="AL115" s="293"/>
      <c r="AM115" s="293"/>
      <c r="AN115" s="293"/>
      <c r="AO115" s="293"/>
      <c r="AP115" s="293"/>
      <c r="AQ115" s="293"/>
      <c r="AR115" s="293"/>
      <c r="AS115" s="293"/>
      <c r="AT115" s="293"/>
      <c r="AU115" s="293"/>
      <c r="AV115" s="293"/>
      <c r="AW115" s="293"/>
      <c r="AX115" s="293"/>
      <c r="AY115" s="293"/>
      <c r="AZ115" s="293"/>
      <c r="BA115" s="293"/>
      <c r="BB115" s="293"/>
      <c r="BC115" s="293"/>
      <c r="BD115" s="293"/>
      <c r="BE115" s="293"/>
      <c r="BF115" s="293"/>
      <c r="BG115" s="293"/>
      <c r="BH115" s="293"/>
      <c r="BI115" s="293"/>
      <c r="BJ115" s="293"/>
      <c r="BK115" s="293"/>
      <c r="BL115" s="293"/>
      <c r="BM115" s="293"/>
      <c r="BN115" s="293"/>
      <c r="BO115" s="293"/>
      <c r="BP115" s="293"/>
      <c r="BQ115" s="293"/>
      <c r="BR115" s="293"/>
      <c r="BS115" s="293"/>
      <c r="BT115" s="293"/>
      <c r="BU115" s="293"/>
      <c r="BV115" s="293"/>
      <c r="BW115" s="293"/>
      <c r="BX115" s="293"/>
      <c r="BY115" s="293"/>
      <c r="BZ115" s="293"/>
      <c r="CA115" s="293"/>
      <c r="CB115" s="293"/>
      <c r="CC115" s="293"/>
      <c r="CD115" s="293"/>
      <c r="CE115" s="293"/>
      <c r="CF115" s="293"/>
      <c r="CG115" s="293"/>
      <c r="CH115" s="293"/>
      <c r="CI115" s="293"/>
      <c r="CJ115" s="293"/>
      <c r="CK115" s="293"/>
      <c r="CL115" s="293"/>
      <c r="CM115" s="293"/>
      <c r="CN115" s="293"/>
      <c r="CO115" s="293"/>
      <c r="CP115" s="293"/>
      <c r="CQ115" s="293"/>
      <c r="CR115" s="293"/>
      <c r="CS115" s="293"/>
      <c r="CT115" s="293"/>
      <c r="CU115" s="293"/>
      <c r="CV115" s="293"/>
      <c r="CW115" s="293"/>
      <c r="CX115" s="293"/>
      <c r="CY115" s="293"/>
      <c r="CZ115" s="293"/>
      <c r="DA115" s="293"/>
      <c r="DB115" s="293"/>
      <c r="DC115" s="293"/>
      <c r="DD115" s="293"/>
      <c r="DE115" s="293"/>
      <c r="DF115" s="293"/>
      <c r="DG115" s="293"/>
      <c r="DH115" s="293"/>
      <c r="DI115" s="293"/>
      <c r="DJ115" s="293"/>
      <c r="DK115" s="293"/>
      <c r="DL115" s="293"/>
      <c r="DM115" s="293"/>
      <c r="DN115" s="293"/>
      <c r="DO115" s="293"/>
      <c r="DP115" s="293"/>
      <c r="DQ115" s="293"/>
      <c r="DR115" s="293"/>
      <c r="DS115" s="288"/>
      <c r="DT115" s="288"/>
      <c r="DU115" s="288"/>
      <c r="DV115" s="288"/>
      <c r="DW115" s="288"/>
      <c r="DX115" s="288"/>
      <c r="DY115" s="288"/>
      <c r="DZ115" s="288"/>
      <c r="EA115" s="288"/>
      <c r="EB115" s="288"/>
      <c r="EC115" s="288"/>
      <c r="ED115" s="288"/>
      <c r="EE115" s="288"/>
      <c r="EF115" s="288"/>
      <c r="EG115" s="288"/>
      <c r="EH115" s="288"/>
      <c r="EI115" s="288"/>
      <c r="EJ115" s="288"/>
      <c r="EK115" s="288"/>
      <c r="EL115" s="288"/>
      <c r="EM115" s="288"/>
      <c r="EN115" s="288"/>
      <c r="EO115" s="288"/>
      <c r="EP115" s="288"/>
      <c r="EQ115" s="288"/>
      <c r="ER115" s="288"/>
      <c r="ES115" s="288"/>
      <c r="ET115" s="288"/>
      <c r="EU115" s="288"/>
      <c r="EV115" s="288"/>
      <c r="EW115" s="288"/>
      <c r="EX115" s="288"/>
      <c r="EY115" s="288"/>
      <c r="EZ115" s="288"/>
      <c r="FA115" s="288"/>
      <c r="FB115" s="288"/>
      <c r="FC115" s="288"/>
      <c r="FD115" s="288"/>
      <c r="FE115" s="288"/>
      <c r="FF115" s="288"/>
      <c r="FG115" s="288"/>
      <c r="FH115" s="288"/>
    </row>
    <row r="116" ht="14.25" customHeight="1">
      <c r="A116" s="293"/>
      <c r="B116" s="293"/>
      <c r="C116" s="293"/>
      <c r="D116" s="293"/>
      <c r="E116" s="293"/>
      <c r="F116" s="293"/>
      <c r="G116" s="293"/>
      <c r="H116" s="293"/>
      <c r="I116" s="293"/>
      <c r="J116" s="293"/>
      <c r="K116" s="293"/>
      <c r="L116" s="293"/>
      <c r="M116" s="293"/>
      <c r="N116" s="293"/>
      <c r="O116" s="293"/>
      <c r="P116" s="293"/>
      <c r="Q116" s="293"/>
      <c r="R116" s="293"/>
      <c r="S116" s="293"/>
      <c r="T116" s="293"/>
      <c r="U116" s="293"/>
      <c r="V116" s="293"/>
      <c r="W116" s="293"/>
      <c r="X116" s="293"/>
      <c r="Y116" s="293"/>
      <c r="Z116" s="293"/>
      <c r="AA116" s="293"/>
      <c r="AB116" s="293"/>
      <c r="AC116" s="293"/>
      <c r="AD116" s="293"/>
      <c r="AE116" s="293"/>
      <c r="AF116" s="293"/>
      <c r="AG116" s="293"/>
      <c r="AH116" s="293"/>
      <c r="AI116" s="293"/>
      <c r="AJ116" s="293"/>
      <c r="AK116" s="293"/>
      <c r="AL116" s="293"/>
      <c r="AM116" s="293"/>
      <c r="AN116" s="293"/>
      <c r="AO116" s="293"/>
      <c r="AP116" s="293"/>
      <c r="AQ116" s="293"/>
      <c r="AR116" s="293"/>
      <c r="AS116" s="293"/>
      <c r="AT116" s="293"/>
      <c r="AU116" s="293"/>
      <c r="AV116" s="293"/>
      <c r="AW116" s="293"/>
      <c r="AX116" s="293"/>
      <c r="AY116" s="293"/>
      <c r="AZ116" s="293"/>
      <c r="BA116" s="293"/>
      <c r="BB116" s="293"/>
      <c r="BC116" s="293"/>
      <c r="BD116" s="293"/>
      <c r="BE116" s="293"/>
      <c r="BF116" s="293"/>
      <c r="BG116" s="293"/>
      <c r="BH116" s="293"/>
      <c r="BI116" s="293"/>
      <c r="BJ116" s="293"/>
      <c r="BK116" s="293"/>
      <c r="BL116" s="293"/>
      <c r="BM116" s="293"/>
      <c r="BN116" s="293"/>
      <c r="BO116" s="293"/>
      <c r="BP116" s="293"/>
      <c r="BQ116" s="293"/>
      <c r="BR116" s="293"/>
      <c r="BS116" s="293"/>
      <c r="BT116" s="293"/>
      <c r="BU116" s="293"/>
      <c r="BV116" s="293"/>
      <c r="BW116" s="293"/>
      <c r="BX116" s="293"/>
      <c r="BY116" s="293"/>
      <c r="BZ116" s="293"/>
      <c r="CA116" s="293"/>
      <c r="CB116" s="293"/>
      <c r="CC116" s="293"/>
      <c r="CD116" s="293"/>
      <c r="CE116" s="293"/>
      <c r="CF116" s="293"/>
      <c r="CG116" s="293"/>
      <c r="CH116" s="293"/>
      <c r="CI116" s="293"/>
      <c r="CJ116" s="293"/>
      <c r="CK116" s="293"/>
      <c r="CL116" s="293"/>
      <c r="CM116" s="293"/>
      <c r="CN116" s="293"/>
      <c r="CO116" s="293"/>
      <c r="CP116" s="293"/>
      <c r="CQ116" s="293"/>
      <c r="CR116" s="293"/>
      <c r="CS116" s="293"/>
      <c r="CT116" s="293"/>
      <c r="CU116" s="293"/>
      <c r="CV116" s="293"/>
      <c r="CW116" s="293"/>
      <c r="CX116" s="293"/>
      <c r="CY116" s="293"/>
      <c r="CZ116" s="293"/>
      <c r="DA116" s="293"/>
      <c r="DB116" s="293"/>
      <c r="DC116" s="293"/>
      <c r="DD116" s="293"/>
      <c r="DE116" s="293"/>
      <c r="DF116" s="293"/>
      <c r="DG116" s="293"/>
      <c r="DH116" s="293"/>
      <c r="DI116" s="293"/>
      <c r="DJ116" s="293"/>
      <c r="DK116" s="293"/>
      <c r="DL116" s="293"/>
      <c r="DM116" s="293"/>
      <c r="DN116" s="293"/>
      <c r="DO116" s="293"/>
      <c r="DP116" s="293"/>
      <c r="DQ116" s="293"/>
      <c r="DR116" s="293"/>
      <c r="DS116" s="288"/>
      <c r="DT116" s="288"/>
      <c r="DU116" s="288"/>
      <c r="DV116" s="288"/>
      <c r="DW116" s="288"/>
      <c r="DX116" s="288"/>
      <c r="DY116" s="288"/>
      <c r="DZ116" s="288"/>
      <c r="EA116" s="288"/>
      <c r="EB116" s="288"/>
      <c r="EC116" s="288"/>
      <c r="ED116" s="288"/>
      <c r="EE116" s="288"/>
      <c r="EF116" s="288"/>
      <c r="EG116" s="288"/>
      <c r="EH116" s="288"/>
      <c r="EI116" s="288"/>
      <c r="EJ116" s="288"/>
      <c r="EK116" s="288"/>
      <c r="EL116" s="288"/>
      <c r="EM116" s="288"/>
      <c r="EN116" s="288"/>
      <c r="EO116" s="288"/>
      <c r="EP116" s="288"/>
      <c r="EQ116" s="288"/>
      <c r="ER116" s="288"/>
      <c r="ES116" s="288"/>
      <c r="ET116" s="288"/>
      <c r="EU116" s="288"/>
      <c r="EV116" s="288"/>
      <c r="EW116" s="288"/>
      <c r="EX116" s="288"/>
      <c r="EY116" s="288"/>
      <c r="EZ116" s="288"/>
      <c r="FA116" s="288"/>
      <c r="FB116" s="288"/>
      <c r="FC116" s="288"/>
      <c r="FD116" s="288"/>
      <c r="FE116" s="288"/>
      <c r="FF116" s="288"/>
      <c r="FG116" s="288"/>
      <c r="FH116" s="288"/>
    </row>
    <row r="117" ht="14.25" customHeight="1">
      <c r="A117" s="293"/>
      <c r="B117" s="293"/>
      <c r="C117" s="293"/>
      <c r="D117" s="293"/>
      <c r="E117" s="293"/>
      <c r="F117" s="293"/>
      <c r="G117" s="293"/>
      <c r="H117" s="293"/>
      <c r="I117" s="293"/>
      <c r="J117" s="293"/>
      <c r="K117" s="293"/>
      <c r="L117" s="293"/>
      <c r="M117" s="293"/>
      <c r="N117" s="293"/>
      <c r="O117" s="293"/>
      <c r="P117" s="293"/>
      <c r="Q117" s="293"/>
      <c r="R117" s="293"/>
      <c r="S117" s="293"/>
      <c r="T117" s="293"/>
      <c r="U117" s="293"/>
      <c r="V117" s="293"/>
      <c r="W117" s="293"/>
      <c r="X117" s="293"/>
      <c r="Y117" s="293"/>
      <c r="Z117" s="293"/>
      <c r="AA117" s="293"/>
      <c r="AB117" s="293"/>
      <c r="AC117" s="293"/>
      <c r="AD117" s="293"/>
      <c r="AE117" s="293"/>
      <c r="AF117" s="293"/>
      <c r="AG117" s="293"/>
      <c r="AH117" s="293"/>
      <c r="AI117" s="293"/>
      <c r="AJ117" s="293"/>
      <c r="AK117" s="293"/>
      <c r="AL117" s="293"/>
      <c r="AM117" s="293"/>
      <c r="AN117" s="293"/>
      <c r="AO117" s="293"/>
      <c r="AP117" s="293"/>
      <c r="AQ117" s="293"/>
      <c r="AR117" s="293"/>
      <c r="AS117" s="293"/>
      <c r="AT117" s="293"/>
      <c r="AU117" s="293"/>
      <c r="AV117" s="293"/>
      <c r="AW117" s="293"/>
      <c r="AX117" s="293"/>
      <c r="AY117" s="293"/>
      <c r="AZ117" s="293"/>
      <c r="BA117" s="293"/>
      <c r="BB117" s="293"/>
      <c r="BC117" s="293"/>
      <c r="BD117" s="293"/>
      <c r="BE117" s="293"/>
      <c r="BF117" s="293"/>
      <c r="BG117" s="293"/>
      <c r="BH117" s="293"/>
      <c r="BI117" s="293"/>
      <c r="BJ117" s="293"/>
      <c r="BK117" s="293"/>
      <c r="BL117" s="293"/>
      <c r="BM117" s="293"/>
      <c r="BN117" s="293"/>
      <c r="BO117" s="293"/>
      <c r="BP117" s="293"/>
      <c r="BQ117" s="293"/>
      <c r="BR117" s="293"/>
      <c r="BS117" s="293"/>
      <c r="BT117" s="293"/>
      <c r="BU117" s="293"/>
      <c r="BV117" s="293"/>
      <c r="BW117" s="293"/>
      <c r="BX117" s="293"/>
      <c r="BY117" s="293"/>
      <c r="BZ117" s="293"/>
      <c r="CA117" s="293"/>
      <c r="CB117" s="293"/>
      <c r="CC117" s="293"/>
      <c r="CD117" s="293"/>
      <c r="CE117" s="293"/>
      <c r="CF117" s="293"/>
      <c r="CG117" s="293"/>
      <c r="CH117" s="293"/>
      <c r="CI117" s="293"/>
      <c r="CJ117" s="293"/>
      <c r="CK117" s="293"/>
      <c r="CL117" s="293"/>
      <c r="CM117" s="293"/>
      <c r="CN117" s="293"/>
      <c r="CO117" s="293"/>
      <c r="CP117" s="293"/>
      <c r="CQ117" s="293"/>
      <c r="CR117" s="293"/>
      <c r="CS117" s="293"/>
      <c r="CT117" s="293"/>
      <c r="CU117" s="293"/>
      <c r="CV117" s="293"/>
      <c r="CW117" s="293"/>
      <c r="CX117" s="293"/>
      <c r="CY117" s="293"/>
      <c r="CZ117" s="293"/>
      <c r="DA117" s="293"/>
      <c r="DB117" s="293"/>
      <c r="DC117" s="293"/>
      <c r="DD117" s="293"/>
      <c r="DE117" s="293"/>
      <c r="DF117" s="293"/>
      <c r="DG117" s="293"/>
      <c r="DH117" s="293"/>
      <c r="DI117" s="293"/>
      <c r="DJ117" s="293"/>
      <c r="DK117" s="293"/>
      <c r="DL117" s="293"/>
      <c r="DM117" s="293"/>
      <c r="DN117" s="293"/>
      <c r="DO117" s="293"/>
      <c r="DP117" s="293"/>
      <c r="DQ117" s="293"/>
      <c r="DR117" s="293"/>
      <c r="DS117" s="288"/>
      <c r="DT117" s="288"/>
      <c r="DU117" s="288"/>
      <c r="DV117" s="288"/>
      <c r="DW117" s="288"/>
      <c r="DX117" s="288"/>
      <c r="DY117" s="288"/>
      <c r="DZ117" s="288"/>
      <c r="EA117" s="288"/>
      <c r="EB117" s="288"/>
      <c r="EC117" s="288"/>
      <c r="ED117" s="288"/>
      <c r="EE117" s="288"/>
      <c r="EF117" s="288"/>
      <c r="EG117" s="288"/>
      <c r="EH117" s="288"/>
      <c r="EI117" s="288"/>
      <c r="EJ117" s="288"/>
      <c r="EK117" s="288"/>
      <c r="EL117" s="288"/>
      <c r="EM117" s="288"/>
      <c r="EN117" s="288"/>
      <c r="EO117" s="288"/>
      <c r="EP117" s="288"/>
      <c r="EQ117" s="288"/>
      <c r="ER117" s="288"/>
      <c r="ES117" s="288"/>
      <c r="ET117" s="288"/>
      <c r="EU117" s="288"/>
      <c r="EV117" s="288"/>
      <c r="EW117" s="288"/>
      <c r="EX117" s="288"/>
      <c r="EY117" s="288"/>
      <c r="EZ117" s="288"/>
      <c r="FA117" s="288"/>
      <c r="FB117" s="288"/>
      <c r="FC117" s="288"/>
      <c r="FD117" s="288"/>
      <c r="FE117" s="288"/>
      <c r="FF117" s="288"/>
      <c r="FG117" s="288"/>
      <c r="FH117" s="288"/>
    </row>
    <row r="118" ht="14.25" customHeight="1">
      <c r="A118" s="293"/>
      <c r="B118" s="293"/>
      <c r="C118" s="293"/>
      <c r="D118" s="293"/>
      <c r="E118" s="293"/>
      <c r="F118" s="293"/>
      <c r="G118" s="293"/>
      <c r="H118" s="293"/>
      <c r="I118" s="293"/>
      <c r="J118" s="293"/>
      <c r="K118" s="293"/>
      <c r="L118" s="293"/>
      <c r="M118" s="293"/>
      <c r="N118" s="293"/>
      <c r="O118" s="293"/>
      <c r="P118" s="293"/>
      <c r="Q118" s="293"/>
      <c r="R118" s="293"/>
      <c r="S118" s="293"/>
      <c r="T118" s="293"/>
      <c r="U118" s="293"/>
      <c r="V118" s="293"/>
      <c r="W118" s="293"/>
      <c r="X118" s="293"/>
      <c r="Y118" s="293"/>
      <c r="Z118" s="293"/>
      <c r="AA118" s="293"/>
      <c r="AB118" s="293"/>
      <c r="AC118" s="293"/>
      <c r="AD118" s="293"/>
      <c r="AE118" s="293"/>
      <c r="AF118" s="293"/>
      <c r="AG118" s="293"/>
      <c r="AH118" s="293"/>
      <c r="AI118" s="293"/>
      <c r="AJ118" s="293"/>
      <c r="AK118" s="293"/>
      <c r="AL118" s="293"/>
      <c r="AM118" s="293"/>
      <c r="AN118" s="293"/>
      <c r="AO118" s="293"/>
      <c r="AP118" s="293"/>
      <c r="AQ118" s="293"/>
      <c r="AR118" s="293"/>
      <c r="AS118" s="293"/>
      <c r="AT118" s="293"/>
      <c r="AU118" s="293"/>
      <c r="AV118" s="293"/>
      <c r="AW118" s="293"/>
      <c r="AX118" s="293"/>
      <c r="AY118" s="293"/>
      <c r="AZ118" s="293"/>
      <c r="BA118" s="293"/>
      <c r="BB118" s="293"/>
      <c r="BC118" s="293"/>
      <c r="BD118" s="293"/>
      <c r="BE118" s="293"/>
      <c r="BF118" s="293"/>
      <c r="BG118" s="293"/>
      <c r="BH118" s="293"/>
      <c r="BI118" s="293"/>
      <c r="BJ118" s="293"/>
      <c r="BK118" s="293"/>
      <c r="BL118" s="293"/>
      <c r="BM118" s="293"/>
      <c r="BN118" s="293"/>
      <c r="BO118" s="293"/>
      <c r="BP118" s="293"/>
      <c r="BQ118" s="293"/>
      <c r="BR118" s="293"/>
      <c r="BS118" s="293"/>
      <c r="BT118" s="293"/>
      <c r="BU118" s="293"/>
      <c r="BV118" s="293"/>
      <c r="BW118" s="293"/>
      <c r="BX118" s="293"/>
      <c r="BY118" s="293"/>
      <c r="BZ118" s="293"/>
      <c r="CA118" s="293"/>
      <c r="CB118" s="293"/>
      <c r="CC118" s="293"/>
      <c r="CD118" s="293"/>
      <c r="CE118" s="293"/>
      <c r="CF118" s="293"/>
      <c r="CG118" s="293"/>
      <c r="CH118" s="293"/>
      <c r="CI118" s="293"/>
      <c r="CJ118" s="293"/>
      <c r="CK118" s="293"/>
      <c r="CL118" s="293"/>
      <c r="CM118" s="293"/>
      <c r="CN118" s="293"/>
      <c r="CO118" s="293"/>
      <c r="CP118" s="293"/>
      <c r="CQ118" s="293"/>
      <c r="CR118" s="293"/>
      <c r="CS118" s="293"/>
      <c r="CT118" s="293"/>
      <c r="CU118" s="293"/>
      <c r="CV118" s="293"/>
      <c r="CW118" s="293"/>
      <c r="CX118" s="293"/>
      <c r="CY118" s="293"/>
      <c r="CZ118" s="293"/>
      <c r="DA118" s="293"/>
      <c r="DB118" s="293"/>
      <c r="DC118" s="293"/>
      <c r="DD118" s="293"/>
      <c r="DE118" s="293"/>
      <c r="DF118" s="293"/>
      <c r="DG118" s="293"/>
      <c r="DH118" s="293"/>
      <c r="DI118" s="293"/>
      <c r="DJ118" s="293"/>
      <c r="DK118" s="293"/>
      <c r="DL118" s="293"/>
      <c r="DM118" s="293"/>
      <c r="DN118" s="293"/>
      <c r="DO118" s="293"/>
      <c r="DP118" s="293"/>
      <c r="DQ118" s="293"/>
      <c r="DR118" s="293"/>
      <c r="DS118" s="288"/>
      <c r="DT118" s="288"/>
      <c r="DU118" s="288"/>
      <c r="DV118" s="288"/>
      <c r="DW118" s="288"/>
      <c r="DX118" s="288"/>
      <c r="DY118" s="288"/>
      <c r="DZ118" s="288"/>
      <c r="EA118" s="288"/>
      <c r="EB118" s="288"/>
      <c r="EC118" s="288"/>
      <c r="ED118" s="288"/>
      <c r="EE118" s="288"/>
      <c r="EF118" s="288"/>
      <c r="EG118" s="288"/>
      <c r="EH118" s="288"/>
      <c r="EI118" s="288"/>
      <c r="EJ118" s="288"/>
      <c r="EK118" s="288"/>
      <c r="EL118" s="288"/>
      <c r="EM118" s="288"/>
      <c r="EN118" s="288"/>
      <c r="EO118" s="288"/>
      <c r="EP118" s="288"/>
      <c r="EQ118" s="288"/>
      <c r="ER118" s="288"/>
      <c r="ES118" s="288"/>
      <c r="ET118" s="288"/>
      <c r="EU118" s="288"/>
      <c r="EV118" s="288"/>
      <c r="EW118" s="288"/>
      <c r="EX118" s="288"/>
      <c r="EY118" s="288"/>
      <c r="EZ118" s="288"/>
      <c r="FA118" s="288"/>
      <c r="FB118" s="288"/>
      <c r="FC118" s="288"/>
      <c r="FD118" s="288"/>
      <c r="FE118" s="288"/>
      <c r="FF118" s="288"/>
      <c r="FG118" s="288"/>
      <c r="FH118" s="288"/>
    </row>
    <row r="119" ht="14.25" customHeight="1">
      <c r="A119" s="293"/>
      <c r="B119" s="293"/>
      <c r="C119" s="293"/>
      <c r="D119" s="293"/>
      <c r="E119" s="293"/>
      <c r="F119" s="293"/>
      <c r="G119" s="293"/>
      <c r="H119" s="293"/>
      <c r="I119" s="293"/>
      <c r="J119" s="293"/>
      <c r="K119" s="293"/>
      <c r="L119" s="293"/>
      <c r="M119" s="293"/>
      <c r="N119" s="293"/>
      <c r="O119" s="293"/>
      <c r="P119" s="293"/>
      <c r="Q119" s="293"/>
      <c r="R119" s="293"/>
      <c r="S119" s="293"/>
      <c r="T119" s="293"/>
      <c r="U119" s="293"/>
      <c r="V119" s="293"/>
      <c r="W119" s="293"/>
      <c r="X119" s="293"/>
      <c r="Y119" s="293"/>
      <c r="Z119" s="293"/>
      <c r="AA119" s="293"/>
      <c r="AB119" s="293"/>
      <c r="AC119" s="293"/>
      <c r="AD119" s="293"/>
      <c r="AE119" s="293"/>
      <c r="AF119" s="293"/>
      <c r="AG119" s="293"/>
      <c r="AH119" s="293"/>
      <c r="AI119" s="293"/>
      <c r="AJ119" s="293"/>
      <c r="AK119" s="293"/>
      <c r="AL119" s="293"/>
      <c r="AM119" s="293"/>
      <c r="AN119" s="293"/>
      <c r="AO119" s="293"/>
      <c r="AP119" s="293"/>
      <c r="AQ119" s="293"/>
      <c r="AR119" s="293"/>
      <c r="AS119" s="293"/>
      <c r="AT119" s="293"/>
      <c r="AU119" s="293"/>
      <c r="AV119" s="293"/>
      <c r="AW119" s="293"/>
      <c r="AX119" s="293"/>
      <c r="AY119" s="293"/>
      <c r="AZ119" s="293"/>
      <c r="BA119" s="293"/>
      <c r="BB119" s="293"/>
      <c r="BC119" s="293"/>
      <c r="BD119" s="293"/>
      <c r="BE119" s="293"/>
      <c r="BF119" s="293"/>
      <c r="BG119" s="293"/>
      <c r="BH119" s="293"/>
      <c r="BI119" s="293"/>
      <c r="BJ119" s="293"/>
      <c r="BK119" s="293"/>
      <c r="BL119" s="293"/>
      <c r="BM119" s="293"/>
      <c r="BN119" s="293"/>
      <c r="BO119" s="293"/>
      <c r="BP119" s="293"/>
      <c r="BQ119" s="293"/>
      <c r="BR119" s="293"/>
      <c r="BS119" s="293"/>
      <c r="BT119" s="293"/>
      <c r="BU119" s="293"/>
      <c r="BV119" s="293"/>
      <c r="BW119" s="293"/>
      <c r="BX119" s="293"/>
      <c r="BY119" s="293"/>
      <c r="BZ119" s="293"/>
      <c r="CA119" s="293"/>
      <c r="CB119" s="293"/>
      <c r="CC119" s="293"/>
      <c r="CD119" s="293"/>
      <c r="CE119" s="293"/>
      <c r="CF119" s="293"/>
      <c r="CG119" s="293"/>
      <c r="CH119" s="293"/>
      <c r="CI119" s="293"/>
      <c r="CJ119" s="293"/>
      <c r="CK119" s="293"/>
      <c r="CL119" s="293"/>
      <c r="CM119" s="293"/>
      <c r="CN119" s="293"/>
      <c r="CO119" s="293"/>
      <c r="CP119" s="293"/>
      <c r="CQ119" s="293"/>
      <c r="CR119" s="293"/>
      <c r="CS119" s="293"/>
      <c r="CT119" s="293"/>
      <c r="CU119" s="293"/>
      <c r="CV119" s="293"/>
      <c r="CW119" s="293"/>
      <c r="CX119" s="293"/>
      <c r="CY119" s="293"/>
      <c r="CZ119" s="293"/>
      <c r="DA119" s="293"/>
      <c r="DB119" s="293"/>
      <c r="DC119" s="293"/>
      <c r="DD119" s="293"/>
      <c r="DE119" s="293"/>
      <c r="DF119" s="293"/>
      <c r="DG119" s="293"/>
      <c r="DH119" s="293"/>
      <c r="DI119" s="293"/>
      <c r="DJ119" s="293"/>
      <c r="DK119" s="293"/>
      <c r="DL119" s="293"/>
      <c r="DM119" s="293"/>
      <c r="DN119" s="293"/>
      <c r="DO119" s="293"/>
      <c r="DP119" s="293"/>
      <c r="DQ119" s="293"/>
      <c r="DR119" s="293"/>
      <c r="DS119" s="288"/>
      <c r="DT119" s="288"/>
      <c r="DU119" s="288"/>
      <c r="DV119" s="288"/>
      <c r="DW119" s="288"/>
      <c r="DX119" s="288"/>
      <c r="DY119" s="288"/>
      <c r="DZ119" s="288"/>
      <c r="EA119" s="288"/>
      <c r="EB119" s="288"/>
      <c r="EC119" s="288"/>
      <c r="ED119" s="288"/>
      <c r="EE119" s="288"/>
      <c r="EF119" s="288"/>
      <c r="EG119" s="288"/>
      <c r="EH119" s="288"/>
      <c r="EI119" s="288"/>
      <c r="EJ119" s="288"/>
      <c r="EK119" s="288"/>
      <c r="EL119" s="288"/>
      <c r="EM119" s="288"/>
      <c r="EN119" s="288"/>
      <c r="EO119" s="288"/>
      <c r="EP119" s="288"/>
      <c r="EQ119" s="288"/>
      <c r="ER119" s="288"/>
      <c r="ES119" s="288"/>
      <c r="ET119" s="288"/>
      <c r="EU119" s="288"/>
      <c r="EV119" s="288"/>
      <c r="EW119" s="288"/>
      <c r="EX119" s="288"/>
      <c r="EY119" s="288"/>
      <c r="EZ119" s="288"/>
      <c r="FA119" s="288"/>
      <c r="FB119" s="288"/>
      <c r="FC119" s="288"/>
      <c r="FD119" s="288"/>
      <c r="FE119" s="288"/>
      <c r="FF119" s="288"/>
      <c r="FG119" s="288"/>
      <c r="FH119" s="288"/>
    </row>
    <row r="120" ht="14.25" customHeight="1">
      <c r="A120" s="293"/>
      <c r="B120" s="293"/>
      <c r="C120" s="293"/>
      <c r="D120" s="293"/>
      <c r="E120" s="293"/>
      <c r="F120" s="293"/>
      <c r="G120" s="293"/>
      <c r="H120" s="293"/>
      <c r="I120" s="293"/>
      <c r="J120" s="293"/>
      <c r="K120" s="293"/>
      <c r="L120" s="293"/>
      <c r="M120" s="293"/>
      <c r="N120" s="293"/>
      <c r="O120" s="293"/>
      <c r="P120" s="293"/>
      <c r="Q120" s="293"/>
      <c r="R120" s="293"/>
      <c r="S120" s="293"/>
      <c r="T120" s="293"/>
      <c r="U120" s="293"/>
      <c r="V120" s="293"/>
      <c r="W120" s="293"/>
      <c r="X120" s="293"/>
      <c r="Y120" s="293"/>
      <c r="Z120" s="293"/>
      <c r="AA120" s="293"/>
      <c r="AB120" s="293"/>
      <c r="AC120" s="293"/>
      <c r="AD120" s="293"/>
      <c r="AE120" s="293"/>
      <c r="AF120" s="293"/>
      <c r="AG120" s="293"/>
      <c r="AH120" s="293"/>
      <c r="AI120" s="293"/>
      <c r="AJ120" s="293"/>
      <c r="AK120" s="293"/>
      <c r="AL120" s="293"/>
      <c r="AM120" s="293"/>
      <c r="AN120" s="293"/>
      <c r="AO120" s="293"/>
      <c r="AP120" s="293"/>
      <c r="AQ120" s="293"/>
      <c r="AR120" s="293"/>
      <c r="AS120" s="293"/>
      <c r="AT120" s="293"/>
      <c r="AU120" s="293"/>
      <c r="AV120" s="293"/>
      <c r="AW120" s="293"/>
      <c r="AX120" s="293"/>
      <c r="AY120" s="293"/>
      <c r="AZ120" s="293"/>
      <c r="BA120" s="293"/>
      <c r="BB120" s="293"/>
      <c r="BC120" s="293"/>
      <c r="BD120" s="293"/>
      <c r="BE120" s="293"/>
      <c r="BF120" s="293"/>
      <c r="BG120" s="293"/>
      <c r="BH120" s="293"/>
      <c r="BI120" s="293"/>
      <c r="BJ120" s="293"/>
      <c r="BK120" s="293"/>
      <c r="BL120" s="293"/>
      <c r="BM120" s="293"/>
      <c r="BN120" s="293"/>
      <c r="BO120" s="293"/>
      <c r="BP120" s="293"/>
      <c r="BQ120" s="293"/>
      <c r="BR120" s="293"/>
      <c r="BS120" s="293"/>
      <c r="BT120" s="293"/>
      <c r="BU120" s="293"/>
      <c r="BV120" s="293"/>
      <c r="BW120" s="293"/>
      <c r="BX120" s="293"/>
      <c r="BY120" s="293"/>
      <c r="BZ120" s="293"/>
      <c r="CA120" s="293"/>
      <c r="CB120" s="293"/>
      <c r="CC120" s="293"/>
      <c r="CD120" s="293"/>
      <c r="CE120" s="293"/>
      <c r="CF120" s="293"/>
      <c r="CG120" s="293"/>
      <c r="CH120" s="293"/>
      <c r="CI120" s="293"/>
      <c r="CJ120" s="293"/>
      <c r="CK120" s="293"/>
      <c r="CL120" s="293"/>
      <c r="CM120" s="293"/>
      <c r="CN120" s="293"/>
      <c r="CO120" s="293"/>
      <c r="CP120" s="293"/>
      <c r="CQ120" s="293"/>
      <c r="CR120" s="293"/>
      <c r="CS120" s="293"/>
      <c r="CT120" s="293"/>
      <c r="CU120" s="293"/>
      <c r="CV120" s="293"/>
      <c r="CW120" s="293"/>
      <c r="CX120" s="293"/>
      <c r="CY120" s="293"/>
      <c r="CZ120" s="293"/>
      <c r="DA120" s="293"/>
      <c r="DB120" s="293"/>
      <c r="DC120" s="293"/>
      <c r="DD120" s="293"/>
      <c r="DE120" s="293"/>
      <c r="DF120" s="293"/>
      <c r="DG120" s="293"/>
      <c r="DH120" s="293"/>
      <c r="DI120" s="293"/>
      <c r="DJ120" s="293"/>
      <c r="DK120" s="293"/>
      <c r="DL120" s="293"/>
      <c r="DM120" s="293"/>
      <c r="DN120" s="293"/>
      <c r="DO120" s="293"/>
      <c r="DP120" s="293"/>
      <c r="DQ120" s="293"/>
      <c r="DR120" s="293"/>
      <c r="DS120" s="288"/>
      <c r="DT120" s="288"/>
      <c r="DU120" s="288"/>
      <c r="DV120" s="288"/>
      <c r="DW120" s="288"/>
      <c r="DX120" s="288"/>
      <c r="DY120" s="288"/>
      <c r="DZ120" s="288"/>
      <c r="EA120" s="288"/>
      <c r="EB120" s="288"/>
      <c r="EC120" s="288"/>
      <c r="ED120" s="288"/>
      <c r="EE120" s="288"/>
      <c r="EF120" s="288"/>
      <c r="EG120" s="288"/>
      <c r="EH120" s="288"/>
      <c r="EI120" s="288"/>
      <c r="EJ120" s="288"/>
      <c r="EK120" s="288"/>
      <c r="EL120" s="288"/>
      <c r="EM120" s="288"/>
      <c r="EN120" s="288"/>
      <c r="EO120" s="288"/>
      <c r="EP120" s="288"/>
      <c r="EQ120" s="288"/>
      <c r="ER120" s="288"/>
      <c r="ES120" s="288"/>
      <c r="ET120" s="288"/>
      <c r="EU120" s="288"/>
      <c r="EV120" s="288"/>
      <c r="EW120" s="288"/>
      <c r="EX120" s="288"/>
      <c r="EY120" s="288"/>
      <c r="EZ120" s="288"/>
      <c r="FA120" s="288"/>
      <c r="FB120" s="288"/>
      <c r="FC120" s="288"/>
      <c r="FD120" s="288"/>
      <c r="FE120" s="288"/>
      <c r="FF120" s="288"/>
      <c r="FG120" s="288"/>
      <c r="FH120" s="288"/>
    </row>
    <row r="121" ht="14.25" customHeight="1">
      <c r="A121" s="293"/>
      <c r="B121" s="293"/>
      <c r="C121" s="293"/>
      <c r="D121" s="293"/>
      <c r="E121" s="293"/>
      <c r="F121" s="293"/>
      <c r="G121" s="293"/>
      <c r="H121" s="293"/>
      <c r="I121" s="293"/>
      <c r="J121" s="293"/>
      <c r="K121" s="293"/>
      <c r="L121" s="293"/>
      <c r="M121" s="293"/>
      <c r="N121" s="293"/>
      <c r="O121" s="293"/>
      <c r="P121" s="293"/>
      <c r="Q121" s="293"/>
      <c r="R121" s="293"/>
      <c r="S121" s="293"/>
      <c r="T121" s="293"/>
      <c r="U121" s="293"/>
      <c r="V121" s="293"/>
      <c r="W121" s="293"/>
      <c r="X121" s="293"/>
      <c r="Y121" s="293"/>
      <c r="Z121" s="293"/>
      <c r="AA121" s="293"/>
      <c r="AB121" s="293"/>
      <c r="AC121" s="293"/>
      <c r="AD121" s="293"/>
      <c r="AE121" s="293"/>
      <c r="AF121" s="293"/>
      <c r="AG121" s="293"/>
      <c r="AH121" s="293"/>
      <c r="AI121" s="293"/>
      <c r="AJ121" s="293"/>
      <c r="AK121" s="293"/>
      <c r="AL121" s="293"/>
      <c r="AM121" s="293"/>
      <c r="AN121" s="293"/>
      <c r="AO121" s="293"/>
      <c r="AP121" s="293"/>
      <c r="AQ121" s="293"/>
      <c r="AR121" s="293"/>
      <c r="AS121" s="293"/>
      <c r="AT121" s="293"/>
      <c r="AU121" s="293"/>
      <c r="AV121" s="293"/>
      <c r="AW121" s="293"/>
      <c r="AX121" s="293"/>
      <c r="AY121" s="293"/>
      <c r="AZ121" s="293"/>
      <c r="BA121" s="293"/>
      <c r="BB121" s="293"/>
      <c r="BC121" s="293"/>
      <c r="BD121" s="293"/>
      <c r="BE121" s="293"/>
      <c r="BF121" s="293"/>
      <c r="BG121" s="293"/>
      <c r="BH121" s="293"/>
      <c r="BI121" s="293"/>
      <c r="BJ121" s="293"/>
      <c r="BK121" s="293"/>
      <c r="BL121" s="293"/>
      <c r="BM121" s="293"/>
      <c r="BN121" s="293"/>
      <c r="BO121" s="293"/>
      <c r="BP121" s="293"/>
      <c r="BQ121" s="293"/>
      <c r="BR121" s="293"/>
      <c r="BS121" s="293"/>
      <c r="BT121" s="293"/>
      <c r="BU121" s="293"/>
      <c r="BV121" s="293"/>
      <c r="BW121" s="293"/>
      <c r="BX121" s="293"/>
      <c r="BY121" s="293"/>
      <c r="BZ121" s="293"/>
      <c r="CA121" s="293"/>
      <c r="CB121" s="293"/>
      <c r="CC121" s="293"/>
      <c r="CD121" s="293"/>
      <c r="CE121" s="293"/>
      <c r="CF121" s="293"/>
      <c r="CG121" s="293"/>
      <c r="CH121" s="293"/>
      <c r="CI121" s="293"/>
      <c r="CJ121" s="293"/>
      <c r="CK121" s="293"/>
      <c r="CL121" s="293"/>
      <c r="CM121" s="293"/>
      <c r="CN121" s="293"/>
      <c r="CO121" s="293"/>
      <c r="CP121" s="293"/>
      <c r="CQ121" s="293"/>
      <c r="CR121" s="293"/>
      <c r="CS121" s="293"/>
      <c r="CT121" s="293"/>
      <c r="CU121" s="293"/>
      <c r="CV121" s="293"/>
      <c r="CW121" s="293"/>
      <c r="CX121" s="293"/>
      <c r="CY121" s="293"/>
      <c r="CZ121" s="293"/>
      <c r="DA121" s="293"/>
      <c r="DB121" s="293"/>
      <c r="DC121" s="293"/>
      <c r="DD121" s="293"/>
      <c r="DE121" s="293"/>
      <c r="DF121" s="293"/>
      <c r="DG121" s="293"/>
      <c r="DH121" s="293"/>
      <c r="DI121" s="293"/>
      <c r="DJ121" s="293"/>
      <c r="DK121" s="293"/>
      <c r="DL121" s="293"/>
      <c r="DM121" s="293"/>
      <c r="DN121" s="293"/>
      <c r="DO121" s="293"/>
      <c r="DP121" s="293"/>
      <c r="DQ121" s="293"/>
      <c r="DR121" s="293"/>
      <c r="DS121" s="288"/>
      <c r="DT121" s="288"/>
      <c r="DU121" s="288"/>
      <c r="DV121" s="288"/>
      <c r="DW121" s="288"/>
      <c r="DX121" s="288"/>
      <c r="DY121" s="288"/>
      <c r="DZ121" s="288"/>
      <c r="EA121" s="288"/>
      <c r="EB121" s="288"/>
      <c r="EC121" s="288"/>
      <c r="ED121" s="288"/>
      <c r="EE121" s="288"/>
      <c r="EF121" s="288"/>
      <c r="EG121" s="288"/>
      <c r="EH121" s="288"/>
      <c r="EI121" s="288"/>
      <c r="EJ121" s="288"/>
      <c r="EK121" s="288"/>
      <c r="EL121" s="288"/>
      <c r="EM121" s="288"/>
      <c r="EN121" s="288"/>
      <c r="EO121" s="288"/>
      <c r="EP121" s="288"/>
      <c r="EQ121" s="288"/>
      <c r="ER121" s="288"/>
      <c r="ES121" s="288"/>
      <c r="ET121" s="288"/>
      <c r="EU121" s="288"/>
      <c r="EV121" s="288"/>
      <c r="EW121" s="288"/>
      <c r="EX121" s="288"/>
      <c r="EY121" s="288"/>
      <c r="EZ121" s="288"/>
      <c r="FA121" s="288"/>
      <c r="FB121" s="288"/>
      <c r="FC121" s="288"/>
      <c r="FD121" s="288"/>
      <c r="FE121" s="288"/>
      <c r="FF121" s="288"/>
      <c r="FG121" s="288"/>
      <c r="FH121" s="288"/>
    </row>
    <row r="122" ht="14.25" customHeight="1">
      <c r="A122" s="293"/>
      <c r="B122" s="293"/>
      <c r="C122" s="293"/>
      <c r="D122" s="293"/>
      <c r="E122" s="293"/>
      <c r="F122" s="293"/>
      <c r="G122" s="293"/>
      <c r="H122" s="293"/>
      <c r="I122" s="293"/>
      <c r="J122" s="293"/>
      <c r="K122" s="293"/>
      <c r="L122" s="293"/>
      <c r="M122" s="293"/>
      <c r="N122" s="293"/>
      <c r="O122" s="293"/>
      <c r="P122" s="293"/>
      <c r="Q122" s="293"/>
      <c r="R122" s="293"/>
      <c r="S122" s="293"/>
      <c r="T122" s="293"/>
      <c r="U122" s="293"/>
      <c r="V122" s="293"/>
      <c r="W122" s="293"/>
      <c r="X122" s="293"/>
      <c r="Y122" s="293"/>
      <c r="Z122" s="293"/>
      <c r="AA122" s="293"/>
      <c r="AB122" s="293"/>
      <c r="AC122" s="293"/>
      <c r="AD122" s="293"/>
      <c r="AE122" s="293"/>
      <c r="AF122" s="293"/>
      <c r="AG122" s="293"/>
      <c r="AH122" s="293"/>
      <c r="AI122" s="293"/>
      <c r="AJ122" s="293"/>
      <c r="AK122" s="293"/>
      <c r="AL122" s="293"/>
      <c r="AM122" s="293"/>
      <c r="AN122" s="293"/>
      <c r="AO122" s="293"/>
      <c r="AP122" s="293"/>
      <c r="AQ122" s="293"/>
      <c r="AR122" s="293"/>
      <c r="AS122" s="293"/>
      <c r="AT122" s="293"/>
      <c r="AU122" s="293"/>
      <c r="AV122" s="293"/>
      <c r="AW122" s="293"/>
      <c r="AX122" s="293"/>
      <c r="AY122" s="293"/>
      <c r="AZ122" s="293"/>
      <c r="BA122" s="293"/>
      <c r="BB122" s="293"/>
      <c r="BC122" s="293"/>
      <c r="BD122" s="293"/>
      <c r="BE122" s="293"/>
      <c r="BF122" s="293"/>
      <c r="BG122" s="293"/>
      <c r="BH122" s="293"/>
      <c r="BI122" s="293"/>
      <c r="BJ122" s="293"/>
      <c r="BK122" s="293"/>
      <c r="BL122" s="293"/>
      <c r="BM122" s="293"/>
      <c r="BN122" s="293"/>
      <c r="BO122" s="293"/>
      <c r="BP122" s="293"/>
      <c r="BQ122" s="293"/>
      <c r="BR122" s="293"/>
      <c r="BS122" s="293"/>
      <c r="BT122" s="293"/>
      <c r="BU122" s="293"/>
      <c r="BV122" s="293"/>
      <c r="BW122" s="293"/>
      <c r="BX122" s="293"/>
      <c r="BY122" s="293"/>
      <c r="BZ122" s="293"/>
      <c r="CA122" s="293"/>
      <c r="CB122" s="293"/>
      <c r="CC122" s="293"/>
      <c r="CD122" s="293"/>
      <c r="CE122" s="293"/>
      <c r="CF122" s="293"/>
      <c r="CG122" s="293"/>
      <c r="CH122" s="293"/>
      <c r="CI122" s="293"/>
      <c r="CJ122" s="293"/>
      <c r="CK122" s="293"/>
      <c r="CL122" s="293"/>
      <c r="CM122" s="293"/>
      <c r="CN122" s="293"/>
      <c r="CO122" s="293"/>
      <c r="CP122" s="293"/>
      <c r="CQ122" s="293"/>
      <c r="CR122" s="293"/>
      <c r="CS122" s="293"/>
      <c r="CT122" s="293"/>
      <c r="CU122" s="293"/>
      <c r="CV122" s="293"/>
      <c r="CW122" s="293"/>
      <c r="CX122" s="293"/>
      <c r="CY122" s="293"/>
      <c r="CZ122" s="293"/>
      <c r="DA122" s="293"/>
      <c r="DB122" s="293"/>
      <c r="DC122" s="293"/>
      <c r="DD122" s="293"/>
      <c r="DE122" s="293"/>
      <c r="DF122" s="293"/>
      <c r="DG122" s="293"/>
      <c r="DH122" s="293"/>
      <c r="DI122" s="293"/>
      <c r="DJ122" s="293"/>
      <c r="DK122" s="293"/>
      <c r="DL122" s="293"/>
      <c r="DM122" s="293"/>
      <c r="DN122" s="293"/>
      <c r="DO122" s="293"/>
      <c r="DP122" s="293"/>
      <c r="DQ122" s="293"/>
      <c r="DR122" s="293"/>
      <c r="DS122" s="288"/>
      <c r="DT122" s="288"/>
      <c r="DU122" s="288"/>
      <c r="DV122" s="288"/>
      <c r="DW122" s="288"/>
      <c r="DX122" s="288"/>
      <c r="DY122" s="288"/>
      <c r="DZ122" s="288"/>
      <c r="EA122" s="288"/>
      <c r="EB122" s="288"/>
      <c r="EC122" s="288"/>
      <c r="ED122" s="288"/>
      <c r="EE122" s="288"/>
      <c r="EF122" s="288"/>
      <c r="EG122" s="288"/>
      <c r="EH122" s="288"/>
      <c r="EI122" s="288"/>
      <c r="EJ122" s="288"/>
      <c r="EK122" s="288"/>
      <c r="EL122" s="288"/>
      <c r="EM122" s="288"/>
      <c r="EN122" s="288"/>
      <c r="EO122" s="288"/>
      <c r="EP122" s="288"/>
      <c r="EQ122" s="288"/>
      <c r="ER122" s="288"/>
      <c r="ES122" s="288"/>
      <c r="ET122" s="288"/>
      <c r="EU122" s="288"/>
      <c r="EV122" s="288"/>
      <c r="EW122" s="288"/>
      <c r="EX122" s="288"/>
      <c r="EY122" s="288"/>
      <c r="EZ122" s="288"/>
      <c r="FA122" s="288"/>
      <c r="FB122" s="288"/>
      <c r="FC122" s="288"/>
      <c r="FD122" s="288"/>
      <c r="FE122" s="288"/>
      <c r="FF122" s="288"/>
      <c r="FG122" s="288"/>
      <c r="FH122" s="288"/>
    </row>
    <row r="123" ht="14.25" customHeight="1">
      <c r="A123" s="293"/>
      <c r="B123" s="293"/>
      <c r="C123" s="293"/>
      <c r="D123" s="293"/>
      <c r="E123" s="293"/>
      <c r="F123" s="293"/>
      <c r="G123" s="293"/>
      <c r="H123" s="293"/>
      <c r="I123" s="293"/>
      <c r="J123" s="293"/>
      <c r="K123" s="293"/>
      <c r="L123" s="293"/>
      <c r="M123" s="293"/>
      <c r="N123" s="293"/>
      <c r="O123" s="293"/>
      <c r="P123" s="293"/>
      <c r="Q123" s="293"/>
      <c r="R123" s="293"/>
      <c r="S123" s="293"/>
      <c r="T123" s="293"/>
      <c r="U123" s="293"/>
      <c r="V123" s="293"/>
      <c r="W123" s="293"/>
      <c r="X123" s="293"/>
      <c r="Y123" s="293"/>
      <c r="Z123" s="293"/>
      <c r="AA123" s="293"/>
      <c r="AB123" s="293"/>
      <c r="AC123" s="293"/>
      <c r="AD123" s="293"/>
      <c r="AE123" s="293"/>
      <c r="AF123" s="293"/>
      <c r="AG123" s="293"/>
      <c r="AH123" s="293"/>
      <c r="AI123" s="293"/>
      <c r="AJ123" s="293"/>
      <c r="AK123" s="293"/>
      <c r="AL123" s="293"/>
      <c r="AM123" s="293"/>
      <c r="AN123" s="293"/>
      <c r="AO123" s="293"/>
      <c r="AP123" s="293"/>
      <c r="AQ123" s="293"/>
      <c r="AR123" s="293"/>
      <c r="AS123" s="293"/>
      <c r="AT123" s="293"/>
      <c r="AU123" s="293"/>
      <c r="AV123" s="293"/>
      <c r="AW123" s="293"/>
      <c r="AX123" s="293"/>
      <c r="AY123" s="293"/>
      <c r="AZ123" s="293"/>
      <c r="BA123" s="293"/>
      <c r="BB123" s="293"/>
      <c r="BC123" s="293"/>
      <c r="BD123" s="293"/>
      <c r="BE123" s="293"/>
      <c r="BF123" s="293"/>
      <c r="BG123" s="293"/>
      <c r="BH123" s="293"/>
      <c r="BI123" s="293"/>
      <c r="BJ123" s="293"/>
      <c r="BK123" s="293"/>
      <c r="BL123" s="293"/>
      <c r="BM123" s="293"/>
      <c r="BN123" s="293"/>
      <c r="BO123" s="293"/>
      <c r="BP123" s="293"/>
      <c r="BQ123" s="293"/>
      <c r="BR123" s="293"/>
      <c r="BS123" s="293"/>
      <c r="BT123" s="293"/>
      <c r="BU123" s="293"/>
      <c r="BV123" s="293"/>
      <c r="BW123" s="293"/>
      <c r="BX123" s="293"/>
      <c r="BY123" s="293"/>
      <c r="BZ123" s="293"/>
      <c r="CA123" s="293"/>
      <c r="CB123" s="293"/>
      <c r="CC123" s="293"/>
      <c r="CD123" s="293"/>
      <c r="CE123" s="293"/>
      <c r="CF123" s="293"/>
      <c r="CG123" s="293"/>
      <c r="CH123" s="293"/>
      <c r="CI123" s="293"/>
      <c r="CJ123" s="293"/>
      <c r="CK123" s="293"/>
      <c r="CL123" s="293"/>
      <c r="CM123" s="293"/>
      <c r="CN123" s="293"/>
      <c r="CO123" s="293"/>
      <c r="CP123" s="293"/>
      <c r="CQ123" s="293"/>
      <c r="CR123" s="293"/>
      <c r="CS123" s="293"/>
      <c r="CT123" s="293"/>
      <c r="CU123" s="293"/>
      <c r="CV123" s="293"/>
      <c r="CW123" s="293"/>
      <c r="CX123" s="293"/>
      <c r="CY123" s="293"/>
      <c r="CZ123" s="293"/>
      <c r="DA123" s="293"/>
      <c r="DB123" s="293"/>
      <c r="DC123" s="293"/>
      <c r="DD123" s="293"/>
      <c r="DE123" s="293"/>
      <c r="DF123" s="293"/>
      <c r="DG123" s="293"/>
      <c r="DH123" s="293"/>
      <c r="DI123" s="293"/>
      <c r="DJ123" s="293"/>
      <c r="DK123" s="293"/>
      <c r="DL123" s="293"/>
      <c r="DM123" s="293"/>
      <c r="DN123" s="293"/>
      <c r="DO123" s="293"/>
      <c r="DP123" s="293"/>
      <c r="DQ123" s="293"/>
      <c r="DR123" s="293"/>
      <c r="DS123" s="288"/>
      <c r="DT123" s="288"/>
      <c r="DU123" s="288"/>
      <c r="DV123" s="288"/>
      <c r="DW123" s="288"/>
      <c r="DX123" s="288"/>
      <c r="DY123" s="288"/>
      <c r="DZ123" s="288"/>
      <c r="EA123" s="288"/>
      <c r="EB123" s="288"/>
      <c r="EC123" s="288"/>
      <c r="ED123" s="288"/>
      <c r="EE123" s="288"/>
      <c r="EF123" s="288"/>
      <c r="EG123" s="288"/>
      <c r="EH123" s="288"/>
      <c r="EI123" s="288"/>
      <c r="EJ123" s="288"/>
      <c r="EK123" s="288"/>
      <c r="EL123" s="288"/>
      <c r="EM123" s="288"/>
      <c r="EN123" s="288"/>
      <c r="EO123" s="288"/>
      <c r="EP123" s="288"/>
      <c r="EQ123" s="288"/>
      <c r="ER123" s="288"/>
      <c r="ES123" s="288"/>
      <c r="ET123" s="288"/>
      <c r="EU123" s="288"/>
      <c r="EV123" s="288"/>
      <c r="EW123" s="288"/>
      <c r="EX123" s="288"/>
      <c r="EY123" s="288"/>
      <c r="EZ123" s="288"/>
      <c r="FA123" s="288"/>
      <c r="FB123" s="288"/>
      <c r="FC123" s="288"/>
      <c r="FD123" s="288"/>
      <c r="FE123" s="288"/>
      <c r="FF123" s="288"/>
      <c r="FG123" s="288"/>
      <c r="FH123" s="288"/>
    </row>
    <row r="124" ht="14.25" customHeight="1">
      <c r="A124" s="293"/>
      <c r="B124" s="293"/>
      <c r="C124" s="293"/>
      <c r="D124" s="293"/>
      <c r="E124" s="293"/>
      <c r="F124" s="293"/>
      <c r="G124" s="293"/>
      <c r="H124" s="293"/>
      <c r="I124" s="293"/>
      <c r="J124" s="293"/>
      <c r="K124" s="293"/>
      <c r="L124" s="293"/>
      <c r="M124" s="293"/>
      <c r="N124" s="293"/>
      <c r="O124" s="293"/>
      <c r="P124" s="293"/>
      <c r="Q124" s="293"/>
      <c r="R124" s="293"/>
      <c r="S124" s="293"/>
      <c r="T124" s="293"/>
      <c r="U124" s="293"/>
      <c r="V124" s="293"/>
      <c r="W124" s="293"/>
      <c r="X124" s="293"/>
      <c r="Y124" s="293"/>
      <c r="Z124" s="293"/>
      <c r="AA124" s="293"/>
      <c r="AB124" s="293"/>
      <c r="AC124" s="293"/>
      <c r="AD124" s="293"/>
      <c r="AE124" s="293"/>
      <c r="AF124" s="293"/>
      <c r="AG124" s="293"/>
      <c r="AH124" s="293"/>
      <c r="AI124" s="293"/>
      <c r="AJ124" s="293"/>
      <c r="AK124" s="293"/>
      <c r="AL124" s="293"/>
      <c r="AM124" s="293"/>
      <c r="AN124" s="293"/>
      <c r="AO124" s="293"/>
      <c r="AP124" s="293"/>
      <c r="AQ124" s="293"/>
      <c r="AR124" s="293"/>
      <c r="AS124" s="293"/>
      <c r="AT124" s="293"/>
      <c r="AU124" s="293"/>
      <c r="AV124" s="293"/>
      <c r="AW124" s="293"/>
      <c r="AX124" s="293"/>
      <c r="AY124" s="293"/>
      <c r="AZ124" s="293"/>
      <c r="BA124" s="293"/>
      <c r="BB124" s="293"/>
      <c r="BC124" s="293"/>
      <c r="BD124" s="293"/>
      <c r="BE124" s="293"/>
      <c r="BF124" s="293"/>
      <c r="BG124" s="293"/>
      <c r="BH124" s="293"/>
      <c r="BI124" s="293"/>
      <c r="BJ124" s="293"/>
      <c r="BK124" s="293"/>
      <c r="BL124" s="293"/>
      <c r="BM124" s="293"/>
      <c r="BN124" s="293"/>
      <c r="BO124" s="293"/>
      <c r="BP124" s="293"/>
      <c r="BQ124" s="293"/>
      <c r="BR124" s="293"/>
      <c r="BS124" s="293"/>
      <c r="BT124" s="293"/>
      <c r="BU124" s="293"/>
      <c r="BV124" s="293"/>
      <c r="BW124" s="293"/>
      <c r="BX124" s="293"/>
      <c r="BY124" s="293"/>
      <c r="BZ124" s="293"/>
      <c r="CA124" s="293"/>
      <c r="CB124" s="293"/>
      <c r="CC124" s="293"/>
      <c r="CD124" s="293"/>
      <c r="CE124" s="293"/>
      <c r="CF124" s="293"/>
      <c r="CG124" s="293"/>
      <c r="CH124" s="293"/>
      <c r="CI124" s="293"/>
      <c r="CJ124" s="293"/>
      <c r="CK124" s="293"/>
      <c r="CL124" s="293"/>
      <c r="CM124" s="293"/>
      <c r="CN124" s="293"/>
      <c r="CO124" s="293"/>
      <c r="CP124" s="293"/>
      <c r="CQ124" s="293"/>
      <c r="CR124" s="293"/>
      <c r="CS124" s="293"/>
      <c r="CT124" s="293"/>
      <c r="CU124" s="293"/>
      <c r="CV124" s="293"/>
      <c r="CW124" s="293"/>
      <c r="CX124" s="293"/>
      <c r="CY124" s="293"/>
      <c r="CZ124" s="293"/>
      <c r="DA124" s="293"/>
      <c r="DB124" s="293"/>
      <c r="DC124" s="293"/>
      <c r="DD124" s="293"/>
      <c r="DE124" s="293"/>
      <c r="DF124" s="293"/>
      <c r="DG124" s="293"/>
      <c r="DH124" s="293"/>
      <c r="DI124" s="293"/>
      <c r="DJ124" s="293"/>
      <c r="DK124" s="293"/>
      <c r="DL124" s="293"/>
      <c r="DM124" s="293"/>
      <c r="DN124" s="293"/>
      <c r="DO124" s="293"/>
      <c r="DP124" s="293"/>
      <c r="DQ124" s="293"/>
      <c r="DR124" s="293"/>
      <c r="DS124" s="288"/>
      <c r="DT124" s="288"/>
      <c r="DU124" s="288"/>
      <c r="DV124" s="288"/>
      <c r="DW124" s="288"/>
      <c r="DX124" s="288"/>
      <c r="DY124" s="288"/>
      <c r="DZ124" s="288"/>
      <c r="EA124" s="288"/>
      <c r="EB124" s="288"/>
      <c r="EC124" s="288"/>
      <c r="ED124" s="288"/>
      <c r="EE124" s="288"/>
      <c r="EF124" s="288"/>
      <c r="EG124" s="288"/>
      <c r="EH124" s="288"/>
      <c r="EI124" s="288"/>
      <c r="EJ124" s="288"/>
      <c r="EK124" s="288"/>
      <c r="EL124" s="288"/>
      <c r="EM124" s="288"/>
      <c r="EN124" s="288"/>
      <c r="EO124" s="288"/>
      <c r="EP124" s="288"/>
      <c r="EQ124" s="288"/>
      <c r="ER124" s="288"/>
      <c r="ES124" s="288"/>
      <c r="ET124" s="288"/>
      <c r="EU124" s="288"/>
      <c r="EV124" s="288"/>
      <c r="EW124" s="288"/>
      <c r="EX124" s="288"/>
      <c r="EY124" s="288"/>
      <c r="EZ124" s="288"/>
      <c r="FA124" s="288"/>
      <c r="FB124" s="288"/>
      <c r="FC124" s="288"/>
      <c r="FD124" s="288"/>
      <c r="FE124" s="288"/>
      <c r="FF124" s="288"/>
      <c r="FG124" s="288"/>
      <c r="FH124" s="288"/>
    </row>
    <row r="125" ht="14.25" customHeight="1">
      <c r="A125" s="293"/>
      <c r="B125" s="293"/>
      <c r="C125" s="293"/>
      <c r="D125" s="293"/>
      <c r="E125" s="293"/>
      <c r="F125" s="293"/>
      <c r="G125" s="293"/>
      <c r="H125" s="293"/>
      <c r="I125" s="293"/>
      <c r="J125" s="293"/>
      <c r="K125" s="293"/>
      <c r="L125" s="293"/>
      <c r="M125" s="293"/>
      <c r="N125" s="293"/>
      <c r="O125" s="293"/>
      <c r="P125" s="293"/>
      <c r="Q125" s="293"/>
      <c r="R125" s="293"/>
      <c r="S125" s="293"/>
      <c r="T125" s="293"/>
      <c r="U125" s="293"/>
      <c r="V125" s="293"/>
      <c r="W125" s="293"/>
      <c r="X125" s="293"/>
      <c r="Y125" s="293"/>
      <c r="Z125" s="293"/>
      <c r="AA125" s="293"/>
      <c r="AB125" s="293"/>
      <c r="AC125" s="293"/>
      <c r="AD125" s="293"/>
      <c r="AE125" s="293"/>
      <c r="AF125" s="293"/>
      <c r="AG125" s="293"/>
      <c r="AH125" s="293"/>
      <c r="AI125" s="293"/>
      <c r="AJ125" s="293"/>
      <c r="AK125" s="293"/>
      <c r="AL125" s="293"/>
      <c r="AM125" s="293"/>
      <c r="AN125" s="293"/>
      <c r="AO125" s="293"/>
      <c r="AP125" s="293"/>
      <c r="AQ125" s="293"/>
      <c r="AR125" s="293"/>
      <c r="AS125" s="293"/>
      <c r="AT125" s="293"/>
      <c r="AU125" s="293"/>
      <c r="AV125" s="293"/>
      <c r="AW125" s="293"/>
      <c r="AX125" s="293"/>
      <c r="AY125" s="293"/>
      <c r="AZ125" s="293"/>
      <c r="BA125" s="293"/>
      <c r="BB125" s="293"/>
      <c r="BC125" s="293"/>
      <c r="BD125" s="293"/>
      <c r="BE125" s="293"/>
      <c r="BF125" s="293"/>
      <c r="BG125" s="293"/>
      <c r="BH125" s="293"/>
      <c r="BI125" s="293"/>
      <c r="BJ125" s="293"/>
      <c r="BK125" s="293"/>
      <c r="BL125" s="293"/>
      <c r="BM125" s="293"/>
      <c r="BN125" s="293"/>
      <c r="BO125" s="293"/>
      <c r="BP125" s="293"/>
      <c r="BQ125" s="293"/>
      <c r="BR125" s="293"/>
      <c r="BS125" s="293"/>
      <c r="BT125" s="293"/>
      <c r="BU125" s="293"/>
      <c r="BV125" s="293"/>
      <c r="BW125" s="293"/>
      <c r="BX125" s="293"/>
      <c r="BY125" s="293"/>
      <c r="BZ125" s="293"/>
      <c r="CA125" s="293"/>
      <c r="CB125" s="293"/>
      <c r="CC125" s="293"/>
      <c r="CD125" s="293"/>
      <c r="CE125" s="293"/>
      <c r="CF125" s="293"/>
      <c r="CG125" s="293"/>
      <c r="CH125" s="293"/>
      <c r="CI125" s="293"/>
      <c r="CJ125" s="293"/>
      <c r="CK125" s="293"/>
      <c r="CL125" s="293"/>
      <c r="CM125" s="293"/>
      <c r="CN125" s="293"/>
      <c r="CO125" s="293"/>
      <c r="CP125" s="293"/>
      <c r="CQ125" s="293"/>
      <c r="CR125" s="293"/>
      <c r="CS125" s="293"/>
      <c r="CT125" s="293"/>
      <c r="CU125" s="293"/>
      <c r="CV125" s="293"/>
      <c r="CW125" s="293"/>
      <c r="CX125" s="293"/>
      <c r="CY125" s="293"/>
      <c r="CZ125" s="293"/>
      <c r="DA125" s="293"/>
      <c r="DB125" s="293"/>
      <c r="DC125" s="293"/>
      <c r="DD125" s="293"/>
      <c r="DE125" s="293"/>
      <c r="DF125" s="293"/>
      <c r="DG125" s="293"/>
      <c r="DH125" s="293"/>
      <c r="DI125" s="293"/>
      <c r="DJ125" s="293"/>
      <c r="DK125" s="293"/>
      <c r="DL125" s="293"/>
      <c r="DM125" s="293"/>
      <c r="DN125" s="293"/>
      <c r="DO125" s="293"/>
      <c r="DP125" s="293"/>
      <c r="DQ125" s="293"/>
      <c r="DR125" s="293"/>
      <c r="DS125" s="288"/>
      <c r="DT125" s="288"/>
      <c r="DU125" s="288"/>
      <c r="DV125" s="288"/>
      <c r="DW125" s="288"/>
      <c r="DX125" s="288"/>
      <c r="DY125" s="288"/>
      <c r="DZ125" s="288"/>
      <c r="EA125" s="288"/>
      <c r="EB125" s="288"/>
      <c r="EC125" s="288"/>
      <c r="ED125" s="288"/>
      <c r="EE125" s="288"/>
      <c r="EF125" s="288"/>
      <c r="EG125" s="288"/>
      <c r="EH125" s="288"/>
      <c r="EI125" s="288"/>
      <c r="EJ125" s="288"/>
      <c r="EK125" s="288"/>
      <c r="EL125" s="288"/>
      <c r="EM125" s="288"/>
      <c r="EN125" s="288"/>
      <c r="EO125" s="288"/>
      <c r="EP125" s="288"/>
      <c r="EQ125" s="288"/>
      <c r="ER125" s="288"/>
      <c r="ES125" s="288"/>
      <c r="ET125" s="288"/>
      <c r="EU125" s="288"/>
      <c r="EV125" s="288"/>
      <c r="EW125" s="288"/>
      <c r="EX125" s="288"/>
      <c r="EY125" s="288"/>
      <c r="EZ125" s="288"/>
      <c r="FA125" s="288"/>
      <c r="FB125" s="288"/>
      <c r="FC125" s="288"/>
      <c r="FD125" s="288"/>
      <c r="FE125" s="288"/>
      <c r="FF125" s="288"/>
      <c r="FG125" s="288"/>
      <c r="FH125" s="288"/>
    </row>
    <row r="126" ht="14.25" customHeight="1">
      <c r="A126" s="293"/>
      <c r="B126" s="293"/>
      <c r="C126" s="293"/>
      <c r="D126" s="293"/>
      <c r="E126" s="293"/>
      <c r="F126" s="293"/>
      <c r="G126" s="293"/>
      <c r="H126" s="293"/>
      <c r="I126" s="293"/>
      <c r="J126" s="293"/>
      <c r="K126" s="293"/>
      <c r="L126" s="293"/>
      <c r="M126" s="293"/>
      <c r="N126" s="293"/>
      <c r="O126" s="293"/>
      <c r="P126" s="293"/>
      <c r="Q126" s="293"/>
      <c r="R126" s="293"/>
      <c r="S126" s="293"/>
      <c r="T126" s="293"/>
      <c r="U126" s="293"/>
      <c r="V126" s="293"/>
      <c r="W126" s="293"/>
      <c r="X126" s="293"/>
      <c r="Y126" s="293"/>
      <c r="Z126" s="293"/>
      <c r="AA126" s="293"/>
      <c r="AB126" s="293"/>
      <c r="AC126" s="293"/>
      <c r="AD126" s="293"/>
      <c r="AE126" s="293"/>
      <c r="AF126" s="293"/>
      <c r="AG126" s="293"/>
      <c r="AH126" s="293"/>
      <c r="AI126" s="293"/>
      <c r="AJ126" s="293"/>
      <c r="AK126" s="293"/>
      <c r="AL126" s="293"/>
      <c r="AM126" s="293"/>
      <c r="AN126" s="293"/>
      <c r="AO126" s="293"/>
      <c r="AP126" s="293"/>
      <c r="AQ126" s="293"/>
      <c r="AR126" s="293"/>
      <c r="AS126" s="293"/>
      <c r="AT126" s="293"/>
      <c r="AU126" s="293"/>
      <c r="AV126" s="293"/>
      <c r="AW126" s="293"/>
      <c r="AX126" s="293"/>
      <c r="AY126" s="293"/>
      <c r="AZ126" s="293"/>
      <c r="BA126" s="293"/>
      <c r="BB126" s="293"/>
      <c r="BC126" s="293"/>
      <c r="BD126" s="293"/>
      <c r="BE126" s="293"/>
      <c r="BF126" s="293"/>
      <c r="BG126" s="293"/>
      <c r="BH126" s="293"/>
      <c r="BI126" s="293"/>
      <c r="BJ126" s="293"/>
      <c r="BK126" s="293"/>
      <c r="BL126" s="293"/>
      <c r="BM126" s="293"/>
      <c r="BN126" s="293"/>
      <c r="BO126" s="293"/>
      <c r="BP126" s="293"/>
      <c r="BQ126" s="293"/>
      <c r="BR126" s="293"/>
      <c r="BS126" s="293"/>
      <c r="BT126" s="293"/>
      <c r="BU126" s="293"/>
      <c r="BV126" s="293"/>
      <c r="BW126" s="293"/>
      <c r="BX126" s="293"/>
      <c r="BY126" s="293"/>
      <c r="BZ126" s="293"/>
      <c r="CA126" s="293"/>
      <c r="CB126" s="293"/>
      <c r="CC126" s="293"/>
      <c r="CD126" s="293"/>
      <c r="CE126" s="293"/>
      <c r="CF126" s="293"/>
      <c r="CG126" s="293"/>
      <c r="CH126" s="293"/>
      <c r="CI126" s="293"/>
      <c r="CJ126" s="293"/>
      <c r="CK126" s="293"/>
      <c r="CL126" s="293"/>
      <c r="CM126" s="293"/>
      <c r="CN126" s="293"/>
      <c r="CO126" s="293"/>
      <c r="CP126" s="293"/>
      <c r="CQ126" s="293"/>
      <c r="CR126" s="293"/>
      <c r="CS126" s="293"/>
      <c r="CT126" s="293"/>
      <c r="CU126" s="293"/>
      <c r="CV126" s="293"/>
      <c r="CW126" s="293"/>
      <c r="CX126" s="293"/>
      <c r="CY126" s="293"/>
      <c r="CZ126" s="293"/>
      <c r="DA126" s="293"/>
      <c r="DB126" s="293"/>
      <c r="DC126" s="293"/>
      <c r="DD126" s="293"/>
      <c r="DE126" s="293"/>
      <c r="DF126" s="293"/>
      <c r="DG126" s="293"/>
      <c r="DH126" s="293"/>
      <c r="DI126" s="293"/>
      <c r="DJ126" s="293"/>
      <c r="DK126" s="293"/>
      <c r="DL126" s="293"/>
      <c r="DM126" s="293"/>
      <c r="DN126" s="293"/>
      <c r="DO126" s="293"/>
      <c r="DP126" s="293"/>
      <c r="DQ126" s="293"/>
      <c r="DR126" s="293"/>
      <c r="DS126" s="288"/>
      <c r="DT126" s="288"/>
      <c r="DU126" s="288"/>
      <c r="DV126" s="288"/>
      <c r="DW126" s="288"/>
      <c r="DX126" s="288"/>
      <c r="DY126" s="288"/>
      <c r="DZ126" s="288"/>
      <c r="EA126" s="288"/>
      <c r="EB126" s="288"/>
      <c r="EC126" s="288"/>
      <c r="ED126" s="288"/>
      <c r="EE126" s="288"/>
      <c r="EF126" s="288"/>
      <c r="EG126" s="288"/>
      <c r="EH126" s="288"/>
      <c r="EI126" s="288"/>
      <c r="EJ126" s="288"/>
      <c r="EK126" s="288"/>
      <c r="EL126" s="288"/>
      <c r="EM126" s="288"/>
      <c r="EN126" s="288"/>
      <c r="EO126" s="288"/>
      <c r="EP126" s="288"/>
      <c r="EQ126" s="288"/>
      <c r="ER126" s="288"/>
      <c r="ES126" s="288"/>
      <c r="ET126" s="288"/>
      <c r="EU126" s="288"/>
      <c r="EV126" s="288"/>
      <c r="EW126" s="288"/>
      <c r="EX126" s="288"/>
      <c r="EY126" s="288"/>
      <c r="EZ126" s="288"/>
      <c r="FA126" s="288"/>
      <c r="FB126" s="288"/>
      <c r="FC126" s="288"/>
      <c r="FD126" s="288"/>
      <c r="FE126" s="288"/>
      <c r="FF126" s="288"/>
      <c r="FG126" s="288"/>
      <c r="FH126" s="288"/>
    </row>
    <row r="127" ht="14.25" customHeight="1">
      <c r="A127" s="293"/>
      <c r="B127" s="293"/>
      <c r="C127" s="293"/>
      <c r="D127" s="293"/>
      <c r="E127" s="293"/>
      <c r="F127" s="293"/>
      <c r="G127" s="293"/>
      <c r="H127" s="293"/>
      <c r="I127" s="293"/>
      <c r="J127" s="293"/>
      <c r="K127" s="293"/>
      <c r="L127" s="293"/>
      <c r="M127" s="293"/>
      <c r="N127" s="293"/>
      <c r="O127" s="293"/>
      <c r="P127" s="293"/>
      <c r="Q127" s="293"/>
      <c r="R127" s="293"/>
      <c r="S127" s="293"/>
      <c r="T127" s="293"/>
      <c r="U127" s="293"/>
      <c r="V127" s="293"/>
      <c r="W127" s="293"/>
      <c r="X127" s="293"/>
      <c r="Y127" s="293"/>
      <c r="Z127" s="293"/>
      <c r="AA127" s="293"/>
      <c r="AB127" s="293"/>
      <c r="AC127" s="293"/>
      <c r="AD127" s="293"/>
      <c r="AE127" s="293"/>
      <c r="AF127" s="293"/>
      <c r="AG127" s="293"/>
      <c r="AH127" s="293"/>
      <c r="AI127" s="293"/>
      <c r="AJ127" s="293"/>
      <c r="AK127" s="293"/>
      <c r="AL127" s="293"/>
      <c r="AM127" s="293"/>
      <c r="AN127" s="293"/>
      <c r="AO127" s="293"/>
      <c r="AP127" s="293"/>
      <c r="AQ127" s="293"/>
      <c r="AR127" s="293"/>
      <c r="AS127" s="293"/>
      <c r="AT127" s="293"/>
      <c r="AU127" s="293"/>
      <c r="AV127" s="293"/>
      <c r="AW127" s="293"/>
      <c r="AX127" s="293"/>
      <c r="AY127" s="293"/>
      <c r="AZ127" s="293"/>
      <c r="BA127" s="293"/>
      <c r="BB127" s="293"/>
      <c r="BC127" s="293"/>
      <c r="BD127" s="293"/>
      <c r="BE127" s="293"/>
      <c r="BF127" s="293"/>
      <c r="BG127" s="293"/>
      <c r="BH127" s="293"/>
      <c r="BI127" s="293"/>
      <c r="BJ127" s="293"/>
      <c r="BK127" s="293"/>
      <c r="BL127" s="293"/>
      <c r="BM127" s="293"/>
      <c r="BN127" s="293"/>
      <c r="BO127" s="293"/>
      <c r="BP127" s="293"/>
      <c r="BQ127" s="293"/>
      <c r="BR127" s="293"/>
      <c r="BS127" s="293"/>
      <c r="BT127" s="293"/>
      <c r="BU127" s="293"/>
      <c r="BV127" s="293"/>
      <c r="BW127" s="293"/>
      <c r="BX127" s="293"/>
      <c r="BY127" s="293"/>
      <c r="BZ127" s="293"/>
      <c r="CA127" s="293"/>
      <c r="CB127" s="293"/>
      <c r="CC127" s="293"/>
      <c r="CD127" s="293"/>
      <c r="CE127" s="293"/>
      <c r="CF127" s="293"/>
      <c r="CG127" s="293"/>
      <c r="CH127" s="293"/>
      <c r="CI127" s="293"/>
      <c r="CJ127" s="293"/>
      <c r="CK127" s="293"/>
      <c r="CL127" s="293"/>
      <c r="CM127" s="293"/>
      <c r="CN127" s="293"/>
      <c r="CO127" s="293"/>
      <c r="CP127" s="293"/>
      <c r="CQ127" s="293"/>
      <c r="CR127" s="293"/>
      <c r="CS127" s="293"/>
      <c r="CT127" s="293"/>
      <c r="CU127" s="293"/>
      <c r="CV127" s="293"/>
      <c r="CW127" s="293"/>
      <c r="CX127" s="293"/>
      <c r="CY127" s="293"/>
      <c r="CZ127" s="293"/>
      <c r="DA127" s="293"/>
      <c r="DB127" s="293"/>
      <c r="DC127" s="293"/>
      <c r="DD127" s="293"/>
      <c r="DE127" s="293"/>
      <c r="DF127" s="293"/>
      <c r="DG127" s="293"/>
      <c r="DH127" s="293"/>
      <c r="DI127" s="293"/>
      <c r="DJ127" s="293"/>
      <c r="DK127" s="293"/>
      <c r="DL127" s="293"/>
      <c r="DM127" s="293"/>
      <c r="DN127" s="293"/>
      <c r="DO127" s="293"/>
      <c r="DP127" s="293"/>
      <c r="DQ127" s="293"/>
      <c r="DR127" s="293"/>
      <c r="DS127" s="288"/>
      <c r="DT127" s="288"/>
      <c r="DU127" s="288"/>
      <c r="DV127" s="288"/>
      <c r="DW127" s="288"/>
      <c r="DX127" s="288"/>
      <c r="DY127" s="288"/>
      <c r="DZ127" s="288"/>
      <c r="EA127" s="288"/>
      <c r="EB127" s="288"/>
      <c r="EC127" s="288"/>
      <c r="ED127" s="288"/>
      <c r="EE127" s="288"/>
      <c r="EF127" s="288"/>
      <c r="EG127" s="288"/>
      <c r="EH127" s="288"/>
      <c r="EI127" s="288"/>
      <c r="EJ127" s="288"/>
      <c r="EK127" s="288"/>
      <c r="EL127" s="288"/>
      <c r="EM127" s="288"/>
      <c r="EN127" s="288"/>
      <c r="EO127" s="288"/>
      <c r="EP127" s="288"/>
      <c r="EQ127" s="288"/>
      <c r="ER127" s="288"/>
      <c r="ES127" s="288"/>
      <c r="ET127" s="288"/>
      <c r="EU127" s="288"/>
      <c r="EV127" s="288"/>
      <c r="EW127" s="288"/>
      <c r="EX127" s="288"/>
      <c r="EY127" s="288"/>
      <c r="EZ127" s="288"/>
      <c r="FA127" s="288"/>
      <c r="FB127" s="288"/>
      <c r="FC127" s="288"/>
      <c r="FD127" s="288"/>
      <c r="FE127" s="288"/>
      <c r="FF127" s="288"/>
      <c r="FG127" s="288"/>
      <c r="FH127" s="288"/>
    </row>
    <row r="128" ht="14.25" customHeight="1">
      <c r="A128" s="293"/>
      <c r="B128" s="293"/>
      <c r="C128" s="293"/>
      <c r="D128" s="293"/>
      <c r="E128" s="293"/>
      <c r="F128" s="293"/>
      <c r="G128" s="293"/>
      <c r="H128" s="293"/>
      <c r="I128" s="293"/>
      <c r="J128" s="293"/>
      <c r="K128" s="293"/>
      <c r="L128" s="293"/>
      <c r="M128" s="293"/>
      <c r="N128" s="293"/>
      <c r="O128" s="293"/>
      <c r="P128" s="293"/>
      <c r="Q128" s="293"/>
      <c r="R128" s="293"/>
      <c r="S128" s="293"/>
      <c r="T128" s="293"/>
      <c r="U128" s="293"/>
      <c r="V128" s="293"/>
      <c r="W128" s="293"/>
      <c r="X128" s="293"/>
      <c r="Y128" s="293"/>
      <c r="Z128" s="293"/>
      <c r="AA128" s="293"/>
      <c r="AB128" s="293"/>
      <c r="AC128" s="293"/>
      <c r="AD128" s="293"/>
      <c r="AE128" s="293"/>
      <c r="AF128" s="293"/>
      <c r="AG128" s="293"/>
      <c r="AH128" s="293"/>
      <c r="AI128" s="293"/>
      <c r="AJ128" s="293"/>
      <c r="AK128" s="293"/>
      <c r="AL128" s="293"/>
      <c r="AM128" s="293"/>
      <c r="AN128" s="293"/>
      <c r="AO128" s="293"/>
      <c r="AP128" s="293"/>
      <c r="AQ128" s="293"/>
      <c r="AR128" s="293"/>
      <c r="AS128" s="293"/>
      <c r="AT128" s="293"/>
      <c r="AU128" s="293"/>
      <c r="AV128" s="293"/>
      <c r="AW128" s="293"/>
      <c r="AX128" s="293"/>
      <c r="AY128" s="293"/>
      <c r="AZ128" s="293"/>
      <c r="BA128" s="293"/>
      <c r="BB128" s="293"/>
      <c r="BC128" s="293"/>
      <c r="BD128" s="293"/>
      <c r="BE128" s="293"/>
      <c r="BF128" s="293"/>
      <c r="BG128" s="293"/>
      <c r="BH128" s="293"/>
      <c r="BI128" s="293"/>
      <c r="BJ128" s="293"/>
      <c r="BK128" s="293"/>
      <c r="BL128" s="293"/>
      <c r="BM128" s="293"/>
      <c r="BN128" s="293"/>
      <c r="BO128" s="293"/>
      <c r="BP128" s="293"/>
      <c r="BQ128" s="293"/>
      <c r="BR128" s="293"/>
      <c r="BS128" s="293"/>
      <c r="BT128" s="293"/>
      <c r="BU128" s="293"/>
      <c r="BV128" s="293"/>
      <c r="BW128" s="293"/>
      <c r="BX128" s="293"/>
      <c r="BY128" s="293"/>
      <c r="BZ128" s="293"/>
      <c r="CA128" s="293"/>
      <c r="CB128" s="293"/>
      <c r="CC128" s="293"/>
      <c r="CD128" s="293"/>
      <c r="CE128" s="293"/>
      <c r="CF128" s="293"/>
      <c r="CG128" s="293"/>
      <c r="CH128" s="293"/>
      <c r="CI128" s="293"/>
      <c r="CJ128" s="293"/>
      <c r="CK128" s="293"/>
      <c r="CL128" s="293"/>
      <c r="CM128" s="293"/>
      <c r="CN128" s="293"/>
      <c r="CO128" s="293"/>
      <c r="CP128" s="293"/>
      <c r="CQ128" s="293"/>
      <c r="CR128" s="293"/>
      <c r="CS128" s="293"/>
      <c r="CT128" s="293"/>
      <c r="CU128" s="293"/>
      <c r="CV128" s="293"/>
      <c r="CW128" s="293"/>
      <c r="CX128" s="293"/>
      <c r="CY128" s="293"/>
      <c r="CZ128" s="293"/>
      <c r="DA128" s="293"/>
      <c r="DB128" s="293"/>
      <c r="DC128" s="293"/>
      <c r="DD128" s="293"/>
      <c r="DE128" s="293"/>
      <c r="DF128" s="293"/>
      <c r="DG128" s="293"/>
      <c r="DH128" s="293"/>
      <c r="DI128" s="293"/>
      <c r="DJ128" s="293"/>
      <c r="DK128" s="293"/>
      <c r="DL128" s="293"/>
      <c r="DM128" s="293"/>
      <c r="DN128" s="293"/>
      <c r="DO128" s="293"/>
      <c r="DP128" s="293"/>
      <c r="DQ128" s="293"/>
      <c r="DR128" s="293"/>
      <c r="DS128" s="288"/>
      <c r="DT128" s="288"/>
      <c r="DU128" s="288"/>
      <c r="DV128" s="288"/>
      <c r="DW128" s="288"/>
      <c r="DX128" s="288"/>
      <c r="DY128" s="288"/>
      <c r="DZ128" s="288"/>
      <c r="EA128" s="288"/>
      <c r="EB128" s="288"/>
      <c r="EC128" s="288"/>
      <c r="ED128" s="288"/>
      <c r="EE128" s="288"/>
      <c r="EF128" s="288"/>
      <c r="EG128" s="288"/>
      <c r="EH128" s="288"/>
      <c r="EI128" s="288"/>
      <c r="EJ128" s="288"/>
      <c r="EK128" s="288"/>
      <c r="EL128" s="288"/>
      <c r="EM128" s="288"/>
      <c r="EN128" s="288"/>
      <c r="EO128" s="288"/>
      <c r="EP128" s="288"/>
      <c r="EQ128" s="288"/>
      <c r="ER128" s="288"/>
      <c r="ES128" s="288"/>
      <c r="ET128" s="288"/>
      <c r="EU128" s="288"/>
      <c r="EV128" s="288"/>
      <c r="EW128" s="288"/>
      <c r="EX128" s="288"/>
      <c r="EY128" s="288"/>
      <c r="EZ128" s="288"/>
      <c r="FA128" s="288"/>
      <c r="FB128" s="288"/>
      <c r="FC128" s="288"/>
      <c r="FD128" s="288"/>
      <c r="FE128" s="288"/>
      <c r="FF128" s="288"/>
      <c r="FG128" s="288"/>
      <c r="FH128" s="288"/>
    </row>
    <row r="129" ht="14.25" customHeight="1">
      <c r="A129" s="293"/>
      <c r="B129" s="293"/>
      <c r="C129" s="293"/>
      <c r="D129" s="293"/>
      <c r="E129" s="293"/>
      <c r="F129" s="293"/>
      <c r="G129" s="293"/>
      <c r="H129" s="293"/>
      <c r="I129" s="293"/>
      <c r="J129" s="293"/>
      <c r="K129" s="293"/>
      <c r="L129" s="293"/>
      <c r="M129" s="293"/>
      <c r="N129" s="293"/>
      <c r="O129" s="293"/>
      <c r="P129" s="293"/>
      <c r="Q129" s="293"/>
      <c r="R129" s="293"/>
      <c r="S129" s="293"/>
      <c r="T129" s="293"/>
      <c r="U129" s="293"/>
      <c r="V129" s="293"/>
      <c r="W129" s="293"/>
      <c r="X129" s="293"/>
      <c r="Y129" s="293"/>
      <c r="Z129" s="293"/>
      <c r="AA129" s="293"/>
      <c r="AB129" s="293"/>
      <c r="AC129" s="293"/>
      <c r="AD129" s="293"/>
      <c r="AE129" s="293"/>
      <c r="AF129" s="293"/>
      <c r="AG129" s="293"/>
      <c r="AH129" s="293"/>
      <c r="AI129" s="293"/>
      <c r="AJ129" s="293"/>
      <c r="AK129" s="293"/>
      <c r="AL129" s="293"/>
      <c r="AM129" s="293"/>
      <c r="AN129" s="293"/>
      <c r="AO129" s="293"/>
      <c r="AP129" s="293"/>
      <c r="AQ129" s="293"/>
      <c r="AR129" s="293"/>
      <c r="AS129" s="293"/>
      <c r="AT129" s="293"/>
      <c r="AU129" s="293"/>
      <c r="AV129" s="293"/>
      <c r="AW129" s="293"/>
      <c r="AX129" s="293"/>
      <c r="AY129" s="293"/>
      <c r="AZ129" s="293"/>
      <c r="BA129" s="293"/>
      <c r="BB129" s="293"/>
      <c r="BC129" s="293"/>
      <c r="BD129" s="293"/>
      <c r="BE129" s="293"/>
      <c r="BF129" s="293"/>
      <c r="BG129" s="293"/>
      <c r="BH129" s="293"/>
      <c r="BI129" s="293"/>
      <c r="BJ129" s="293"/>
      <c r="BK129" s="293"/>
      <c r="BL129" s="293"/>
      <c r="BM129" s="293"/>
      <c r="BN129" s="293"/>
      <c r="BO129" s="293"/>
      <c r="BP129" s="293"/>
      <c r="BQ129" s="293"/>
      <c r="BR129" s="293"/>
      <c r="BS129" s="293"/>
      <c r="BT129" s="293"/>
      <c r="BU129" s="293"/>
      <c r="BV129" s="293"/>
      <c r="BW129" s="293"/>
      <c r="BX129" s="293"/>
      <c r="BY129" s="293"/>
      <c r="BZ129" s="293"/>
      <c r="CA129" s="293"/>
      <c r="CB129" s="293"/>
      <c r="CC129" s="293"/>
      <c r="CD129" s="293"/>
      <c r="CE129" s="293"/>
      <c r="CF129" s="293"/>
      <c r="CG129" s="293"/>
      <c r="CH129" s="293"/>
      <c r="CI129" s="293"/>
      <c r="CJ129" s="293"/>
      <c r="CK129" s="293"/>
      <c r="CL129" s="293"/>
      <c r="CM129" s="293"/>
      <c r="CN129" s="293"/>
      <c r="CO129" s="293"/>
      <c r="CP129" s="293"/>
      <c r="CQ129" s="293"/>
      <c r="CR129" s="293"/>
      <c r="CS129" s="293"/>
      <c r="CT129" s="293"/>
      <c r="CU129" s="293"/>
      <c r="CV129" s="293"/>
      <c r="CW129" s="293"/>
      <c r="CX129" s="293"/>
      <c r="CY129" s="293"/>
      <c r="CZ129" s="293"/>
      <c r="DA129" s="293"/>
      <c r="DB129" s="293"/>
      <c r="DC129" s="293"/>
      <c r="DD129" s="293"/>
      <c r="DE129" s="293"/>
      <c r="DF129" s="293"/>
      <c r="DG129" s="293"/>
      <c r="DH129" s="293"/>
      <c r="DI129" s="293"/>
      <c r="DJ129" s="293"/>
      <c r="DK129" s="293"/>
      <c r="DL129" s="293"/>
      <c r="DM129" s="293"/>
      <c r="DN129" s="293"/>
      <c r="DO129" s="293"/>
      <c r="DP129" s="293"/>
      <c r="DQ129" s="293"/>
      <c r="DR129" s="293"/>
      <c r="DS129" s="288"/>
      <c r="DT129" s="288"/>
      <c r="DU129" s="288"/>
      <c r="DV129" s="288"/>
      <c r="DW129" s="288"/>
      <c r="DX129" s="288"/>
      <c r="DY129" s="288"/>
      <c r="DZ129" s="288"/>
      <c r="EA129" s="288"/>
      <c r="EB129" s="288"/>
      <c r="EC129" s="288"/>
      <c r="ED129" s="288"/>
      <c r="EE129" s="288"/>
      <c r="EF129" s="288"/>
      <c r="EG129" s="288"/>
      <c r="EH129" s="288"/>
      <c r="EI129" s="288"/>
      <c r="EJ129" s="288"/>
      <c r="EK129" s="288"/>
      <c r="EL129" s="288"/>
      <c r="EM129" s="288"/>
      <c r="EN129" s="288"/>
      <c r="EO129" s="288"/>
      <c r="EP129" s="288"/>
      <c r="EQ129" s="288"/>
      <c r="ER129" s="288"/>
      <c r="ES129" s="288"/>
      <c r="ET129" s="288"/>
      <c r="EU129" s="288"/>
      <c r="EV129" s="288"/>
      <c r="EW129" s="288"/>
      <c r="EX129" s="288"/>
      <c r="EY129" s="288"/>
      <c r="EZ129" s="288"/>
      <c r="FA129" s="288"/>
      <c r="FB129" s="288"/>
      <c r="FC129" s="288"/>
      <c r="FD129" s="288"/>
      <c r="FE129" s="288"/>
      <c r="FF129" s="288"/>
      <c r="FG129" s="288"/>
      <c r="FH129" s="288"/>
    </row>
    <row r="130" ht="14.25" customHeight="1">
      <c r="A130" s="293"/>
      <c r="B130" s="293"/>
      <c r="C130" s="293"/>
      <c r="D130" s="293"/>
      <c r="E130" s="293"/>
      <c r="F130" s="293"/>
      <c r="G130" s="293"/>
      <c r="H130" s="293"/>
      <c r="I130" s="293"/>
      <c r="J130" s="293"/>
      <c r="K130" s="293"/>
      <c r="L130" s="293"/>
      <c r="M130" s="293"/>
      <c r="N130" s="293"/>
      <c r="O130" s="293"/>
      <c r="P130" s="293"/>
      <c r="Q130" s="293"/>
      <c r="R130" s="293"/>
      <c r="S130" s="293"/>
      <c r="T130" s="293"/>
      <c r="U130" s="293"/>
      <c r="V130" s="293"/>
      <c r="W130" s="293"/>
      <c r="X130" s="293"/>
      <c r="Y130" s="293"/>
      <c r="Z130" s="293"/>
      <c r="AA130" s="293"/>
      <c r="AB130" s="293"/>
      <c r="AC130" s="293"/>
      <c r="AD130" s="293"/>
      <c r="AE130" s="293"/>
      <c r="AF130" s="293"/>
      <c r="AG130" s="293"/>
      <c r="AH130" s="293"/>
      <c r="AI130" s="293"/>
      <c r="AJ130" s="293"/>
      <c r="AK130" s="293"/>
      <c r="AL130" s="293"/>
      <c r="AM130" s="293"/>
      <c r="AN130" s="293"/>
      <c r="AO130" s="293"/>
      <c r="AP130" s="293"/>
      <c r="AQ130" s="293"/>
      <c r="AR130" s="293"/>
      <c r="AS130" s="293"/>
      <c r="AT130" s="293"/>
      <c r="AU130" s="293"/>
      <c r="AV130" s="293"/>
      <c r="AW130" s="293"/>
      <c r="AX130" s="293"/>
      <c r="AY130" s="293"/>
      <c r="AZ130" s="293"/>
      <c r="BA130" s="293"/>
      <c r="BB130" s="293"/>
      <c r="BC130" s="293"/>
      <c r="BD130" s="293"/>
      <c r="BE130" s="293"/>
      <c r="BF130" s="293"/>
      <c r="BG130" s="293"/>
      <c r="BH130" s="293"/>
      <c r="BI130" s="293"/>
      <c r="BJ130" s="293"/>
      <c r="BK130" s="293"/>
      <c r="BL130" s="293"/>
      <c r="BM130" s="293"/>
      <c r="BN130" s="293"/>
      <c r="BO130" s="293"/>
      <c r="BP130" s="293"/>
      <c r="BQ130" s="293"/>
      <c r="BR130" s="293"/>
      <c r="BS130" s="293"/>
      <c r="BT130" s="293"/>
      <c r="BU130" s="293"/>
      <c r="BV130" s="293"/>
      <c r="BW130" s="293"/>
      <c r="BX130" s="293"/>
      <c r="BY130" s="293"/>
      <c r="BZ130" s="293"/>
      <c r="CA130" s="293"/>
      <c r="CB130" s="293"/>
      <c r="CC130" s="293"/>
      <c r="CD130" s="293"/>
      <c r="CE130" s="293"/>
      <c r="CF130" s="293"/>
      <c r="CG130" s="293"/>
      <c r="CH130" s="293"/>
      <c r="CI130" s="293"/>
      <c r="CJ130" s="293"/>
      <c r="CK130" s="293"/>
      <c r="CL130" s="293"/>
      <c r="CM130" s="293"/>
      <c r="CN130" s="293"/>
      <c r="CO130" s="293"/>
      <c r="CP130" s="293"/>
      <c r="CQ130" s="293"/>
      <c r="CR130" s="293"/>
      <c r="CS130" s="293"/>
      <c r="CT130" s="293"/>
      <c r="CU130" s="293"/>
      <c r="CV130" s="293"/>
      <c r="CW130" s="293"/>
      <c r="CX130" s="293"/>
      <c r="CY130" s="293"/>
      <c r="CZ130" s="293"/>
      <c r="DA130" s="293"/>
      <c r="DB130" s="293"/>
      <c r="DC130" s="293"/>
      <c r="DD130" s="293"/>
      <c r="DE130" s="293"/>
      <c r="DF130" s="293"/>
      <c r="DG130" s="293"/>
      <c r="DH130" s="293"/>
      <c r="DI130" s="293"/>
      <c r="DJ130" s="293"/>
      <c r="DK130" s="293"/>
      <c r="DL130" s="293"/>
      <c r="DM130" s="293"/>
      <c r="DN130" s="293"/>
      <c r="DO130" s="293"/>
      <c r="DP130" s="293"/>
      <c r="DQ130" s="293"/>
      <c r="DR130" s="293"/>
      <c r="DS130" s="288"/>
      <c r="DT130" s="288"/>
      <c r="DU130" s="288"/>
      <c r="DV130" s="288"/>
      <c r="DW130" s="288"/>
      <c r="DX130" s="288"/>
      <c r="DY130" s="288"/>
      <c r="DZ130" s="288"/>
      <c r="EA130" s="288"/>
      <c r="EB130" s="288"/>
      <c r="EC130" s="288"/>
      <c r="ED130" s="288"/>
      <c r="EE130" s="288"/>
      <c r="EF130" s="288"/>
      <c r="EG130" s="288"/>
      <c r="EH130" s="288"/>
      <c r="EI130" s="288"/>
      <c r="EJ130" s="288"/>
      <c r="EK130" s="288"/>
      <c r="EL130" s="288"/>
      <c r="EM130" s="288"/>
      <c r="EN130" s="288"/>
      <c r="EO130" s="288"/>
      <c r="EP130" s="288"/>
      <c r="EQ130" s="288"/>
      <c r="ER130" s="288"/>
      <c r="ES130" s="288"/>
      <c r="ET130" s="288"/>
      <c r="EU130" s="288"/>
      <c r="EV130" s="288"/>
      <c r="EW130" s="288"/>
      <c r="EX130" s="288"/>
      <c r="EY130" s="288"/>
      <c r="EZ130" s="288"/>
      <c r="FA130" s="288"/>
      <c r="FB130" s="288"/>
      <c r="FC130" s="288"/>
      <c r="FD130" s="288"/>
      <c r="FE130" s="288"/>
      <c r="FF130" s="288"/>
      <c r="FG130" s="288"/>
      <c r="FH130" s="288"/>
    </row>
    <row r="131" ht="14.25" customHeight="1">
      <c r="A131" s="293"/>
      <c r="B131" s="293"/>
      <c r="C131" s="293"/>
      <c r="D131" s="293"/>
      <c r="E131" s="293"/>
      <c r="F131" s="293"/>
      <c r="G131" s="293"/>
      <c r="H131" s="293"/>
      <c r="I131" s="293"/>
      <c r="J131" s="293"/>
      <c r="K131" s="293"/>
      <c r="L131" s="293"/>
      <c r="M131" s="293"/>
      <c r="N131" s="293"/>
      <c r="O131" s="293"/>
      <c r="P131" s="293"/>
      <c r="Q131" s="293"/>
      <c r="R131" s="293"/>
      <c r="S131" s="293"/>
      <c r="T131" s="293"/>
      <c r="U131" s="293"/>
      <c r="V131" s="293"/>
      <c r="W131" s="293"/>
      <c r="X131" s="293"/>
      <c r="Y131" s="293"/>
      <c r="Z131" s="293"/>
      <c r="AA131" s="293"/>
      <c r="AB131" s="293"/>
      <c r="AC131" s="293"/>
      <c r="AD131" s="293"/>
      <c r="AE131" s="293"/>
      <c r="AF131" s="293"/>
      <c r="AG131" s="293"/>
      <c r="AH131" s="293"/>
      <c r="AI131" s="293"/>
      <c r="AJ131" s="293"/>
      <c r="AK131" s="293"/>
      <c r="AL131" s="293"/>
      <c r="AM131" s="293"/>
      <c r="AN131" s="293"/>
      <c r="AO131" s="293"/>
      <c r="AP131" s="293"/>
      <c r="AQ131" s="293"/>
      <c r="AR131" s="293"/>
      <c r="AS131" s="293"/>
      <c r="AT131" s="293"/>
      <c r="AU131" s="293"/>
      <c r="AV131" s="293"/>
      <c r="AW131" s="293"/>
      <c r="AX131" s="293"/>
      <c r="AY131" s="293"/>
      <c r="AZ131" s="293"/>
      <c r="BA131" s="293"/>
      <c r="BB131" s="293"/>
      <c r="BC131" s="293"/>
      <c r="BD131" s="293"/>
      <c r="BE131" s="293"/>
      <c r="BF131" s="293"/>
      <c r="BG131" s="293"/>
      <c r="BH131" s="293"/>
      <c r="BI131" s="293"/>
      <c r="BJ131" s="293"/>
      <c r="BK131" s="293"/>
      <c r="BL131" s="293"/>
      <c r="BM131" s="293"/>
      <c r="BN131" s="293"/>
      <c r="BO131" s="293"/>
      <c r="BP131" s="293"/>
      <c r="BQ131" s="293"/>
      <c r="BR131" s="293"/>
      <c r="BS131" s="293"/>
      <c r="BT131" s="293"/>
      <c r="BU131" s="293"/>
      <c r="BV131" s="293"/>
      <c r="BW131" s="293"/>
      <c r="BX131" s="293"/>
      <c r="BY131" s="293"/>
      <c r="BZ131" s="293"/>
      <c r="CA131" s="293"/>
      <c r="CB131" s="293"/>
      <c r="CC131" s="293"/>
      <c r="CD131" s="293"/>
      <c r="CE131" s="293"/>
      <c r="CF131" s="293"/>
      <c r="CG131" s="293"/>
      <c r="CH131" s="293"/>
      <c r="CI131" s="293"/>
      <c r="CJ131" s="293"/>
      <c r="CK131" s="293"/>
      <c r="CL131" s="293"/>
      <c r="CM131" s="293"/>
      <c r="CN131" s="293"/>
      <c r="CO131" s="293"/>
      <c r="CP131" s="293"/>
      <c r="CQ131" s="293"/>
      <c r="CR131" s="293"/>
      <c r="CS131" s="293"/>
      <c r="CT131" s="293"/>
      <c r="CU131" s="293"/>
      <c r="CV131" s="293"/>
      <c r="CW131" s="293"/>
      <c r="CX131" s="293"/>
      <c r="CY131" s="293"/>
      <c r="CZ131" s="293"/>
      <c r="DA131" s="293"/>
      <c r="DB131" s="293"/>
      <c r="DC131" s="293"/>
      <c r="DD131" s="293"/>
      <c r="DE131" s="293"/>
      <c r="DF131" s="293"/>
      <c r="DG131" s="293"/>
      <c r="DH131" s="293"/>
      <c r="DI131" s="293"/>
      <c r="DJ131" s="293"/>
      <c r="DK131" s="293"/>
      <c r="DL131" s="293"/>
      <c r="DM131" s="293"/>
      <c r="DN131" s="293"/>
      <c r="DO131" s="293"/>
      <c r="DP131" s="293"/>
      <c r="DQ131" s="293"/>
      <c r="DR131" s="293"/>
      <c r="DS131" s="288"/>
      <c r="DT131" s="288"/>
      <c r="DU131" s="288"/>
      <c r="DV131" s="288"/>
      <c r="DW131" s="288"/>
      <c r="DX131" s="288"/>
      <c r="DY131" s="288"/>
      <c r="DZ131" s="288"/>
      <c r="EA131" s="288"/>
      <c r="EB131" s="288"/>
      <c r="EC131" s="288"/>
      <c r="ED131" s="288"/>
      <c r="EE131" s="288"/>
      <c r="EF131" s="288"/>
      <c r="EG131" s="288"/>
      <c r="EH131" s="288"/>
      <c r="EI131" s="288"/>
      <c r="EJ131" s="288"/>
      <c r="EK131" s="288"/>
      <c r="EL131" s="288"/>
      <c r="EM131" s="288"/>
      <c r="EN131" s="288"/>
      <c r="EO131" s="288"/>
      <c r="EP131" s="288"/>
      <c r="EQ131" s="288"/>
      <c r="ER131" s="288"/>
      <c r="ES131" s="288"/>
      <c r="ET131" s="288"/>
      <c r="EU131" s="288"/>
      <c r="EV131" s="288"/>
      <c r="EW131" s="288"/>
      <c r="EX131" s="288"/>
      <c r="EY131" s="288"/>
      <c r="EZ131" s="288"/>
      <c r="FA131" s="288"/>
      <c r="FB131" s="288"/>
      <c r="FC131" s="288"/>
      <c r="FD131" s="288"/>
      <c r="FE131" s="288"/>
      <c r="FF131" s="288"/>
      <c r="FG131" s="288"/>
      <c r="FH131" s="288"/>
    </row>
    <row r="132" ht="14.25" customHeight="1">
      <c r="A132" s="293"/>
      <c r="B132" s="293"/>
      <c r="C132" s="293"/>
      <c r="D132" s="293"/>
      <c r="E132" s="293"/>
      <c r="F132" s="293"/>
      <c r="G132" s="293"/>
      <c r="H132" s="293"/>
      <c r="I132" s="293"/>
      <c r="J132" s="293"/>
      <c r="K132" s="293"/>
      <c r="L132" s="293"/>
      <c r="M132" s="293"/>
      <c r="N132" s="293"/>
      <c r="O132" s="293"/>
      <c r="P132" s="293"/>
      <c r="Q132" s="293"/>
      <c r="R132" s="293"/>
      <c r="S132" s="293"/>
      <c r="T132" s="293"/>
      <c r="U132" s="293"/>
      <c r="V132" s="293"/>
      <c r="W132" s="293"/>
      <c r="X132" s="293"/>
      <c r="Y132" s="293"/>
      <c r="Z132" s="293"/>
      <c r="AA132" s="293"/>
      <c r="AB132" s="293"/>
      <c r="AC132" s="293"/>
      <c r="AD132" s="293"/>
      <c r="AE132" s="293"/>
      <c r="AF132" s="293"/>
      <c r="AG132" s="293"/>
      <c r="AH132" s="293"/>
      <c r="AI132" s="293"/>
      <c r="AJ132" s="293"/>
      <c r="AK132" s="293"/>
      <c r="AL132" s="293"/>
      <c r="AM132" s="293"/>
      <c r="AN132" s="293"/>
      <c r="AO132" s="293"/>
      <c r="AP132" s="293"/>
      <c r="AQ132" s="293"/>
      <c r="AR132" s="293"/>
      <c r="AS132" s="293"/>
      <c r="AT132" s="293"/>
      <c r="AU132" s="293"/>
      <c r="AV132" s="293"/>
      <c r="AW132" s="293"/>
      <c r="AX132" s="293"/>
      <c r="AY132" s="293"/>
      <c r="AZ132" s="293"/>
      <c r="BA132" s="293"/>
      <c r="BB132" s="293"/>
      <c r="BC132" s="293"/>
      <c r="BD132" s="293"/>
      <c r="BE132" s="293"/>
      <c r="BF132" s="293"/>
      <c r="BG132" s="293"/>
      <c r="BH132" s="293"/>
      <c r="BI132" s="293"/>
      <c r="BJ132" s="293"/>
      <c r="BK132" s="293"/>
      <c r="BL132" s="293"/>
      <c r="BM132" s="293"/>
      <c r="BN132" s="293"/>
      <c r="BO132" s="293"/>
      <c r="BP132" s="293"/>
      <c r="BQ132" s="293"/>
      <c r="BR132" s="293"/>
      <c r="BS132" s="293"/>
      <c r="BT132" s="293"/>
      <c r="BU132" s="293"/>
      <c r="BV132" s="293"/>
      <c r="BW132" s="293"/>
      <c r="BX132" s="293"/>
      <c r="BY132" s="293"/>
      <c r="BZ132" s="293"/>
      <c r="CA132" s="293"/>
      <c r="CB132" s="293"/>
      <c r="CC132" s="293"/>
      <c r="CD132" s="293"/>
      <c r="CE132" s="293"/>
      <c r="CF132" s="293"/>
      <c r="CG132" s="293"/>
      <c r="CH132" s="293"/>
      <c r="CI132" s="293"/>
      <c r="CJ132" s="293"/>
      <c r="CK132" s="293"/>
      <c r="CL132" s="293"/>
      <c r="CM132" s="293"/>
      <c r="CN132" s="293"/>
      <c r="CO132" s="293"/>
      <c r="CP132" s="293"/>
      <c r="CQ132" s="293"/>
      <c r="CR132" s="293"/>
      <c r="CS132" s="293"/>
      <c r="CT132" s="293"/>
      <c r="CU132" s="293"/>
      <c r="CV132" s="293"/>
      <c r="CW132" s="293"/>
      <c r="CX132" s="293"/>
      <c r="CY132" s="293"/>
      <c r="CZ132" s="293"/>
      <c r="DA132" s="293"/>
      <c r="DB132" s="293"/>
      <c r="DC132" s="293"/>
      <c r="DD132" s="293"/>
      <c r="DE132" s="293"/>
      <c r="DF132" s="293"/>
      <c r="DG132" s="293"/>
      <c r="DH132" s="293"/>
      <c r="DI132" s="293"/>
      <c r="DJ132" s="293"/>
      <c r="DK132" s="293"/>
      <c r="DL132" s="293"/>
      <c r="DM132" s="293"/>
      <c r="DN132" s="293"/>
      <c r="DO132" s="293"/>
      <c r="DP132" s="293"/>
      <c r="DQ132" s="293"/>
      <c r="DR132" s="293"/>
      <c r="DS132" s="288"/>
      <c r="DT132" s="288"/>
      <c r="DU132" s="288"/>
      <c r="DV132" s="288"/>
      <c r="DW132" s="288"/>
      <c r="DX132" s="288"/>
      <c r="DY132" s="288"/>
      <c r="DZ132" s="288"/>
      <c r="EA132" s="288"/>
      <c r="EB132" s="288"/>
      <c r="EC132" s="288"/>
      <c r="ED132" s="288"/>
      <c r="EE132" s="288"/>
      <c r="EF132" s="288"/>
      <c r="EG132" s="288"/>
      <c r="EH132" s="288"/>
      <c r="EI132" s="288"/>
      <c r="EJ132" s="288"/>
      <c r="EK132" s="288"/>
      <c r="EL132" s="288"/>
      <c r="EM132" s="288"/>
      <c r="EN132" s="288"/>
      <c r="EO132" s="288"/>
      <c r="EP132" s="288"/>
      <c r="EQ132" s="288"/>
      <c r="ER132" s="288"/>
      <c r="ES132" s="288"/>
      <c r="ET132" s="288"/>
      <c r="EU132" s="288"/>
      <c r="EV132" s="288"/>
      <c r="EW132" s="288"/>
      <c r="EX132" s="288"/>
      <c r="EY132" s="288"/>
      <c r="EZ132" s="288"/>
      <c r="FA132" s="288"/>
      <c r="FB132" s="288"/>
      <c r="FC132" s="288"/>
      <c r="FD132" s="288"/>
      <c r="FE132" s="288"/>
      <c r="FF132" s="288"/>
      <c r="FG132" s="288"/>
      <c r="FH132" s="288"/>
    </row>
    <row r="133" ht="14.25" customHeight="1">
      <c r="A133" s="293"/>
      <c r="B133" s="293"/>
      <c r="C133" s="293"/>
      <c r="D133" s="293"/>
      <c r="E133" s="293"/>
      <c r="F133" s="293"/>
      <c r="G133" s="293"/>
      <c r="H133" s="293"/>
      <c r="I133" s="293"/>
      <c r="J133" s="293"/>
      <c r="K133" s="293"/>
      <c r="L133" s="293"/>
      <c r="M133" s="293"/>
      <c r="N133" s="293"/>
      <c r="O133" s="293"/>
      <c r="P133" s="293"/>
      <c r="Q133" s="293"/>
      <c r="R133" s="293"/>
      <c r="S133" s="293"/>
      <c r="T133" s="293"/>
      <c r="U133" s="293"/>
      <c r="V133" s="293"/>
      <c r="W133" s="293"/>
      <c r="X133" s="293"/>
      <c r="Y133" s="293"/>
      <c r="Z133" s="293"/>
      <c r="AA133" s="293"/>
      <c r="AB133" s="293"/>
      <c r="AC133" s="293"/>
      <c r="AD133" s="293"/>
      <c r="AE133" s="293"/>
      <c r="AF133" s="293"/>
      <c r="AG133" s="293"/>
      <c r="AH133" s="293"/>
      <c r="AI133" s="293"/>
      <c r="AJ133" s="293"/>
      <c r="AK133" s="293"/>
      <c r="AL133" s="293"/>
      <c r="AM133" s="293"/>
      <c r="AN133" s="293"/>
      <c r="AO133" s="293"/>
      <c r="AP133" s="293"/>
      <c r="AQ133" s="293"/>
      <c r="AR133" s="293"/>
      <c r="AS133" s="293"/>
      <c r="AT133" s="293"/>
      <c r="AU133" s="293"/>
      <c r="AV133" s="293"/>
      <c r="AW133" s="293"/>
      <c r="AX133" s="293"/>
      <c r="AY133" s="293"/>
      <c r="AZ133" s="293"/>
      <c r="BA133" s="293"/>
      <c r="BB133" s="293"/>
      <c r="BC133" s="293"/>
      <c r="BD133" s="293"/>
      <c r="BE133" s="293"/>
      <c r="BF133" s="293"/>
      <c r="BG133" s="293"/>
      <c r="BH133" s="293"/>
      <c r="BI133" s="293"/>
      <c r="BJ133" s="293"/>
      <c r="BK133" s="293"/>
      <c r="BL133" s="293"/>
      <c r="BM133" s="293"/>
      <c r="BN133" s="293"/>
      <c r="BO133" s="293"/>
      <c r="BP133" s="293"/>
      <c r="BQ133" s="293"/>
      <c r="BR133" s="293"/>
      <c r="BS133" s="293"/>
      <c r="BT133" s="293"/>
      <c r="BU133" s="293"/>
      <c r="BV133" s="293"/>
      <c r="BW133" s="293"/>
      <c r="BX133" s="293"/>
      <c r="BY133" s="293"/>
      <c r="BZ133" s="293"/>
      <c r="CA133" s="293"/>
      <c r="CB133" s="293"/>
      <c r="CC133" s="293"/>
      <c r="CD133" s="293"/>
      <c r="CE133" s="293"/>
      <c r="CF133" s="293"/>
      <c r="CG133" s="293"/>
      <c r="CH133" s="293"/>
      <c r="CI133" s="293"/>
      <c r="CJ133" s="293"/>
      <c r="CK133" s="293"/>
      <c r="CL133" s="293"/>
      <c r="CM133" s="293"/>
      <c r="CN133" s="293"/>
      <c r="CO133" s="293"/>
      <c r="CP133" s="293"/>
      <c r="CQ133" s="293"/>
      <c r="CR133" s="293"/>
      <c r="CS133" s="293"/>
      <c r="CT133" s="293"/>
      <c r="CU133" s="293"/>
      <c r="CV133" s="293"/>
      <c r="CW133" s="293"/>
      <c r="CX133" s="293"/>
      <c r="CY133" s="293"/>
      <c r="CZ133" s="293"/>
      <c r="DA133" s="293"/>
      <c r="DB133" s="293"/>
      <c r="DC133" s="293"/>
      <c r="DD133" s="293"/>
      <c r="DE133" s="293"/>
      <c r="DF133" s="293"/>
      <c r="DG133" s="293"/>
      <c r="DH133" s="293"/>
      <c r="DI133" s="293"/>
      <c r="DJ133" s="293"/>
      <c r="DK133" s="293"/>
      <c r="DL133" s="293"/>
      <c r="DM133" s="293"/>
      <c r="DN133" s="293"/>
      <c r="DO133" s="293"/>
      <c r="DP133" s="293"/>
      <c r="DQ133" s="293"/>
      <c r="DR133" s="293"/>
      <c r="DS133" s="288"/>
      <c r="DT133" s="288"/>
      <c r="DU133" s="288"/>
      <c r="DV133" s="288"/>
      <c r="DW133" s="288"/>
      <c r="DX133" s="288"/>
      <c r="DY133" s="288"/>
      <c r="DZ133" s="288"/>
      <c r="EA133" s="288"/>
      <c r="EB133" s="288"/>
      <c r="EC133" s="288"/>
      <c r="ED133" s="288"/>
      <c r="EE133" s="288"/>
      <c r="EF133" s="288"/>
      <c r="EG133" s="288"/>
      <c r="EH133" s="288"/>
      <c r="EI133" s="288"/>
      <c r="EJ133" s="288"/>
      <c r="EK133" s="288"/>
      <c r="EL133" s="288"/>
      <c r="EM133" s="288"/>
      <c r="EN133" s="288"/>
      <c r="EO133" s="288"/>
      <c r="EP133" s="288"/>
      <c r="EQ133" s="288"/>
      <c r="ER133" s="288"/>
      <c r="ES133" s="288"/>
      <c r="ET133" s="288"/>
      <c r="EU133" s="288"/>
      <c r="EV133" s="288"/>
      <c r="EW133" s="288"/>
      <c r="EX133" s="288"/>
      <c r="EY133" s="288"/>
      <c r="EZ133" s="288"/>
      <c r="FA133" s="288"/>
      <c r="FB133" s="288"/>
      <c r="FC133" s="288"/>
      <c r="FD133" s="288"/>
      <c r="FE133" s="288"/>
      <c r="FF133" s="288"/>
      <c r="FG133" s="288"/>
      <c r="FH133" s="288"/>
    </row>
    <row r="134" ht="14.25" customHeight="1">
      <c r="A134" s="293"/>
      <c r="B134" s="293"/>
      <c r="C134" s="293"/>
      <c r="D134" s="293"/>
      <c r="E134" s="293"/>
      <c r="F134" s="293"/>
      <c r="G134" s="293"/>
      <c r="H134" s="293"/>
      <c r="I134" s="293"/>
      <c r="J134" s="293"/>
      <c r="K134" s="293"/>
      <c r="L134" s="293"/>
      <c r="M134" s="293"/>
      <c r="N134" s="293"/>
      <c r="O134" s="293"/>
      <c r="P134" s="293"/>
      <c r="Q134" s="293"/>
      <c r="R134" s="293"/>
      <c r="S134" s="293"/>
      <c r="T134" s="293"/>
      <c r="U134" s="293"/>
      <c r="V134" s="293"/>
      <c r="W134" s="293"/>
      <c r="X134" s="293"/>
      <c r="Y134" s="293"/>
      <c r="Z134" s="293"/>
      <c r="AA134" s="293"/>
      <c r="AB134" s="293"/>
      <c r="AC134" s="293"/>
      <c r="AD134" s="293"/>
      <c r="AE134" s="293"/>
      <c r="AF134" s="293"/>
      <c r="AG134" s="293"/>
      <c r="AH134" s="293"/>
      <c r="AI134" s="293"/>
      <c r="AJ134" s="293"/>
      <c r="AK134" s="293"/>
      <c r="AL134" s="293"/>
      <c r="AM134" s="293"/>
      <c r="AN134" s="293"/>
      <c r="AO134" s="293"/>
      <c r="AP134" s="293"/>
      <c r="AQ134" s="293"/>
      <c r="AR134" s="293"/>
      <c r="AS134" s="293"/>
      <c r="AT134" s="293"/>
      <c r="AU134" s="293"/>
      <c r="AV134" s="293"/>
      <c r="AW134" s="293"/>
      <c r="AX134" s="293"/>
      <c r="AY134" s="293"/>
      <c r="AZ134" s="293"/>
      <c r="BA134" s="293"/>
      <c r="BB134" s="293"/>
      <c r="BC134" s="293"/>
      <c r="BD134" s="293"/>
      <c r="BE134" s="293"/>
      <c r="BF134" s="293"/>
      <c r="BG134" s="293"/>
      <c r="BH134" s="293"/>
      <c r="BI134" s="293"/>
      <c r="BJ134" s="293"/>
      <c r="BK134" s="293"/>
      <c r="BL134" s="293"/>
      <c r="BM134" s="293"/>
      <c r="BN134" s="293"/>
      <c r="BO134" s="293"/>
      <c r="BP134" s="293"/>
      <c r="BQ134" s="293"/>
      <c r="BR134" s="293"/>
      <c r="BS134" s="293"/>
      <c r="BT134" s="293"/>
      <c r="BU134" s="293"/>
      <c r="BV134" s="293"/>
      <c r="BW134" s="293"/>
      <c r="BX134" s="293"/>
      <c r="BY134" s="293"/>
      <c r="BZ134" s="293"/>
      <c r="CA134" s="293"/>
      <c r="CB134" s="293"/>
      <c r="CC134" s="293"/>
      <c r="CD134" s="293"/>
      <c r="CE134" s="293"/>
      <c r="CF134" s="293"/>
      <c r="CG134" s="293"/>
      <c r="CH134" s="293"/>
      <c r="CI134" s="293"/>
      <c r="CJ134" s="293"/>
      <c r="CK134" s="293"/>
      <c r="CL134" s="293"/>
      <c r="CM134" s="293"/>
      <c r="CN134" s="293"/>
      <c r="CO134" s="293"/>
      <c r="CP134" s="293"/>
      <c r="CQ134" s="293"/>
      <c r="CR134" s="293"/>
      <c r="CS134" s="293"/>
      <c r="CT134" s="293"/>
      <c r="CU134" s="293"/>
      <c r="CV134" s="293"/>
      <c r="CW134" s="293"/>
      <c r="CX134" s="293"/>
      <c r="CY134" s="293"/>
      <c r="CZ134" s="293"/>
      <c r="DA134" s="293"/>
      <c r="DB134" s="293"/>
      <c r="DC134" s="293"/>
      <c r="DD134" s="293"/>
      <c r="DE134" s="293"/>
      <c r="DF134" s="293"/>
      <c r="DG134" s="293"/>
      <c r="DH134" s="293"/>
      <c r="DI134" s="293"/>
      <c r="DJ134" s="293"/>
      <c r="DK134" s="293"/>
      <c r="DL134" s="293"/>
      <c r="DM134" s="293"/>
      <c r="DN134" s="293"/>
      <c r="DO134" s="293"/>
      <c r="DP134" s="293"/>
      <c r="DQ134" s="293"/>
      <c r="DR134" s="293"/>
      <c r="DS134" s="288"/>
      <c r="DT134" s="288"/>
      <c r="DU134" s="288"/>
      <c r="DV134" s="288"/>
      <c r="DW134" s="288"/>
      <c r="DX134" s="288"/>
      <c r="DY134" s="288"/>
      <c r="DZ134" s="288"/>
      <c r="EA134" s="288"/>
      <c r="EB134" s="288"/>
      <c r="EC134" s="288"/>
      <c r="ED134" s="288"/>
      <c r="EE134" s="288"/>
      <c r="EF134" s="288"/>
      <c r="EG134" s="288"/>
      <c r="EH134" s="288"/>
      <c r="EI134" s="288"/>
      <c r="EJ134" s="288"/>
      <c r="EK134" s="288"/>
      <c r="EL134" s="288"/>
      <c r="EM134" s="288"/>
      <c r="EN134" s="288"/>
      <c r="EO134" s="288"/>
      <c r="EP134" s="288"/>
      <c r="EQ134" s="288"/>
      <c r="ER134" s="288"/>
      <c r="ES134" s="288"/>
      <c r="ET134" s="288"/>
      <c r="EU134" s="288"/>
      <c r="EV134" s="288"/>
      <c r="EW134" s="288"/>
      <c r="EX134" s="288"/>
      <c r="EY134" s="288"/>
      <c r="EZ134" s="288"/>
      <c r="FA134" s="288"/>
      <c r="FB134" s="288"/>
      <c r="FC134" s="288"/>
      <c r="FD134" s="288"/>
      <c r="FE134" s="288"/>
      <c r="FF134" s="288"/>
      <c r="FG134" s="288"/>
      <c r="FH134" s="288"/>
    </row>
    <row r="135" ht="14.25" customHeight="1">
      <c r="A135" s="293"/>
      <c r="B135" s="293"/>
      <c r="C135" s="293"/>
      <c r="D135" s="293"/>
      <c r="E135" s="293"/>
      <c r="F135" s="293"/>
      <c r="G135" s="293"/>
      <c r="H135" s="293"/>
      <c r="I135" s="293"/>
      <c r="J135" s="293"/>
      <c r="K135" s="293"/>
      <c r="L135" s="293"/>
      <c r="M135" s="293"/>
      <c r="N135" s="293"/>
      <c r="O135" s="293"/>
      <c r="P135" s="293"/>
      <c r="Q135" s="293"/>
      <c r="R135" s="293"/>
      <c r="S135" s="293"/>
      <c r="T135" s="293"/>
      <c r="U135" s="293"/>
      <c r="V135" s="293"/>
      <c r="W135" s="293"/>
      <c r="X135" s="293"/>
      <c r="Y135" s="293"/>
      <c r="Z135" s="293"/>
      <c r="AA135" s="293"/>
      <c r="AB135" s="293"/>
      <c r="AC135" s="293"/>
      <c r="AD135" s="293"/>
      <c r="AE135" s="293"/>
      <c r="AF135" s="293"/>
      <c r="AG135" s="293"/>
      <c r="AH135" s="293"/>
      <c r="AI135" s="293"/>
      <c r="AJ135" s="293"/>
      <c r="AK135" s="293"/>
      <c r="AL135" s="293"/>
      <c r="AM135" s="293"/>
      <c r="AN135" s="293"/>
      <c r="AO135" s="293"/>
      <c r="AP135" s="293"/>
      <c r="AQ135" s="293"/>
      <c r="AR135" s="293"/>
      <c r="AS135" s="293"/>
      <c r="AT135" s="293"/>
      <c r="AU135" s="293"/>
      <c r="AV135" s="293"/>
      <c r="AW135" s="293"/>
      <c r="AX135" s="293"/>
      <c r="AY135" s="293"/>
      <c r="AZ135" s="293"/>
      <c r="BA135" s="293"/>
      <c r="BB135" s="293"/>
      <c r="BC135" s="293"/>
      <c r="BD135" s="293"/>
      <c r="BE135" s="293"/>
      <c r="BF135" s="293"/>
      <c r="BG135" s="293"/>
      <c r="BH135" s="293"/>
      <c r="BI135" s="293"/>
      <c r="BJ135" s="293"/>
      <c r="BK135" s="293"/>
      <c r="BL135" s="293"/>
      <c r="BM135" s="293"/>
      <c r="BN135" s="293"/>
      <c r="BO135" s="293"/>
      <c r="BP135" s="293"/>
      <c r="BQ135" s="293"/>
      <c r="BR135" s="293"/>
      <c r="BS135" s="293"/>
      <c r="BT135" s="293"/>
      <c r="BU135" s="293"/>
      <c r="BV135" s="293"/>
      <c r="BW135" s="293"/>
      <c r="BX135" s="293"/>
      <c r="BY135" s="293"/>
      <c r="BZ135" s="293"/>
      <c r="CA135" s="293"/>
      <c r="CB135" s="293"/>
      <c r="CC135" s="293"/>
      <c r="CD135" s="293"/>
      <c r="CE135" s="293"/>
      <c r="CF135" s="293"/>
      <c r="CG135" s="293"/>
      <c r="CH135" s="293"/>
      <c r="CI135" s="293"/>
      <c r="CJ135" s="293"/>
      <c r="CK135" s="293"/>
      <c r="CL135" s="293"/>
      <c r="CM135" s="293"/>
      <c r="CN135" s="293"/>
      <c r="CO135" s="293"/>
      <c r="CP135" s="293"/>
      <c r="CQ135" s="293"/>
      <c r="CR135" s="293"/>
      <c r="CS135" s="293"/>
      <c r="CT135" s="293"/>
      <c r="CU135" s="293"/>
      <c r="CV135" s="293"/>
      <c r="CW135" s="293"/>
      <c r="CX135" s="293"/>
      <c r="CY135" s="293"/>
      <c r="CZ135" s="293"/>
      <c r="DA135" s="293"/>
      <c r="DB135" s="293"/>
      <c r="DC135" s="293"/>
      <c r="DD135" s="293"/>
      <c r="DE135" s="293"/>
      <c r="DF135" s="293"/>
      <c r="DG135" s="293"/>
      <c r="DH135" s="293"/>
      <c r="DI135" s="293"/>
      <c r="DJ135" s="293"/>
      <c r="DK135" s="293"/>
      <c r="DL135" s="293"/>
      <c r="DM135" s="293"/>
      <c r="DN135" s="293"/>
      <c r="DO135" s="293"/>
      <c r="DP135" s="293"/>
      <c r="DQ135" s="293"/>
      <c r="DR135" s="293"/>
      <c r="DS135" s="288"/>
      <c r="DT135" s="288"/>
      <c r="DU135" s="288"/>
      <c r="DV135" s="288"/>
      <c r="DW135" s="288"/>
      <c r="DX135" s="288"/>
      <c r="DY135" s="288"/>
      <c r="DZ135" s="288"/>
      <c r="EA135" s="288"/>
      <c r="EB135" s="288"/>
      <c r="EC135" s="288"/>
      <c r="ED135" s="288"/>
      <c r="EE135" s="288"/>
      <c r="EF135" s="288"/>
      <c r="EG135" s="288"/>
      <c r="EH135" s="288"/>
      <c r="EI135" s="288"/>
      <c r="EJ135" s="288"/>
      <c r="EK135" s="288"/>
      <c r="EL135" s="288"/>
      <c r="EM135" s="288"/>
      <c r="EN135" s="288"/>
      <c r="EO135" s="288"/>
      <c r="EP135" s="288"/>
      <c r="EQ135" s="288"/>
      <c r="ER135" s="288"/>
      <c r="ES135" s="288"/>
      <c r="ET135" s="288"/>
      <c r="EU135" s="288"/>
      <c r="EV135" s="288"/>
      <c r="EW135" s="288"/>
      <c r="EX135" s="288"/>
      <c r="EY135" s="288"/>
      <c r="EZ135" s="288"/>
      <c r="FA135" s="288"/>
      <c r="FB135" s="288"/>
      <c r="FC135" s="288"/>
      <c r="FD135" s="288"/>
      <c r="FE135" s="288"/>
      <c r="FF135" s="288"/>
      <c r="FG135" s="288"/>
      <c r="FH135" s="288"/>
    </row>
    <row r="136" ht="14.25" customHeight="1">
      <c r="A136" s="293"/>
      <c r="B136" s="293"/>
      <c r="C136" s="293"/>
      <c r="D136" s="293"/>
      <c r="E136" s="293"/>
      <c r="F136" s="293"/>
      <c r="G136" s="293"/>
      <c r="H136" s="293"/>
      <c r="I136" s="293"/>
      <c r="J136" s="293"/>
      <c r="K136" s="293"/>
      <c r="L136" s="293"/>
      <c r="M136" s="293"/>
      <c r="N136" s="293"/>
      <c r="O136" s="293"/>
      <c r="P136" s="293"/>
      <c r="Q136" s="293"/>
      <c r="R136" s="293"/>
      <c r="S136" s="293"/>
      <c r="T136" s="293"/>
      <c r="U136" s="293"/>
      <c r="V136" s="293"/>
      <c r="W136" s="293"/>
      <c r="X136" s="293"/>
      <c r="Y136" s="293"/>
      <c r="Z136" s="293"/>
      <c r="AA136" s="293"/>
      <c r="AB136" s="293"/>
      <c r="AC136" s="293"/>
      <c r="AD136" s="293"/>
      <c r="AE136" s="293"/>
      <c r="AF136" s="293"/>
      <c r="AG136" s="293"/>
      <c r="AH136" s="293"/>
      <c r="AI136" s="293"/>
      <c r="AJ136" s="293"/>
      <c r="AK136" s="293"/>
      <c r="AL136" s="293"/>
      <c r="AM136" s="293"/>
      <c r="AN136" s="293"/>
      <c r="AO136" s="293"/>
      <c r="AP136" s="293"/>
      <c r="AQ136" s="293"/>
      <c r="AR136" s="293"/>
      <c r="AS136" s="293"/>
      <c r="AT136" s="293"/>
      <c r="AU136" s="293"/>
      <c r="AV136" s="293"/>
      <c r="AW136" s="293"/>
      <c r="AX136" s="293"/>
      <c r="AY136" s="293"/>
      <c r="AZ136" s="293"/>
      <c r="BA136" s="293"/>
      <c r="BB136" s="293"/>
      <c r="BC136" s="293"/>
      <c r="BD136" s="293"/>
      <c r="BE136" s="293"/>
      <c r="BF136" s="293"/>
      <c r="BG136" s="293"/>
      <c r="BH136" s="293"/>
      <c r="BI136" s="293"/>
      <c r="BJ136" s="293"/>
      <c r="BK136" s="293"/>
      <c r="BL136" s="293"/>
      <c r="BM136" s="293"/>
      <c r="BN136" s="293"/>
      <c r="BO136" s="293"/>
      <c r="BP136" s="293"/>
      <c r="BQ136" s="293"/>
      <c r="BR136" s="293"/>
      <c r="BS136" s="293"/>
      <c r="BT136" s="293"/>
      <c r="BU136" s="293"/>
      <c r="BV136" s="293"/>
      <c r="BW136" s="293"/>
      <c r="BX136" s="293"/>
      <c r="BY136" s="293"/>
      <c r="BZ136" s="293"/>
      <c r="CA136" s="293"/>
      <c r="CB136" s="293"/>
      <c r="CC136" s="293"/>
      <c r="CD136" s="293"/>
      <c r="CE136" s="293"/>
      <c r="CF136" s="293"/>
      <c r="CG136" s="293"/>
      <c r="CH136" s="293"/>
      <c r="CI136" s="293"/>
      <c r="CJ136" s="293"/>
      <c r="CK136" s="293"/>
      <c r="CL136" s="293"/>
      <c r="CM136" s="293"/>
      <c r="CN136" s="293"/>
      <c r="CO136" s="293"/>
      <c r="CP136" s="293"/>
      <c r="CQ136" s="293"/>
      <c r="CR136" s="293"/>
      <c r="CS136" s="293"/>
      <c r="CT136" s="293"/>
      <c r="CU136" s="293"/>
      <c r="CV136" s="293"/>
      <c r="CW136" s="293"/>
      <c r="CX136" s="293"/>
      <c r="CY136" s="293"/>
      <c r="CZ136" s="293"/>
      <c r="DA136" s="293"/>
      <c r="DB136" s="293"/>
      <c r="DC136" s="293"/>
      <c r="DD136" s="293"/>
      <c r="DE136" s="293"/>
      <c r="DF136" s="293"/>
      <c r="DG136" s="293"/>
      <c r="DH136" s="293"/>
      <c r="DI136" s="293"/>
      <c r="DJ136" s="293"/>
      <c r="DK136" s="293"/>
      <c r="DL136" s="293"/>
      <c r="DM136" s="293"/>
      <c r="DN136" s="293"/>
      <c r="DO136" s="293"/>
      <c r="DP136" s="293"/>
      <c r="DQ136" s="293"/>
      <c r="DR136" s="293"/>
      <c r="DS136" s="288"/>
      <c r="DT136" s="288"/>
      <c r="DU136" s="288"/>
      <c r="DV136" s="288"/>
      <c r="DW136" s="288"/>
      <c r="DX136" s="288"/>
      <c r="DY136" s="288"/>
      <c r="DZ136" s="288"/>
      <c r="EA136" s="288"/>
      <c r="EB136" s="288"/>
      <c r="EC136" s="288"/>
      <c r="ED136" s="288"/>
      <c r="EE136" s="288"/>
      <c r="EF136" s="288"/>
      <c r="EG136" s="288"/>
      <c r="EH136" s="288"/>
      <c r="EI136" s="288"/>
      <c r="EJ136" s="288"/>
      <c r="EK136" s="288"/>
      <c r="EL136" s="288"/>
      <c r="EM136" s="288"/>
      <c r="EN136" s="288"/>
      <c r="EO136" s="288"/>
      <c r="EP136" s="288"/>
      <c r="EQ136" s="288"/>
      <c r="ER136" s="288"/>
      <c r="ES136" s="288"/>
      <c r="ET136" s="288"/>
      <c r="EU136" s="288"/>
      <c r="EV136" s="288"/>
      <c r="EW136" s="288"/>
      <c r="EX136" s="288"/>
      <c r="EY136" s="288"/>
      <c r="EZ136" s="288"/>
      <c r="FA136" s="288"/>
      <c r="FB136" s="288"/>
      <c r="FC136" s="288"/>
      <c r="FD136" s="288"/>
      <c r="FE136" s="288"/>
      <c r="FF136" s="288"/>
      <c r="FG136" s="288"/>
      <c r="FH136" s="288"/>
    </row>
    <row r="137" ht="14.25" customHeight="1">
      <c r="A137" s="293"/>
      <c r="B137" s="293"/>
      <c r="C137" s="293"/>
      <c r="D137" s="293"/>
      <c r="E137" s="293"/>
      <c r="F137" s="293"/>
      <c r="G137" s="293"/>
      <c r="H137" s="293"/>
      <c r="I137" s="293"/>
      <c r="J137" s="293"/>
      <c r="K137" s="293"/>
      <c r="L137" s="293"/>
      <c r="M137" s="293"/>
      <c r="N137" s="293"/>
      <c r="O137" s="293"/>
      <c r="P137" s="293"/>
      <c r="Q137" s="293"/>
      <c r="R137" s="293"/>
      <c r="S137" s="293"/>
      <c r="T137" s="293"/>
      <c r="U137" s="293"/>
      <c r="V137" s="293"/>
      <c r="W137" s="293"/>
      <c r="X137" s="293"/>
      <c r="Y137" s="293"/>
      <c r="Z137" s="293"/>
      <c r="AA137" s="293"/>
      <c r="AB137" s="293"/>
      <c r="AC137" s="293"/>
      <c r="AD137" s="293"/>
      <c r="AE137" s="293"/>
      <c r="AF137" s="293"/>
      <c r="AG137" s="293"/>
      <c r="AH137" s="293"/>
      <c r="AI137" s="293"/>
      <c r="AJ137" s="293"/>
      <c r="AK137" s="293"/>
      <c r="AL137" s="293"/>
      <c r="AM137" s="293"/>
      <c r="AN137" s="293"/>
      <c r="AO137" s="293"/>
      <c r="AP137" s="293"/>
      <c r="AQ137" s="293"/>
      <c r="AR137" s="293"/>
      <c r="AS137" s="293"/>
      <c r="AT137" s="293"/>
      <c r="AU137" s="293"/>
      <c r="AV137" s="293"/>
      <c r="AW137" s="293"/>
      <c r="AX137" s="293"/>
      <c r="AY137" s="293"/>
      <c r="AZ137" s="293"/>
      <c r="BA137" s="293"/>
      <c r="BB137" s="293"/>
      <c r="BC137" s="293"/>
      <c r="BD137" s="293"/>
      <c r="BE137" s="293"/>
      <c r="BF137" s="293"/>
      <c r="BG137" s="293"/>
      <c r="BH137" s="293"/>
      <c r="BI137" s="293"/>
      <c r="BJ137" s="293"/>
      <c r="BK137" s="293"/>
      <c r="BL137" s="293"/>
      <c r="BM137" s="293"/>
      <c r="BN137" s="293"/>
      <c r="BO137" s="293"/>
      <c r="BP137" s="293"/>
      <c r="BQ137" s="293"/>
      <c r="BR137" s="293"/>
      <c r="BS137" s="293"/>
      <c r="BT137" s="293"/>
      <c r="BU137" s="293"/>
      <c r="BV137" s="293"/>
      <c r="BW137" s="293"/>
      <c r="BX137" s="293"/>
      <c r="BY137" s="293"/>
      <c r="BZ137" s="293"/>
      <c r="CA137" s="293"/>
      <c r="CB137" s="293"/>
      <c r="CC137" s="293"/>
      <c r="CD137" s="293"/>
      <c r="CE137" s="293"/>
      <c r="CF137" s="293"/>
      <c r="CG137" s="293"/>
      <c r="CH137" s="293"/>
      <c r="CI137" s="293"/>
      <c r="CJ137" s="293"/>
      <c r="CK137" s="293"/>
      <c r="CL137" s="293"/>
      <c r="CM137" s="293"/>
      <c r="CN137" s="293"/>
      <c r="CO137" s="293"/>
      <c r="CP137" s="293"/>
      <c r="CQ137" s="293"/>
      <c r="CR137" s="293"/>
      <c r="CS137" s="293"/>
      <c r="CT137" s="293"/>
      <c r="CU137" s="293"/>
      <c r="CV137" s="293"/>
      <c r="CW137" s="293"/>
      <c r="CX137" s="293"/>
      <c r="CY137" s="293"/>
      <c r="CZ137" s="293"/>
      <c r="DA137" s="293"/>
      <c r="DB137" s="293"/>
      <c r="DC137" s="293"/>
      <c r="DD137" s="293"/>
      <c r="DE137" s="293"/>
      <c r="DF137" s="293"/>
      <c r="DG137" s="293"/>
      <c r="DH137" s="293"/>
      <c r="DI137" s="293"/>
      <c r="DJ137" s="293"/>
      <c r="DK137" s="293"/>
      <c r="DL137" s="293"/>
      <c r="DM137" s="293"/>
      <c r="DN137" s="293"/>
      <c r="DO137" s="293"/>
      <c r="DP137" s="293"/>
      <c r="DQ137" s="293"/>
      <c r="DR137" s="293"/>
      <c r="DS137" s="288"/>
      <c r="DT137" s="288"/>
      <c r="DU137" s="288"/>
      <c r="DV137" s="288"/>
      <c r="DW137" s="288"/>
      <c r="DX137" s="288"/>
      <c r="DY137" s="288"/>
      <c r="DZ137" s="288"/>
      <c r="EA137" s="288"/>
      <c r="EB137" s="288"/>
      <c r="EC137" s="288"/>
      <c r="ED137" s="288"/>
      <c r="EE137" s="288"/>
      <c r="EF137" s="288"/>
      <c r="EG137" s="288"/>
      <c r="EH137" s="288"/>
      <c r="EI137" s="288"/>
      <c r="EJ137" s="288"/>
      <c r="EK137" s="288"/>
      <c r="EL137" s="288"/>
      <c r="EM137" s="288"/>
      <c r="EN137" s="288"/>
      <c r="EO137" s="288"/>
      <c r="EP137" s="288"/>
      <c r="EQ137" s="288"/>
      <c r="ER137" s="288"/>
      <c r="ES137" s="288"/>
      <c r="ET137" s="288"/>
      <c r="EU137" s="288"/>
      <c r="EV137" s="288"/>
      <c r="EW137" s="288"/>
      <c r="EX137" s="288"/>
      <c r="EY137" s="288"/>
      <c r="EZ137" s="288"/>
      <c r="FA137" s="288"/>
      <c r="FB137" s="288"/>
      <c r="FC137" s="288"/>
      <c r="FD137" s="288"/>
      <c r="FE137" s="288"/>
      <c r="FF137" s="288"/>
      <c r="FG137" s="288"/>
      <c r="FH137" s="288"/>
    </row>
    <row r="138" ht="14.25" customHeight="1">
      <c r="A138" s="293"/>
      <c r="B138" s="293"/>
      <c r="C138" s="293"/>
      <c r="D138" s="293"/>
      <c r="E138" s="293"/>
      <c r="F138" s="293"/>
      <c r="G138" s="293"/>
      <c r="H138" s="293"/>
      <c r="I138" s="293"/>
      <c r="J138" s="293"/>
      <c r="K138" s="293"/>
      <c r="L138" s="293"/>
      <c r="M138" s="293"/>
      <c r="N138" s="293"/>
      <c r="O138" s="293"/>
      <c r="P138" s="293"/>
      <c r="Q138" s="293"/>
      <c r="R138" s="293"/>
      <c r="S138" s="293"/>
      <c r="T138" s="293"/>
      <c r="U138" s="293"/>
      <c r="V138" s="293"/>
      <c r="W138" s="293"/>
      <c r="X138" s="293"/>
      <c r="Y138" s="293"/>
      <c r="Z138" s="293"/>
      <c r="AA138" s="293"/>
      <c r="AB138" s="293"/>
      <c r="AC138" s="293"/>
      <c r="AD138" s="293"/>
      <c r="AE138" s="293"/>
      <c r="AF138" s="293"/>
      <c r="AG138" s="293"/>
      <c r="AH138" s="293"/>
      <c r="AI138" s="293"/>
      <c r="AJ138" s="293"/>
      <c r="AK138" s="293"/>
      <c r="AL138" s="293"/>
      <c r="AM138" s="293"/>
      <c r="AN138" s="293"/>
      <c r="AO138" s="293"/>
      <c r="AP138" s="293"/>
      <c r="AQ138" s="293"/>
      <c r="AR138" s="293"/>
      <c r="AS138" s="293"/>
      <c r="AT138" s="293"/>
      <c r="AU138" s="293"/>
      <c r="AV138" s="293"/>
      <c r="AW138" s="293"/>
      <c r="AX138" s="293"/>
      <c r="AY138" s="293"/>
      <c r="AZ138" s="293"/>
      <c r="BA138" s="293"/>
      <c r="BB138" s="293"/>
      <c r="BC138" s="293"/>
      <c r="BD138" s="293"/>
      <c r="BE138" s="293"/>
      <c r="BF138" s="293"/>
      <c r="BG138" s="293"/>
      <c r="BH138" s="293"/>
      <c r="BI138" s="293"/>
      <c r="BJ138" s="293"/>
      <c r="BK138" s="293"/>
      <c r="BL138" s="293"/>
      <c r="BM138" s="293"/>
      <c r="BN138" s="293"/>
      <c r="BO138" s="293"/>
      <c r="BP138" s="293"/>
      <c r="BQ138" s="293"/>
      <c r="BR138" s="293"/>
      <c r="BS138" s="293"/>
      <c r="BT138" s="293"/>
      <c r="BU138" s="293"/>
      <c r="BV138" s="293"/>
      <c r="BW138" s="293"/>
      <c r="BX138" s="293"/>
      <c r="BY138" s="293"/>
      <c r="BZ138" s="293"/>
      <c r="CA138" s="293"/>
      <c r="CB138" s="293"/>
      <c r="CC138" s="293"/>
      <c r="CD138" s="293"/>
      <c r="CE138" s="293"/>
      <c r="CF138" s="293"/>
      <c r="CG138" s="293"/>
      <c r="CH138" s="293"/>
      <c r="CI138" s="293"/>
      <c r="CJ138" s="293"/>
      <c r="CK138" s="293"/>
      <c r="CL138" s="293"/>
      <c r="CM138" s="293"/>
      <c r="CN138" s="293"/>
      <c r="CO138" s="293"/>
      <c r="CP138" s="293"/>
      <c r="CQ138" s="293"/>
      <c r="CR138" s="293"/>
      <c r="CS138" s="293"/>
      <c r="CT138" s="293"/>
      <c r="CU138" s="293"/>
      <c r="CV138" s="293"/>
      <c r="CW138" s="293"/>
      <c r="CX138" s="293"/>
      <c r="CY138" s="293"/>
      <c r="CZ138" s="293"/>
      <c r="DA138" s="293"/>
      <c r="DB138" s="293"/>
      <c r="DC138" s="293"/>
      <c r="DD138" s="293"/>
      <c r="DE138" s="293"/>
      <c r="DF138" s="293"/>
      <c r="DG138" s="293"/>
      <c r="DH138" s="293"/>
      <c r="DI138" s="293"/>
      <c r="DJ138" s="293"/>
      <c r="DK138" s="293"/>
      <c r="DL138" s="293"/>
      <c r="DM138" s="293"/>
      <c r="DN138" s="293"/>
      <c r="DO138" s="293"/>
      <c r="DP138" s="293"/>
      <c r="DQ138" s="293"/>
      <c r="DR138" s="293"/>
      <c r="DS138" s="288"/>
      <c r="DT138" s="288"/>
      <c r="DU138" s="288"/>
      <c r="DV138" s="288"/>
      <c r="DW138" s="288"/>
      <c r="DX138" s="288"/>
      <c r="DY138" s="288"/>
      <c r="DZ138" s="288"/>
      <c r="EA138" s="288"/>
      <c r="EB138" s="288"/>
      <c r="EC138" s="288"/>
      <c r="ED138" s="288"/>
      <c r="EE138" s="288"/>
      <c r="EF138" s="288"/>
      <c r="EG138" s="288"/>
      <c r="EH138" s="288"/>
      <c r="EI138" s="288"/>
      <c r="EJ138" s="288"/>
      <c r="EK138" s="288"/>
      <c r="EL138" s="288"/>
      <c r="EM138" s="288"/>
      <c r="EN138" s="288"/>
      <c r="EO138" s="288"/>
      <c r="EP138" s="288"/>
      <c r="EQ138" s="288"/>
      <c r="ER138" s="288"/>
      <c r="ES138" s="288"/>
      <c r="ET138" s="288"/>
      <c r="EU138" s="288"/>
      <c r="EV138" s="288"/>
      <c r="EW138" s="288"/>
      <c r="EX138" s="288"/>
      <c r="EY138" s="288"/>
      <c r="EZ138" s="288"/>
      <c r="FA138" s="288"/>
      <c r="FB138" s="288"/>
      <c r="FC138" s="288"/>
      <c r="FD138" s="288"/>
      <c r="FE138" s="288"/>
      <c r="FF138" s="288"/>
      <c r="FG138" s="288"/>
      <c r="FH138" s="288"/>
    </row>
    <row r="139" ht="14.25" customHeight="1">
      <c r="A139" s="293"/>
      <c r="B139" s="293"/>
      <c r="C139" s="293"/>
      <c r="D139" s="293"/>
      <c r="E139" s="293"/>
      <c r="F139" s="293"/>
      <c r="G139" s="293"/>
      <c r="H139" s="293"/>
      <c r="I139" s="293"/>
      <c r="J139" s="293"/>
      <c r="K139" s="293"/>
      <c r="L139" s="293"/>
      <c r="M139" s="293"/>
      <c r="N139" s="293"/>
      <c r="O139" s="293"/>
      <c r="P139" s="293"/>
      <c r="Q139" s="293"/>
      <c r="R139" s="293"/>
      <c r="S139" s="293"/>
      <c r="T139" s="293"/>
      <c r="U139" s="293"/>
      <c r="V139" s="293"/>
      <c r="W139" s="293"/>
      <c r="X139" s="293"/>
      <c r="Y139" s="293"/>
      <c r="Z139" s="293"/>
      <c r="AA139" s="293"/>
      <c r="AB139" s="293"/>
      <c r="AC139" s="293"/>
      <c r="AD139" s="293"/>
      <c r="AE139" s="293"/>
      <c r="AF139" s="293"/>
      <c r="AG139" s="293"/>
      <c r="AH139" s="293"/>
      <c r="AI139" s="293"/>
      <c r="AJ139" s="293"/>
      <c r="AK139" s="293"/>
      <c r="AL139" s="293"/>
      <c r="AM139" s="293"/>
      <c r="AN139" s="293"/>
      <c r="AO139" s="293"/>
      <c r="AP139" s="293"/>
      <c r="AQ139" s="293"/>
      <c r="AR139" s="293"/>
      <c r="AS139" s="293"/>
      <c r="AT139" s="293"/>
      <c r="AU139" s="293"/>
      <c r="AV139" s="293"/>
      <c r="AW139" s="293"/>
      <c r="AX139" s="293"/>
      <c r="AY139" s="293"/>
      <c r="AZ139" s="293"/>
      <c r="BA139" s="293"/>
      <c r="BB139" s="293"/>
      <c r="BC139" s="293"/>
      <c r="BD139" s="293"/>
      <c r="BE139" s="293"/>
      <c r="BF139" s="293"/>
      <c r="BG139" s="293"/>
      <c r="BH139" s="293"/>
      <c r="BI139" s="293"/>
      <c r="BJ139" s="293"/>
      <c r="BK139" s="293"/>
      <c r="BL139" s="293"/>
      <c r="BM139" s="293"/>
      <c r="BN139" s="293"/>
      <c r="BO139" s="293"/>
      <c r="BP139" s="293"/>
      <c r="BQ139" s="293"/>
      <c r="BR139" s="293"/>
      <c r="BS139" s="293"/>
      <c r="BT139" s="293"/>
      <c r="BU139" s="293"/>
      <c r="BV139" s="293"/>
      <c r="BW139" s="293"/>
      <c r="BX139" s="293"/>
      <c r="BY139" s="293"/>
      <c r="BZ139" s="293"/>
      <c r="CA139" s="293"/>
      <c r="CB139" s="293"/>
      <c r="CC139" s="293"/>
      <c r="CD139" s="293"/>
      <c r="CE139" s="293"/>
      <c r="CF139" s="293"/>
      <c r="CG139" s="293"/>
      <c r="CH139" s="293"/>
      <c r="CI139" s="293"/>
      <c r="CJ139" s="293"/>
      <c r="CK139" s="293"/>
      <c r="CL139" s="293"/>
      <c r="CM139" s="293"/>
      <c r="CN139" s="293"/>
      <c r="CO139" s="293"/>
      <c r="CP139" s="293"/>
      <c r="CQ139" s="293"/>
      <c r="CR139" s="293"/>
      <c r="CS139" s="293"/>
      <c r="CT139" s="293"/>
      <c r="CU139" s="293"/>
      <c r="CV139" s="293"/>
      <c r="CW139" s="293"/>
      <c r="CX139" s="293"/>
      <c r="CY139" s="293"/>
      <c r="CZ139" s="293"/>
      <c r="DA139" s="293"/>
      <c r="DB139" s="293"/>
      <c r="DC139" s="293"/>
      <c r="DD139" s="293"/>
      <c r="DE139" s="293"/>
      <c r="DF139" s="293"/>
      <c r="DG139" s="293"/>
      <c r="DH139" s="293"/>
      <c r="DI139" s="293"/>
      <c r="DJ139" s="293"/>
      <c r="DK139" s="293"/>
      <c r="DL139" s="293"/>
      <c r="DM139" s="293"/>
      <c r="DN139" s="293"/>
      <c r="DO139" s="293"/>
      <c r="DP139" s="293"/>
      <c r="DQ139" s="293"/>
      <c r="DR139" s="293"/>
      <c r="DS139" s="288"/>
      <c r="DT139" s="288"/>
      <c r="DU139" s="288"/>
      <c r="DV139" s="288"/>
      <c r="DW139" s="288"/>
      <c r="DX139" s="288"/>
      <c r="DY139" s="288"/>
      <c r="DZ139" s="288"/>
      <c r="EA139" s="288"/>
      <c r="EB139" s="288"/>
      <c r="EC139" s="288"/>
      <c r="ED139" s="288"/>
      <c r="EE139" s="288"/>
      <c r="EF139" s="288"/>
      <c r="EG139" s="288"/>
      <c r="EH139" s="288"/>
      <c r="EI139" s="288"/>
      <c r="EJ139" s="288"/>
      <c r="EK139" s="288"/>
      <c r="EL139" s="288"/>
      <c r="EM139" s="288"/>
      <c r="EN139" s="288"/>
      <c r="EO139" s="288"/>
      <c r="EP139" s="288"/>
      <c r="EQ139" s="288"/>
      <c r="ER139" s="288"/>
      <c r="ES139" s="288"/>
      <c r="ET139" s="288"/>
      <c r="EU139" s="288"/>
      <c r="EV139" s="288"/>
      <c r="EW139" s="288"/>
      <c r="EX139" s="288"/>
      <c r="EY139" s="288"/>
      <c r="EZ139" s="288"/>
      <c r="FA139" s="288"/>
      <c r="FB139" s="288"/>
      <c r="FC139" s="288"/>
      <c r="FD139" s="288"/>
      <c r="FE139" s="288"/>
      <c r="FF139" s="288"/>
      <c r="FG139" s="288"/>
      <c r="FH139" s="288"/>
    </row>
    <row r="140" ht="14.25" customHeight="1">
      <c r="A140" s="293"/>
      <c r="B140" s="293"/>
      <c r="C140" s="293"/>
      <c r="D140" s="293"/>
      <c r="E140" s="293"/>
      <c r="F140" s="293"/>
      <c r="G140" s="293"/>
      <c r="H140" s="293"/>
      <c r="I140" s="293"/>
      <c r="J140" s="293"/>
      <c r="K140" s="293"/>
      <c r="L140" s="293"/>
      <c r="M140" s="293"/>
      <c r="N140" s="293"/>
      <c r="O140" s="293"/>
      <c r="P140" s="293"/>
      <c r="Q140" s="293"/>
      <c r="R140" s="293"/>
      <c r="S140" s="293"/>
      <c r="T140" s="293"/>
      <c r="U140" s="293"/>
      <c r="V140" s="293"/>
      <c r="W140" s="293"/>
      <c r="X140" s="293"/>
      <c r="Y140" s="293"/>
      <c r="Z140" s="293"/>
      <c r="AA140" s="293"/>
      <c r="AB140" s="293"/>
      <c r="AC140" s="293"/>
      <c r="AD140" s="293"/>
      <c r="AE140" s="293"/>
      <c r="AF140" s="293"/>
      <c r="AG140" s="293"/>
      <c r="AH140" s="293"/>
      <c r="AI140" s="293"/>
      <c r="AJ140" s="293"/>
      <c r="AK140" s="293"/>
      <c r="AL140" s="293"/>
      <c r="AM140" s="293"/>
      <c r="AN140" s="293"/>
      <c r="AO140" s="293"/>
      <c r="AP140" s="293"/>
      <c r="AQ140" s="293"/>
      <c r="AR140" s="293"/>
      <c r="AS140" s="293"/>
      <c r="AT140" s="293"/>
      <c r="AU140" s="293"/>
      <c r="AV140" s="293"/>
      <c r="AW140" s="293"/>
      <c r="AX140" s="293"/>
      <c r="AY140" s="293"/>
      <c r="AZ140" s="293"/>
      <c r="BA140" s="293"/>
      <c r="BB140" s="293"/>
      <c r="BC140" s="293"/>
      <c r="BD140" s="293"/>
      <c r="BE140" s="293"/>
      <c r="BF140" s="293"/>
      <c r="BG140" s="293"/>
      <c r="BH140" s="293"/>
      <c r="BI140" s="293"/>
      <c r="BJ140" s="293"/>
      <c r="BK140" s="293"/>
      <c r="BL140" s="293"/>
      <c r="BM140" s="293"/>
      <c r="BN140" s="293"/>
      <c r="BO140" s="293"/>
      <c r="BP140" s="293"/>
      <c r="BQ140" s="293"/>
      <c r="BR140" s="293"/>
      <c r="BS140" s="293"/>
      <c r="BT140" s="293"/>
      <c r="BU140" s="293"/>
      <c r="BV140" s="293"/>
      <c r="BW140" s="293"/>
      <c r="BX140" s="293"/>
      <c r="BY140" s="293"/>
      <c r="BZ140" s="293"/>
      <c r="CA140" s="293"/>
      <c r="CB140" s="293"/>
      <c r="CC140" s="293"/>
      <c r="CD140" s="293"/>
      <c r="CE140" s="293"/>
      <c r="CF140" s="293"/>
      <c r="CG140" s="293"/>
      <c r="CH140" s="293"/>
      <c r="CI140" s="293"/>
      <c r="CJ140" s="293"/>
      <c r="CK140" s="293"/>
      <c r="CL140" s="293"/>
      <c r="CM140" s="293"/>
      <c r="CN140" s="293"/>
      <c r="CO140" s="293"/>
      <c r="CP140" s="293"/>
      <c r="CQ140" s="293"/>
      <c r="CR140" s="293"/>
      <c r="CS140" s="293"/>
      <c r="CT140" s="293"/>
      <c r="CU140" s="293"/>
      <c r="CV140" s="293"/>
      <c r="CW140" s="293"/>
      <c r="CX140" s="293"/>
      <c r="CY140" s="293"/>
      <c r="CZ140" s="293"/>
      <c r="DA140" s="293"/>
      <c r="DB140" s="293"/>
      <c r="DC140" s="293"/>
      <c r="DD140" s="293"/>
      <c r="DE140" s="293"/>
      <c r="DF140" s="293"/>
      <c r="DG140" s="293"/>
      <c r="DH140" s="293"/>
      <c r="DI140" s="293"/>
      <c r="DJ140" s="293"/>
      <c r="DK140" s="293"/>
      <c r="DL140" s="293"/>
      <c r="DM140" s="293"/>
      <c r="DN140" s="293"/>
      <c r="DO140" s="293"/>
      <c r="DP140" s="293"/>
      <c r="DQ140" s="293"/>
      <c r="DR140" s="293"/>
      <c r="DS140" s="288"/>
      <c r="DT140" s="288"/>
      <c r="DU140" s="288"/>
      <c r="DV140" s="288"/>
      <c r="DW140" s="288"/>
      <c r="DX140" s="288"/>
      <c r="DY140" s="288"/>
      <c r="DZ140" s="288"/>
      <c r="EA140" s="288"/>
      <c r="EB140" s="288"/>
      <c r="EC140" s="288"/>
      <c r="ED140" s="288"/>
      <c r="EE140" s="288"/>
      <c r="EF140" s="288"/>
      <c r="EG140" s="288"/>
      <c r="EH140" s="288"/>
      <c r="EI140" s="288"/>
      <c r="EJ140" s="288"/>
      <c r="EK140" s="288"/>
      <c r="EL140" s="288"/>
      <c r="EM140" s="288"/>
      <c r="EN140" s="288"/>
      <c r="EO140" s="288"/>
      <c r="EP140" s="288"/>
      <c r="EQ140" s="288"/>
      <c r="ER140" s="288"/>
      <c r="ES140" s="288"/>
      <c r="ET140" s="288"/>
      <c r="EU140" s="288"/>
      <c r="EV140" s="288"/>
      <c r="EW140" s="288"/>
      <c r="EX140" s="288"/>
      <c r="EY140" s="288"/>
      <c r="EZ140" s="288"/>
      <c r="FA140" s="288"/>
      <c r="FB140" s="288"/>
      <c r="FC140" s="288"/>
      <c r="FD140" s="288"/>
      <c r="FE140" s="288"/>
      <c r="FF140" s="288"/>
      <c r="FG140" s="288"/>
      <c r="FH140" s="288"/>
    </row>
    <row r="141" ht="14.25" customHeight="1">
      <c r="A141" s="293"/>
      <c r="B141" s="293"/>
      <c r="C141" s="293"/>
      <c r="D141" s="293"/>
      <c r="E141" s="293"/>
      <c r="F141" s="293"/>
      <c r="G141" s="293"/>
      <c r="H141" s="293"/>
      <c r="I141" s="293"/>
      <c r="J141" s="293"/>
      <c r="K141" s="293"/>
      <c r="L141" s="293"/>
      <c r="M141" s="293"/>
      <c r="N141" s="293"/>
      <c r="O141" s="293"/>
      <c r="P141" s="293"/>
      <c r="Q141" s="293"/>
      <c r="R141" s="293"/>
      <c r="S141" s="293"/>
      <c r="T141" s="293"/>
      <c r="U141" s="293"/>
      <c r="V141" s="293"/>
      <c r="W141" s="293"/>
      <c r="X141" s="293"/>
      <c r="Y141" s="293"/>
      <c r="Z141" s="293"/>
      <c r="AA141" s="293"/>
      <c r="AB141" s="293"/>
      <c r="AC141" s="293"/>
      <c r="AD141" s="293"/>
      <c r="AE141" s="293"/>
      <c r="AF141" s="293"/>
      <c r="AG141" s="293"/>
      <c r="AH141" s="293"/>
      <c r="AI141" s="293"/>
      <c r="AJ141" s="293"/>
      <c r="AK141" s="293"/>
      <c r="AL141" s="293"/>
      <c r="AM141" s="293"/>
      <c r="AN141" s="293"/>
      <c r="AO141" s="293"/>
      <c r="AP141" s="293"/>
      <c r="AQ141" s="293"/>
      <c r="AR141" s="293"/>
      <c r="AS141" s="293"/>
      <c r="AT141" s="293"/>
      <c r="AU141" s="293"/>
      <c r="AV141" s="293"/>
      <c r="AW141" s="293"/>
      <c r="AX141" s="293"/>
      <c r="AY141" s="293"/>
      <c r="AZ141" s="293"/>
      <c r="BA141" s="293"/>
      <c r="BB141" s="293"/>
      <c r="BC141" s="293"/>
      <c r="BD141" s="293"/>
      <c r="BE141" s="293"/>
      <c r="BF141" s="293"/>
      <c r="BG141" s="293"/>
      <c r="BH141" s="293"/>
      <c r="BI141" s="293"/>
      <c r="BJ141" s="293"/>
      <c r="BK141" s="293"/>
      <c r="BL141" s="293"/>
      <c r="BM141" s="293"/>
      <c r="BN141" s="293"/>
      <c r="BO141" s="293"/>
      <c r="BP141" s="293"/>
      <c r="BQ141" s="293"/>
      <c r="BR141" s="293"/>
      <c r="BS141" s="293"/>
      <c r="BT141" s="293"/>
      <c r="BU141" s="293"/>
      <c r="BV141" s="293"/>
      <c r="BW141" s="293"/>
      <c r="BX141" s="293"/>
      <c r="BY141" s="293"/>
      <c r="BZ141" s="293"/>
      <c r="CA141" s="293"/>
      <c r="CB141" s="293"/>
      <c r="CC141" s="293"/>
      <c r="CD141" s="293"/>
      <c r="CE141" s="293"/>
      <c r="CF141" s="293"/>
      <c r="CG141" s="293"/>
      <c r="CH141" s="293"/>
      <c r="CI141" s="293"/>
      <c r="CJ141" s="293"/>
      <c r="CK141" s="293"/>
      <c r="CL141" s="293"/>
      <c r="CM141" s="293"/>
      <c r="CN141" s="293"/>
      <c r="CO141" s="293"/>
      <c r="CP141" s="293"/>
      <c r="CQ141" s="293"/>
      <c r="CR141" s="293"/>
      <c r="CS141" s="293"/>
      <c r="CT141" s="293"/>
      <c r="CU141" s="293"/>
      <c r="CV141" s="293"/>
      <c r="CW141" s="293"/>
      <c r="CX141" s="293"/>
      <c r="CY141" s="293"/>
      <c r="CZ141" s="293"/>
      <c r="DA141" s="293"/>
      <c r="DB141" s="293"/>
      <c r="DC141" s="293"/>
      <c r="DD141" s="293"/>
      <c r="DE141" s="293"/>
      <c r="DF141" s="293"/>
      <c r="DG141" s="293"/>
      <c r="DH141" s="293"/>
      <c r="DI141" s="293"/>
      <c r="DJ141" s="293"/>
      <c r="DK141" s="293"/>
      <c r="DL141" s="293"/>
      <c r="DM141" s="293"/>
      <c r="DN141" s="293"/>
      <c r="DO141" s="293"/>
      <c r="DP141" s="293"/>
      <c r="DQ141" s="293"/>
      <c r="DR141" s="293"/>
      <c r="DS141" s="288"/>
      <c r="DT141" s="288"/>
      <c r="DU141" s="288"/>
      <c r="DV141" s="288"/>
      <c r="DW141" s="288"/>
      <c r="DX141" s="288"/>
      <c r="DY141" s="288"/>
      <c r="DZ141" s="288"/>
      <c r="EA141" s="288"/>
      <c r="EB141" s="288"/>
      <c r="EC141" s="288"/>
      <c r="ED141" s="288"/>
      <c r="EE141" s="288"/>
      <c r="EF141" s="288"/>
      <c r="EG141" s="288"/>
      <c r="EH141" s="288"/>
      <c r="EI141" s="288"/>
      <c r="EJ141" s="288"/>
      <c r="EK141" s="288"/>
      <c r="EL141" s="288"/>
      <c r="EM141" s="288"/>
      <c r="EN141" s="288"/>
      <c r="EO141" s="288"/>
      <c r="EP141" s="288"/>
      <c r="EQ141" s="288"/>
      <c r="ER141" s="288"/>
      <c r="ES141" s="288"/>
      <c r="ET141" s="288"/>
      <c r="EU141" s="288"/>
      <c r="EV141" s="288"/>
      <c r="EW141" s="288"/>
      <c r="EX141" s="288"/>
      <c r="EY141" s="288"/>
      <c r="EZ141" s="288"/>
      <c r="FA141" s="288"/>
      <c r="FB141" s="288"/>
      <c r="FC141" s="288"/>
      <c r="FD141" s="288"/>
      <c r="FE141" s="288"/>
      <c r="FF141" s="288"/>
      <c r="FG141" s="288"/>
      <c r="FH141" s="288"/>
    </row>
    <row r="142" ht="14.25" customHeight="1">
      <c r="A142" s="293"/>
      <c r="B142" s="293"/>
      <c r="C142" s="293"/>
      <c r="D142" s="293"/>
      <c r="E142" s="293"/>
      <c r="F142" s="293"/>
      <c r="G142" s="293"/>
      <c r="H142" s="293"/>
      <c r="I142" s="293"/>
      <c r="J142" s="293"/>
      <c r="K142" s="293"/>
      <c r="L142" s="293"/>
      <c r="M142" s="293"/>
      <c r="N142" s="293"/>
      <c r="O142" s="293"/>
      <c r="P142" s="293"/>
      <c r="Q142" s="293"/>
      <c r="R142" s="293"/>
      <c r="S142" s="293"/>
      <c r="T142" s="293"/>
      <c r="U142" s="293"/>
      <c r="V142" s="293"/>
      <c r="W142" s="293"/>
      <c r="X142" s="293"/>
      <c r="Y142" s="293"/>
      <c r="Z142" s="293"/>
      <c r="AA142" s="293"/>
      <c r="AB142" s="293"/>
      <c r="AC142" s="293"/>
      <c r="AD142" s="293"/>
      <c r="AE142" s="293"/>
      <c r="AF142" s="293"/>
      <c r="AG142" s="293"/>
      <c r="AH142" s="293"/>
      <c r="AI142" s="293"/>
      <c r="AJ142" s="293"/>
      <c r="AK142" s="293"/>
      <c r="AL142" s="293"/>
      <c r="AM142" s="293"/>
      <c r="AN142" s="293"/>
      <c r="AO142" s="293"/>
      <c r="AP142" s="293"/>
      <c r="AQ142" s="293"/>
      <c r="AR142" s="293"/>
      <c r="AS142" s="293"/>
      <c r="AT142" s="293"/>
      <c r="AU142" s="293"/>
      <c r="AV142" s="293"/>
      <c r="AW142" s="293"/>
      <c r="AX142" s="293"/>
      <c r="AY142" s="293"/>
      <c r="AZ142" s="293"/>
      <c r="BA142" s="293"/>
      <c r="BB142" s="293"/>
      <c r="BC142" s="293"/>
      <c r="BD142" s="293"/>
      <c r="BE142" s="293"/>
      <c r="BF142" s="293"/>
      <c r="BG142" s="293"/>
      <c r="BH142" s="293"/>
      <c r="BI142" s="293"/>
      <c r="BJ142" s="293"/>
      <c r="BK142" s="293"/>
      <c r="BL142" s="293"/>
      <c r="BM142" s="293"/>
      <c r="BN142" s="293"/>
      <c r="BO142" s="293"/>
      <c r="BP142" s="293"/>
      <c r="BQ142" s="293"/>
      <c r="BR142" s="293"/>
      <c r="BS142" s="293"/>
      <c r="BT142" s="293"/>
      <c r="BU142" s="293"/>
      <c r="BV142" s="293"/>
      <c r="BW142" s="293"/>
      <c r="BX142" s="293"/>
      <c r="BY142" s="293"/>
      <c r="BZ142" s="293"/>
      <c r="CA142" s="293"/>
      <c r="CB142" s="293"/>
      <c r="CC142" s="293"/>
      <c r="CD142" s="293"/>
      <c r="CE142" s="293"/>
      <c r="CF142" s="293"/>
      <c r="CG142" s="293"/>
      <c r="CH142" s="293"/>
      <c r="CI142" s="293"/>
      <c r="CJ142" s="293"/>
      <c r="CK142" s="293"/>
      <c r="CL142" s="293"/>
      <c r="CM142" s="293"/>
      <c r="CN142" s="293"/>
      <c r="CO142" s="293"/>
      <c r="CP142" s="293"/>
      <c r="CQ142" s="293"/>
      <c r="CR142" s="293"/>
      <c r="CS142" s="293"/>
      <c r="CT142" s="293"/>
      <c r="CU142" s="293"/>
      <c r="CV142" s="293"/>
      <c r="CW142" s="293"/>
      <c r="CX142" s="293"/>
      <c r="CY142" s="293"/>
      <c r="CZ142" s="293"/>
      <c r="DA142" s="293"/>
      <c r="DB142" s="293"/>
      <c r="DC142" s="293"/>
      <c r="DD142" s="293"/>
      <c r="DE142" s="293"/>
      <c r="DF142" s="293"/>
      <c r="DG142" s="293"/>
      <c r="DH142" s="293"/>
      <c r="DI142" s="293"/>
      <c r="DJ142" s="293"/>
      <c r="DK142" s="293"/>
      <c r="DL142" s="293"/>
      <c r="DM142" s="293"/>
      <c r="DN142" s="293"/>
      <c r="DO142" s="293"/>
      <c r="DP142" s="293"/>
      <c r="DQ142" s="293"/>
      <c r="DR142" s="293"/>
      <c r="DS142" s="288"/>
      <c r="DT142" s="288"/>
      <c r="DU142" s="288"/>
      <c r="DV142" s="288"/>
      <c r="DW142" s="288"/>
      <c r="DX142" s="288"/>
      <c r="DY142" s="288"/>
      <c r="DZ142" s="288"/>
      <c r="EA142" s="288"/>
      <c r="EB142" s="288"/>
      <c r="EC142" s="288"/>
      <c r="ED142" s="288"/>
      <c r="EE142" s="288"/>
      <c r="EF142" s="288"/>
      <c r="EG142" s="288"/>
      <c r="EH142" s="288"/>
      <c r="EI142" s="288"/>
      <c r="EJ142" s="288"/>
      <c r="EK142" s="288"/>
      <c r="EL142" s="288"/>
      <c r="EM142" s="288"/>
      <c r="EN142" s="288"/>
      <c r="EO142" s="288"/>
      <c r="EP142" s="288"/>
      <c r="EQ142" s="288"/>
      <c r="ER142" s="288"/>
      <c r="ES142" s="288"/>
      <c r="ET142" s="288"/>
      <c r="EU142" s="288"/>
      <c r="EV142" s="288"/>
      <c r="EW142" s="288"/>
      <c r="EX142" s="288"/>
      <c r="EY142" s="288"/>
      <c r="EZ142" s="288"/>
      <c r="FA142" s="288"/>
      <c r="FB142" s="288"/>
      <c r="FC142" s="288"/>
      <c r="FD142" s="288"/>
      <c r="FE142" s="288"/>
      <c r="FF142" s="288"/>
      <c r="FG142" s="288"/>
      <c r="FH142" s="288"/>
    </row>
    <row r="143" ht="14.25" customHeight="1">
      <c r="A143" s="293"/>
      <c r="B143" s="293"/>
      <c r="C143" s="293"/>
      <c r="D143" s="293"/>
      <c r="E143" s="293"/>
      <c r="F143" s="293"/>
      <c r="G143" s="293"/>
      <c r="H143" s="293"/>
      <c r="I143" s="293"/>
      <c r="J143" s="293"/>
      <c r="K143" s="293"/>
      <c r="L143" s="293"/>
      <c r="M143" s="293"/>
      <c r="N143" s="293"/>
      <c r="O143" s="293"/>
      <c r="P143" s="293"/>
      <c r="Q143" s="293"/>
      <c r="R143" s="293"/>
      <c r="S143" s="293"/>
      <c r="T143" s="293"/>
      <c r="U143" s="293"/>
      <c r="V143" s="293"/>
      <c r="W143" s="293"/>
      <c r="X143" s="293"/>
      <c r="Y143" s="293"/>
      <c r="Z143" s="293"/>
      <c r="AA143" s="293"/>
      <c r="AB143" s="293"/>
      <c r="AC143" s="293"/>
      <c r="AD143" s="293"/>
      <c r="AE143" s="293"/>
      <c r="AF143" s="293"/>
      <c r="AG143" s="293"/>
      <c r="AH143" s="293"/>
      <c r="AI143" s="293"/>
      <c r="AJ143" s="293"/>
      <c r="AK143" s="293"/>
      <c r="AL143" s="293"/>
      <c r="AM143" s="293"/>
      <c r="AN143" s="293"/>
      <c r="AO143" s="293"/>
      <c r="AP143" s="293"/>
      <c r="AQ143" s="293"/>
      <c r="AR143" s="293"/>
      <c r="AS143" s="293"/>
      <c r="AT143" s="293"/>
      <c r="AU143" s="293"/>
      <c r="AV143" s="293"/>
      <c r="AW143" s="293"/>
      <c r="AX143" s="293"/>
      <c r="AY143" s="293"/>
      <c r="AZ143" s="293"/>
      <c r="BA143" s="293"/>
      <c r="BB143" s="293"/>
      <c r="BC143" s="293"/>
      <c r="BD143" s="293"/>
      <c r="BE143" s="293"/>
      <c r="BF143" s="293"/>
      <c r="BG143" s="293"/>
      <c r="BH143" s="293"/>
      <c r="BI143" s="293"/>
      <c r="BJ143" s="293"/>
      <c r="BK143" s="293"/>
      <c r="BL143" s="293"/>
      <c r="BM143" s="293"/>
      <c r="BN143" s="293"/>
      <c r="BO143" s="293"/>
      <c r="BP143" s="293"/>
      <c r="BQ143" s="293"/>
      <c r="BR143" s="293"/>
      <c r="BS143" s="293"/>
      <c r="BT143" s="293"/>
      <c r="BU143" s="293"/>
      <c r="BV143" s="293"/>
      <c r="BW143" s="293"/>
      <c r="BX143" s="293"/>
      <c r="BY143" s="293"/>
      <c r="BZ143" s="293"/>
      <c r="CA143" s="293"/>
      <c r="CB143" s="293"/>
      <c r="CC143" s="293"/>
      <c r="CD143" s="293"/>
      <c r="CE143" s="293"/>
      <c r="CF143" s="293"/>
      <c r="CG143" s="293"/>
      <c r="CH143" s="293"/>
      <c r="CI143" s="293"/>
      <c r="CJ143" s="293"/>
      <c r="CK143" s="293"/>
      <c r="CL143" s="293"/>
      <c r="CM143" s="293"/>
      <c r="CN143" s="293"/>
      <c r="CO143" s="293"/>
      <c r="CP143" s="293"/>
      <c r="CQ143" s="293"/>
      <c r="CR143" s="293"/>
      <c r="CS143" s="293"/>
      <c r="CT143" s="293"/>
      <c r="CU143" s="293"/>
      <c r="CV143" s="293"/>
      <c r="CW143" s="293"/>
      <c r="CX143" s="293"/>
      <c r="CY143" s="293"/>
      <c r="CZ143" s="293"/>
      <c r="DA143" s="293"/>
      <c r="DB143" s="293"/>
      <c r="DC143" s="293"/>
      <c r="DD143" s="293"/>
      <c r="DE143" s="293"/>
      <c r="DF143" s="293"/>
      <c r="DG143" s="293"/>
      <c r="DH143" s="293"/>
      <c r="DI143" s="293"/>
      <c r="DJ143" s="293"/>
      <c r="DK143" s="293"/>
      <c r="DL143" s="293"/>
      <c r="DM143" s="293"/>
      <c r="DN143" s="293"/>
      <c r="DO143" s="293"/>
      <c r="DP143" s="293"/>
      <c r="DQ143" s="293"/>
      <c r="DR143" s="293"/>
      <c r="DS143" s="288"/>
      <c r="DT143" s="288"/>
      <c r="DU143" s="288"/>
      <c r="DV143" s="288"/>
      <c r="DW143" s="288"/>
      <c r="DX143" s="288"/>
      <c r="DY143" s="288"/>
      <c r="DZ143" s="288"/>
      <c r="EA143" s="288"/>
      <c r="EB143" s="288"/>
      <c r="EC143" s="288"/>
      <c r="ED143" s="288"/>
      <c r="EE143" s="288"/>
      <c r="EF143" s="288"/>
      <c r="EG143" s="288"/>
      <c r="EH143" s="288"/>
      <c r="EI143" s="288"/>
      <c r="EJ143" s="288"/>
      <c r="EK143" s="288"/>
      <c r="EL143" s="288"/>
      <c r="EM143" s="288"/>
      <c r="EN143" s="288"/>
      <c r="EO143" s="288"/>
      <c r="EP143" s="288"/>
      <c r="EQ143" s="288"/>
      <c r="ER143" s="288"/>
      <c r="ES143" s="288"/>
      <c r="ET143" s="288"/>
      <c r="EU143" s="288"/>
      <c r="EV143" s="288"/>
      <c r="EW143" s="288"/>
      <c r="EX143" s="288"/>
      <c r="EY143" s="288"/>
      <c r="EZ143" s="288"/>
      <c r="FA143" s="288"/>
      <c r="FB143" s="288"/>
      <c r="FC143" s="288"/>
      <c r="FD143" s="288"/>
      <c r="FE143" s="288"/>
      <c r="FF143" s="288"/>
      <c r="FG143" s="288"/>
      <c r="FH143" s="288"/>
    </row>
    <row r="144" ht="14.25" customHeight="1">
      <c r="A144" s="293"/>
      <c r="B144" s="293"/>
      <c r="C144" s="293"/>
      <c r="D144" s="293"/>
      <c r="E144" s="293"/>
      <c r="F144" s="293"/>
      <c r="G144" s="293"/>
      <c r="H144" s="293"/>
      <c r="I144" s="293"/>
      <c r="J144" s="293"/>
      <c r="K144" s="293"/>
      <c r="L144" s="293"/>
      <c r="M144" s="293"/>
      <c r="N144" s="293"/>
      <c r="O144" s="293"/>
      <c r="P144" s="293"/>
      <c r="Q144" s="293"/>
      <c r="R144" s="293"/>
      <c r="S144" s="293"/>
      <c r="T144" s="293"/>
      <c r="U144" s="293"/>
      <c r="V144" s="293"/>
      <c r="W144" s="293"/>
      <c r="X144" s="293"/>
      <c r="Y144" s="293"/>
      <c r="Z144" s="293"/>
      <c r="AA144" s="293"/>
      <c r="AB144" s="293"/>
      <c r="AC144" s="293"/>
      <c r="AD144" s="293"/>
      <c r="AE144" s="293"/>
      <c r="AF144" s="293"/>
      <c r="AG144" s="293"/>
      <c r="AH144" s="293"/>
      <c r="AI144" s="293"/>
      <c r="AJ144" s="293"/>
      <c r="AK144" s="293"/>
      <c r="AL144" s="293"/>
      <c r="AM144" s="293"/>
      <c r="AN144" s="293"/>
      <c r="AO144" s="293"/>
      <c r="AP144" s="293"/>
      <c r="AQ144" s="293"/>
      <c r="AR144" s="293"/>
      <c r="AS144" s="293"/>
      <c r="AT144" s="293"/>
      <c r="AU144" s="293"/>
      <c r="AV144" s="293"/>
      <c r="AW144" s="293"/>
      <c r="AX144" s="293"/>
      <c r="AY144" s="293"/>
      <c r="AZ144" s="293"/>
      <c r="BA144" s="293"/>
      <c r="BB144" s="293"/>
      <c r="BC144" s="293"/>
      <c r="BD144" s="293"/>
      <c r="BE144" s="293"/>
      <c r="BF144" s="293"/>
      <c r="BG144" s="293"/>
      <c r="BH144" s="293"/>
      <c r="BI144" s="293"/>
      <c r="BJ144" s="293"/>
      <c r="BK144" s="293"/>
      <c r="BL144" s="293"/>
      <c r="BM144" s="293"/>
      <c r="BN144" s="293"/>
      <c r="BO144" s="293"/>
      <c r="BP144" s="293"/>
      <c r="BQ144" s="293"/>
      <c r="BR144" s="293"/>
      <c r="BS144" s="293"/>
      <c r="BT144" s="293"/>
      <c r="BU144" s="293"/>
      <c r="BV144" s="293"/>
      <c r="BW144" s="293"/>
      <c r="BX144" s="293"/>
      <c r="BY144" s="293"/>
      <c r="BZ144" s="293"/>
      <c r="CA144" s="293"/>
      <c r="CB144" s="293"/>
      <c r="CC144" s="293"/>
      <c r="CD144" s="293"/>
      <c r="CE144" s="293"/>
      <c r="CF144" s="293"/>
      <c r="CG144" s="293"/>
      <c r="CH144" s="293"/>
      <c r="CI144" s="293"/>
      <c r="CJ144" s="293"/>
      <c r="CK144" s="293"/>
      <c r="CL144" s="293"/>
      <c r="CM144" s="293"/>
      <c r="CN144" s="293"/>
      <c r="CO144" s="293"/>
      <c r="CP144" s="293"/>
      <c r="CQ144" s="293"/>
      <c r="CR144" s="293"/>
      <c r="CS144" s="293"/>
      <c r="CT144" s="293"/>
      <c r="CU144" s="293"/>
      <c r="CV144" s="293"/>
      <c r="CW144" s="293"/>
      <c r="CX144" s="293"/>
      <c r="CY144" s="293"/>
      <c r="CZ144" s="293"/>
      <c r="DA144" s="293"/>
      <c r="DB144" s="293"/>
      <c r="DC144" s="293"/>
      <c r="DD144" s="293"/>
      <c r="DE144" s="293"/>
      <c r="DF144" s="293"/>
      <c r="DG144" s="293"/>
      <c r="DH144" s="293"/>
      <c r="DI144" s="293"/>
      <c r="DJ144" s="293"/>
      <c r="DK144" s="293"/>
      <c r="DL144" s="293"/>
      <c r="DM144" s="293"/>
      <c r="DN144" s="293"/>
      <c r="DO144" s="293"/>
      <c r="DP144" s="293"/>
      <c r="DQ144" s="293"/>
      <c r="DR144" s="293"/>
      <c r="DS144" s="288"/>
      <c r="DT144" s="288"/>
      <c r="DU144" s="288"/>
      <c r="DV144" s="288"/>
      <c r="DW144" s="288"/>
      <c r="DX144" s="288"/>
      <c r="DY144" s="288"/>
      <c r="DZ144" s="288"/>
      <c r="EA144" s="288"/>
      <c r="EB144" s="288"/>
      <c r="EC144" s="288"/>
      <c r="ED144" s="288"/>
      <c r="EE144" s="288"/>
      <c r="EF144" s="288"/>
      <c r="EG144" s="288"/>
      <c r="EH144" s="288"/>
      <c r="EI144" s="288"/>
      <c r="EJ144" s="288"/>
      <c r="EK144" s="288"/>
      <c r="EL144" s="288"/>
      <c r="EM144" s="288"/>
      <c r="EN144" s="288"/>
      <c r="EO144" s="288"/>
      <c r="EP144" s="288"/>
      <c r="EQ144" s="288"/>
      <c r="ER144" s="288"/>
      <c r="ES144" s="288"/>
      <c r="ET144" s="288"/>
      <c r="EU144" s="288"/>
      <c r="EV144" s="288"/>
      <c r="EW144" s="288"/>
      <c r="EX144" s="288"/>
      <c r="EY144" s="288"/>
      <c r="EZ144" s="288"/>
      <c r="FA144" s="288"/>
      <c r="FB144" s="288"/>
      <c r="FC144" s="288"/>
      <c r="FD144" s="288"/>
      <c r="FE144" s="288"/>
      <c r="FF144" s="288"/>
      <c r="FG144" s="288"/>
      <c r="FH144" s="288"/>
    </row>
    <row r="145" ht="14.25" customHeight="1">
      <c r="A145" s="293"/>
      <c r="B145" s="293"/>
      <c r="C145" s="293"/>
      <c r="D145" s="293"/>
      <c r="E145" s="293"/>
      <c r="F145" s="293"/>
      <c r="G145" s="293"/>
      <c r="H145" s="293"/>
      <c r="I145" s="293"/>
      <c r="J145" s="293"/>
      <c r="K145" s="293"/>
      <c r="L145" s="293"/>
      <c r="M145" s="293"/>
      <c r="N145" s="293"/>
      <c r="O145" s="293"/>
      <c r="P145" s="293"/>
      <c r="Q145" s="293"/>
      <c r="R145" s="293"/>
      <c r="S145" s="293"/>
      <c r="T145" s="293"/>
      <c r="U145" s="293"/>
      <c r="V145" s="293"/>
      <c r="W145" s="293"/>
      <c r="X145" s="293"/>
      <c r="Y145" s="293"/>
      <c r="Z145" s="293"/>
      <c r="AA145" s="293"/>
      <c r="AB145" s="293"/>
      <c r="AC145" s="293"/>
      <c r="AD145" s="293"/>
      <c r="AE145" s="293"/>
      <c r="AF145" s="293"/>
      <c r="AG145" s="293"/>
      <c r="AH145" s="293"/>
      <c r="AI145" s="293"/>
      <c r="AJ145" s="293"/>
      <c r="AK145" s="293"/>
      <c r="AL145" s="293"/>
      <c r="AM145" s="293"/>
      <c r="AN145" s="293"/>
      <c r="AO145" s="293"/>
      <c r="AP145" s="293"/>
      <c r="AQ145" s="293"/>
      <c r="AR145" s="293"/>
      <c r="AS145" s="293"/>
      <c r="AT145" s="293"/>
      <c r="AU145" s="293"/>
      <c r="AV145" s="293"/>
      <c r="AW145" s="293"/>
      <c r="AX145" s="293"/>
      <c r="AY145" s="293"/>
      <c r="AZ145" s="293"/>
      <c r="BA145" s="293"/>
      <c r="BB145" s="293"/>
      <c r="BC145" s="293"/>
      <c r="BD145" s="293"/>
      <c r="BE145" s="293"/>
      <c r="BF145" s="293"/>
      <c r="BG145" s="293"/>
      <c r="BH145" s="293"/>
      <c r="BI145" s="293"/>
      <c r="BJ145" s="293"/>
      <c r="BK145" s="293"/>
      <c r="BL145" s="293"/>
      <c r="BM145" s="293"/>
      <c r="BN145" s="293"/>
      <c r="BO145" s="293"/>
      <c r="BP145" s="293"/>
      <c r="BQ145" s="293"/>
      <c r="BR145" s="293"/>
      <c r="BS145" s="293"/>
      <c r="BT145" s="293"/>
      <c r="BU145" s="293"/>
      <c r="BV145" s="293"/>
      <c r="BW145" s="293"/>
      <c r="BX145" s="293"/>
      <c r="BY145" s="293"/>
      <c r="BZ145" s="293"/>
      <c r="CA145" s="293"/>
      <c r="CB145" s="293"/>
      <c r="CC145" s="293"/>
      <c r="CD145" s="293"/>
      <c r="CE145" s="293"/>
      <c r="CF145" s="293"/>
      <c r="CG145" s="293"/>
      <c r="CH145" s="293"/>
      <c r="CI145" s="293"/>
      <c r="CJ145" s="293"/>
      <c r="CK145" s="293"/>
      <c r="CL145" s="293"/>
      <c r="CM145" s="293"/>
      <c r="CN145" s="293"/>
      <c r="CO145" s="293"/>
      <c r="CP145" s="293"/>
      <c r="CQ145" s="293"/>
      <c r="CR145" s="293"/>
      <c r="CS145" s="293"/>
      <c r="CT145" s="293"/>
      <c r="CU145" s="293"/>
      <c r="CV145" s="293"/>
      <c r="CW145" s="293"/>
      <c r="CX145" s="293"/>
      <c r="CY145" s="293"/>
      <c r="CZ145" s="293"/>
      <c r="DA145" s="293"/>
      <c r="DB145" s="293"/>
      <c r="DC145" s="293"/>
      <c r="DD145" s="293"/>
      <c r="DE145" s="293"/>
      <c r="DF145" s="293"/>
      <c r="DG145" s="293"/>
      <c r="DH145" s="293"/>
      <c r="DI145" s="293"/>
      <c r="DJ145" s="293"/>
      <c r="DK145" s="293"/>
      <c r="DL145" s="293"/>
      <c r="DM145" s="293"/>
      <c r="DN145" s="293"/>
      <c r="DO145" s="293"/>
      <c r="DP145" s="293"/>
      <c r="DQ145" s="293"/>
      <c r="DR145" s="293"/>
      <c r="DS145" s="288"/>
      <c r="DT145" s="288"/>
      <c r="DU145" s="288"/>
      <c r="DV145" s="288"/>
      <c r="DW145" s="288"/>
      <c r="DX145" s="288"/>
      <c r="DY145" s="288"/>
      <c r="DZ145" s="288"/>
      <c r="EA145" s="288"/>
      <c r="EB145" s="288"/>
      <c r="EC145" s="288"/>
      <c r="ED145" s="288"/>
      <c r="EE145" s="288"/>
      <c r="EF145" s="288"/>
      <c r="EG145" s="288"/>
      <c r="EH145" s="288"/>
      <c r="EI145" s="288"/>
      <c r="EJ145" s="288"/>
      <c r="EK145" s="288"/>
      <c r="EL145" s="288"/>
      <c r="EM145" s="288"/>
      <c r="EN145" s="288"/>
      <c r="EO145" s="288"/>
      <c r="EP145" s="288"/>
      <c r="EQ145" s="288"/>
      <c r="ER145" s="288"/>
      <c r="ES145" s="288"/>
      <c r="ET145" s="288"/>
      <c r="EU145" s="288"/>
      <c r="EV145" s="288"/>
      <c r="EW145" s="288"/>
      <c r="EX145" s="288"/>
      <c r="EY145" s="288"/>
      <c r="EZ145" s="288"/>
      <c r="FA145" s="288"/>
      <c r="FB145" s="288"/>
      <c r="FC145" s="288"/>
      <c r="FD145" s="288"/>
      <c r="FE145" s="288"/>
      <c r="FF145" s="288"/>
      <c r="FG145" s="288"/>
      <c r="FH145" s="288"/>
    </row>
    <row r="146" ht="14.25" customHeight="1">
      <c r="A146" s="293"/>
      <c r="B146" s="293"/>
      <c r="C146" s="293"/>
      <c r="D146" s="293"/>
      <c r="E146" s="293"/>
      <c r="F146" s="293"/>
      <c r="G146" s="293"/>
      <c r="H146" s="293"/>
      <c r="I146" s="293"/>
      <c r="J146" s="293"/>
      <c r="K146" s="293"/>
      <c r="L146" s="293"/>
      <c r="M146" s="293"/>
      <c r="N146" s="293"/>
      <c r="O146" s="293"/>
      <c r="P146" s="293"/>
      <c r="Q146" s="293"/>
      <c r="R146" s="293"/>
      <c r="S146" s="293"/>
      <c r="T146" s="293"/>
      <c r="U146" s="293"/>
      <c r="V146" s="293"/>
      <c r="W146" s="293"/>
      <c r="X146" s="293"/>
      <c r="Y146" s="293"/>
      <c r="Z146" s="293"/>
      <c r="AA146" s="293"/>
      <c r="AB146" s="293"/>
      <c r="AC146" s="293"/>
      <c r="AD146" s="293"/>
      <c r="AE146" s="293"/>
      <c r="AF146" s="293"/>
      <c r="AG146" s="293"/>
      <c r="AH146" s="293"/>
      <c r="AI146" s="293"/>
      <c r="AJ146" s="293"/>
      <c r="AK146" s="293"/>
      <c r="AL146" s="293"/>
      <c r="AM146" s="293"/>
      <c r="AN146" s="293"/>
      <c r="AO146" s="293"/>
      <c r="AP146" s="293"/>
      <c r="AQ146" s="293"/>
      <c r="AR146" s="293"/>
      <c r="AS146" s="293"/>
      <c r="AT146" s="293"/>
      <c r="AU146" s="293"/>
      <c r="AV146" s="293"/>
      <c r="AW146" s="293"/>
      <c r="AX146" s="293"/>
      <c r="AY146" s="293"/>
      <c r="AZ146" s="293"/>
      <c r="BA146" s="293"/>
      <c r="BB146" s="293"/>
      <c r="BC146" s="293"/>
      <c r="BD146" s="293"/>
      <c r="BE146" s="293"/>
      <c r="BF146" s="293"/>
      <c r="BG146" s="293"/>
      <c r="BH146" s="293"/>
      <c r="BI146" s="293"/>
      <c r="BJ146" s="293"/>
      <c r="BK146" s="293"/>
      <c r="BL146" s="293"/>
      <c r="BM146" s="293"/>
      <c r="BN146" s="293"/>
      <c r="BO146" s="293"/>
      <c r="BP146" s="293"/>
      <c r="BQ146" s="293"/>
      <c r="BR146" s="293"/>
      <c r="BS146" s="293"/>
      <c r="BT146" s="293"/>
      <c r="BU146" s="293"/>
      <c r="BV146" s="293"/>
      <c r="BW146" s="293"/>
      <c r="BX146" s="293"/>
      <c r="BY146" s="293"/>
      <c r="BZ146" s="293"/>
      <c r="CA146" s="293"/>
      <c r="CB146" s="293"/>
      <c r="CC146" s="293"/>
      <c r="CD146" s="293"/>
      <c r="CE146" s="293"/>
      <c r="CF146" s="293"/>
      <c r="CG146" s="293"/>
      <c r="CH146" s="293"/>
      <c r="CI146" s="293"/>
      <c r="CJ146" s="293"/>
      <c r="CK146" s="293"/>
      <c r="CL146" s="293"/>
      <c r="CM146" s="293"/>
      <c r="CN146" s="293"/>
      <c r="CO146" s="293"/>
      <c r="CP146" s="293"/>
      <c r="CQ146" s="293"/>
      <c r="CR146" s="293"/>
      <c r="CS146" s="293"/>
      <c r="CT146" s="293"/>
      <c r="CU146" s="293"/>
      <c r="CV146" s="293"/>
      <c r="CW146" s="293"/>
      <c r="CX146" s="293"/>
      <c r="CY146" s="293"/>
      <c r="CZ146" s="293"/>
      <c r="DA146" s="293"/>
      <c r="DB146" s="293"/>
      <c r="DC146" s="293"/>
      <c r="DD146" s="293"/>
      <c r="DE146" s="293"/>
      <c r="DF146" s="293"/>
      <c r="DG146" s="293"/>
      <c r="DH146" s="293"/>
      <c r="DI146" s="293"/>
      <c r="DJ146" s="293"/>
      <c r="DK146" s="293"/>
      <c r="DL146" s="293"/>
      <c r="DM146" s="293"/>
      <c r="DN146" s="293"/>
      <c r="DO146" s="293"/>
      <c r="DP146" s="293"/>
      <c r="DQ146" s="293"/>
      <c r="DR146" s="293"/>
      <c r="DS146" s="288"/>
      <c r="DT146" s="288"/>
      <c r="DU146" s="288"/>
      <c r="DV146" s="288"/>
      <c r="DW146" s="288"/>
      <c r="DX146" s="288"/>
      <c r="DY146" s="288"/>
      <c r="DZ146" s="288"/>
      <c r="EA146" s="288"/>
      <c r="EB146" s="288"/>
      <c r="EC146" s="288"/>
      <c r="ED146" s="288"/>
      <c r="EE146" s="288"/>
      <c r="EF146" s="288"/>
      <c r="EG146" s="288"/>
      <c r="EH146" s="288"/>
      <c r="EI146" s="288"/>
      <c r="EJ146" s="288"/>
      <c r="EK146" s="288"/>
      <c r="EL146" s="288"/>
      <c r="EM146" s="288"/>
      <c r="EN146" s="288"/>
      <c r="EO146" s="288"/>
      <c r="EP146" s="288"/>
      <c r="EQ146" s="288"/>
      <c r="ER146" s="288"/>
      <c r="ES146" s="288"/>
      <c r="ET146" s="288"/>
      <c r="EU146" s="288"/>
      <c r="EV146" s="288"/>
      <c r="EW146" s="288"/>
      <c r="EX146" s="288"/>
      <c r="EY146" s="288"/>
      <c r="EZ146" s="288"/>
      <c r="FA146" s="288"/>
      <c r="FB146" s="288"/>
      <c r="FC146" s="288"/>
      <c r="FD146" s="288"/>
      <c r="FE146" s="288"/>
      <c r="FF146" s="288"/>
      <c r="FG146" s="288"/>
      <c r="FH146" s="288"/>
    </row>
    <row r="147" ht="14.25" customHeight="1">
      <c r="A147" s="293"/>
      <c r="B147" s="293"/>
      <c r="C147" s="293"/>
      <c r="D147" s="293"/>
      <c r="E147" s="293"/>
      <c r="F147" s="293"/>
      <c r="G147" s="293"/>
      <c r="H147" s="293"/>
      <c r="I147" s="293"/>
      <c r="J147" s="293"/>
      <c r="K147" s="293"/>
      <c r="L147" s="293"/>
      <c r="M147" s="293"/>
      <c r="N147" s="293"/>
      <c r="O147" s="293"/>
      <c r="P147" s="293"/>
      <c r="Q147" s="293"/>
      <c r="R147" s="293"/>
      <c r="S147" s="293"/>
      <c r="T147" s="293"/>
      <c r="U147" s="293"/>
      <c r="V147" s="293"/>
      <c r="W147" s="293"/>
      <c r="X147" s="293"/>
      <c r="Y147" s="293"/>
      <c r="Z147" s="293"/>
      <c r="AA147" s="293"/>
      <c r="AB147" s="293"/>
      <c r="AC147" s="293"/>
      <c r="AD147" s="293"/>
      <c r="AE147" s="293"/>
      <c r="AF147" s="293"/>
      <c r="AG147" s="293"/>
      <c r="AH147" s="293"/>
      <c r="AI147" s="293"/>
      <c r="AJ147" s="293"/>
      <c r="AK147" s="293"/>
      <c r="AL147" s="293"/>
      <c r="AM147" s="293"/>
      <c r="AN147" s="293"/>
      <c r="AO147" s="293"/>
      <c r="AP147" s="293"/>
      <c r="AQ147" s="293"/>
      <c r="AR147" s="293"/>
      <c r="AS147" s="293"/>
      <c r="AT147" s="293"/>
      <c r="AU147" s="293"/>
      <c r="AV147" s="293"/>
      <c r="AW147" s="293"/>
      <c r="AX147" s="293"/>
      <c r="AY147" s="293"/>
      <c r="AZ147" s="293"/>
      <c r="BA147" s="293"/>
      <c r="BB147" s="293"/>
      <c r="BC147" s="293"/>
      <c r="BD147" s="293"/>
      <c r="BE147" s="293"/>
      <c r="BF147" s="293"/>
      <c r="BG147" s="293"/>
      <c r="BH147" s="293"/>
      <c r="BI147" s="293"/>
      <c r="BJ147" s="293"/>
      <c r="BK147" s="293"/>
      <c r="BL147" s="293"/>
      <c r="BM147" s="293"/>
      <c r="BN147" s="293"/>
      <c r="BO147" s="293"/>
      <c r="BP147" s="293"/>
      <c r="BQ147" s="293"/>
      <c r="BR147" s="293"/>
      <c r="BS147" s="293"/>
      <c r="BT147" s="293"/>
      <c r="BU147" s="293"/>
      <c r="BV147" s="293"/>
      <c r="BW147" s="293"/>
      <c r="BX147" s="293"/>
      <c r="BY147" s="293"/>
      <c r="BZ147" s="293"/>
      <c r="CA147" s="293"/>
      <c r="CB147" s="293"/>
      <c r="CC147" s="293"/>
      <c r="CD147" s="293"/>
      <c r="CE147" s="293"/>
      <c r="CF147" s="293"/>
      <c r="CG147" s="293"/>
      <c r="CH147" s="293"/>
      <c r="CI147" s="293"/>
      <c r="CJ147" s="293"/>
      <c r="CK147" s="293"/>
      <c r="CL147" s="293"/>
      <c r="CM147" s="293"/>
      <c r="CN147" s="293"/>
      <c r="CO147" s="293"/>
      <c r="CP147" s="293"/>
      <c r="CQ147" s="293"/>
      <c r="CR147" s="293"/>
      <c r="CS147" s="293"/>
      <c r="CT147" s="293"/>
      <c r="CU147" s="293"/>
      <c r="CV147" s="293"/>
      <c r="CW147" s="293"/>
      <c r="CX147" s="293"/>
      <c r="CY147" s="293"/>
      <c r="CZ147" s="293"/>
      <c r="DA147" s="293"/>
      <c r="DB147" s="293"/>
      <c r="DC147" s="293"/>
      <c r="DD147" s="293"/>
      <c r="DE147" s="293"/>
      <c r="DF147" s="293"/>
      <c r="DG147" s="293"/>
      <c r="DH147" s="293"/>
      <c r="DI147" s="293"/>
      <c r="DJ147" s="293"/>
      <c r="DK147" s="293"/>
      <c r="DL147" s="293"/>
      <c r="DM147" s="293"/>
      <c r="DN147" s="293"/>
      <c r="DO147" s="293"/>
      <c r="DP147" s="293"/>
      <c r="DQ147" s="293"/>
      <c r="DR147" s="293"/>
      <c r="DS147" s="288"/>
      <c r="DT147" s="288"/>
      <c r="DU147" s="288"/>
      <c r="DV147" s="288"/>
      <c r="DW147" s="288"/>
      <c r="DX147" s="288"/>
      <c r="DY147" s="288"/>
      <c r="DZ147" s="288"/>
      <c r="EA147" s="288"/>
      <c r="EB147" s="288"/>
      <c r="EC147" s="288"/>
      <c r="ED147" s="288"/>
      <c r="EE147" s="288"/>
      <c r="EF147" s="288"/>
      <c r="EG147" s="288"/>
      <c r="EH147" s="288"/>
      <c r="EI147" s="288"/>
      <c r="EJ147" s="288"/>
      <c r="EK147" s="288"/>
      <c r="EL147" s="288"/>
      <c r="EM147" s="288"/>
      <c r="EN147" s="288"/>
      <c r="EO147" s="288"/>
      <c r="EP147" s="288"/>
      <c r="EQ147" s="288"/>
      <c r="ER147" s="288"/>
      <c r="ES147" s="288"/>
      <c r="ET147" s="288"/>
      <c r="EU147" s="288"/>
      <c r="EV147" s="288"/>
      <c r="EW147" s="288"/>
      <c r="EX147" s="288"/>
      <c r="EY147" s="288"/>
      <c r="EZ147" s="288"/>
      <c r="FA147" s="288"/>
      <c r="FB147" s="288"/>
      <c r="FC147" s="288"/>
      <c r="FD147" s="288"/>
      <c r="FE147" s="288"/>
      <c r="FF147" s="288"/>
      <c r="FG147" s="288"/>
      <c r="FH147" s="288"/>
    </row>
    <row r="148" ht="14.25" customHeight="1">
      <c r="A148" s="293"/>
      <c r="B148" s="293"/>
      <c r="C148" s="293"/>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3"/>
      <c r="AR148" s="293"/>
      <c r="AS148" s="293"/>
      <c r="AT148" s="293"/>
      <c r="AU148" s="293"/>
      <c r="AV148" s="293"/>
      <c r="AW148" s="293"/>
      <c r="AX148" s="293"/>
      <c r="AY148" s="293"/>
      <c r="AZ148" s="293"/>
      <c r="BA148" s="293"/>
      <c r="BB148" s="293"/>
      <c r="BC148" s="293"/>
      <c r="BD148" s="293"/>
      <c r="BE148" s="293"/>
      <c r="BF148" s="293"/>
      <c r="BG148" s="293"/>
      <c r="BH148" s="293"/>
      <c r="BI148" s="293"/>
      <c r="BJ148" s="293"/>
      <c r="BK148" s="293"/>
      <c r="BL148" s="293"/>
      <c r="BM148" s="293"/>
      <c r="BN148" s="293"/>
      <c r="BO148" s="293"/>
      <c r="BP148" s="293"/>
      <c r="BQ148" s="293"/>
      <c r="BR148" s="293"/>
      <c r="BS148" s="293"/>
      <c r="BT148" s="293"/>
      <c r="BU148" s="293"/>
      <c r="BV148" s="293"/>
      <c r="BW148" s="293"/>
      <c r="BX148" s="293"/>
      <c r="BY148" s="293"/>
      <c r="BZ148" s="293"/>
      <c r="CA148" s="293"/>
      <c r="CB148" s="293"/>
      <c r="CC148" s="293"/>
      <c r="CD148" s="293"/>
      <c r="CE148" s="293"/>
      <c r="CF148" s="293"/>
      <c r="CG148" s="293"/>
      <c r="CH148" s="293"/>
      <c r="CI148" s="293"/>
      <c r="CJ148" s="293"/>
      <c r="CK148" s="293"/>
      <c r="CL148" s="293"/>
      <c r="CM148" s="293"/>
      <c r="CN148" s="293"/>
      <c r="CO148" s="293"/>
      <c r="CP148" s="293"/>
      <c r="CQ148" s="293"/>
      <c r="CR148" s="293"/>
      <c r="CS148" s="293"/>
      <c r="CT148" s="293"/>
      <c r="CU148" s="293"/>
      <c r="CV148" s="293"/>
      <c r="CW148" s="293"/>
      <c r="CX148" s="293"/>
      <c r="CY148" s="293"/>
      <c r="CZ148" s="293"/>
      <c r="DA148" s="293"/>
      <c r="DB148" s="293"/>
      <c r="DC148" s="293"/>
      <c r="DD148" s="293"/>
      <c r="DE148" s="293"/>
      <c r="DF148" s="293"/>
      <c r="DG148" s="293"/>
      <c r="DH148" s="293"/>
      <c r="DI148" s="293"/>
      <c r="DJ148" s="293"/>
      <c r="DK148" s="293"/>
      <c r="DL148" s="293"/>
      <c r="DM148" s="293"/>
      <c r="DN148" s="293"/>
      <c r="DO148" s="293"/>
      <c r="DP148" s="293"/>
      <c r="DQ148" s="293"/>
      <c r="DR148" s="293"/>
      <c r="DS148" s="288"/>
      <c r="DT148" s="288"/>
      <c r="DU148" s="288"/>
      <c r="DV148" s="288"/>
      <c r="DW148" s="288"/>
      <c r="DX148" s="288"/>
      <c r="DY148" s="288"/>
      <c r="DZ148" s="288"/>
      <c r="EA148" s="288"/>
      <c r="EB148" s="288"/>
      <c r="EC148" s="288"/>
      <c r="ED148" s="288"/>
      <c r="EE148" s="288"/>
      <c r="EF148" s="288"/>
      <c r="EG148" s="288"/>
      <c r="EH148" s="288"/>
      <c r="EI148" s="288"/>
      <c r="EJ148" s="288"/>
      <c r="EK148" s="288"/>
      <c r="EL148" s="288"/>
      <c r="EM148" s="288"/>
      <c r="EN148" s="288"/>
      <c r="EO148" s="288"/>
      <c r="EP148" s="288"/>
      <c r="EQ148" s="288"/>
      <c r="ER148" s="288"/>
      <c r="ES148" s="288"/>
      <c r="ET148" s="288"/>
      <c r="EU148" s="288"/>
      <c r="EV148" s="288"/>
      <c r="EW148" s="288"/>
      <c r="EX148" s="288"/>
      <c r="EY148" s="288"/>
      <c r="EZ148" s="288"/>
      <c r="FA148" s="288"/>
      <c r="FB148" s="288"/>
      <c r="FC148" s="288"/>
      <c r="FD148" s="288"/>
      <c r="FE148" s="288"/>
      <c r="FF148" s="288"/>
      <c r="FG148" s="288"/>
      <c r="FH148" s="288"/>
    </row>
    <row r="149" ht="14.25" customHeight="1">
      <c r="A149" s="293"/>
      <c r="B149" s="293"/>
      <c r="C149" s="293"/>
      <c r="D149" s="293"/>
      <c r="E149" s="293"/>
      <c r="F149" s="293"/>
      <c r="G149" s="293"/>
      <c r="H149" s="293"/>
      <c r="I149" s="293"/>
      <c r="J149" s="293"/>
      <c r="K149" s="293"/>
      <c r="L149" s="293"/>
      <c r="M149" s="293"/>
      <c r="N149" s="293"/>
      <c r="O149" s="293"/>
      <c r="P149" s="293"/>
      <c r="Q149" s="293"/>
      <c r="R149" s="293"/>
      <c r="S149" s="293"/>
      <c r="T149" s="293"/>
      <c r="U149" s="293"/>
      <c r="V149" s="293"/>
      <c r="W149" s="293"/>
      <c r="X149" s="293"/>
      <c r="Y149" s="293"/>
      <c r="Z149" s="293"/>
      <c r="AA149" s="293"/>
      <c r="AB149" s="293"/>
      <c r="AC149" s="293"/>
      <c r="AD149" s="293"/>
      <c r="AE149" s="293"/>
      <c r="AF149" s="293"/>
      <c r="AG149" s="293"/>
      <c r="AH149" s="293"/>
      <c r="AI149" s="293"/>
      <c r="AJ149" s="293"/>
      <c r="AK149" s="293"/>
      <c r="AL149" s="293"/>
      <c r="AM149" s="293"/>
      <c r="AN149" s="293"/>
      <c r="AO149" s="293"/>
      <c r="AP149" s="293"/>
      <c r="AQ149" s="293"/>
      <c r="AR149" s="293"/>
      <c r="AS149" s="293"/>
      <c r="AT149" s="293"/>
      <c r="AU149" s="293"/>
      <c r="AV149" s="293"/>
      <c r="AW149" s="293"/>
      <c r="AX149" s="293"/>
      <c r="AY149" s="293"/>
      <c r="AZ149" s="293"/>
      <c r="BA149" s="293"/>
      <c r="BB149" s="293"/>
      <c r="BC149" s="293"/>
      <c r="BD149" s="293"/>
      <c r="BE149" s="293"/>
      <c r="BF149" s="293"/>
      <c r="BG149" s="293"/>
      <c r="BH149" s="293"/>
      <c r="BI149" s="293"/>
      <c r="BJ149" s="293"/>
      <c r="BK149" s="293"/>
      <c r="BL149" s="293"/>
      <c r="BM149" s="293"/>
      <c r="BN149" s="293"/>
      <c r="BO149" s="293"/>
      <c r="BP149" s="293"/>
      <c r="BQ149" s="293"/>
      <c r="BR149" s="293"/>
      <c r="BS149" s="293"/>
      <c r="BT149" s="293"/>
      <c r="BU149" s="293"/>
      <c r="BV149" s="293"/>
      <c r="BW149" s="293"/>
      <c r="BX149" s="293"/>
      <c r="BY149" s="293"/>
      <c r="BZ149" s="293"/>
      <c r="CA149" s="293"/>
      <c r="CB149" s="293"/>
      <c r="CC149" s="293"/>
      <c r="CD149" s="293"/>
      <c r="CE149" s="293"/>
      <c r="CF149" s="293"/>
      <c r="CG149" s="293"/>
      <c r="CH149" s="293"/>
      <c r="CI149" s="293"/>
      <c r="CJ149" s="293"/>
      <c r="CK149" s="293"/>
      <c r="CL149" s="293"/>
      <c r="CM149" s="293"/>
      <c r="CN149" s="293"/>
      <c r="CO149" s="293"/>
      <c r="CP149" s="293"/>
      <c r="CQ149" s="293"/>
      <c r="CR149" s="293"/>
      <c r="CS149" s="293"/>
      <c r="CT149" s="293"/>
      <c r="CU149" s="293"/>
      <c r="CV149" s="293"/>
      <c r="CW149" s="293"/>
      <c r="CX149" s="293"/>
      <c r="CY149" s="293"/>
      <c r="CZ149" s="293"/>
      <c r="DA149" s="293"/>
      <c r="DB149" s="293"/>
      <c r="DC149" s="293"/>
      <c r="DD149" s="293"/>
      <c r="DE149" s="293"/>
      <c r="DF149" s="293"/>
      <c r="DG149" s="293"/>
      <c r="DH149" s="293"/>
      <c r="DI149" s="293"/>
      <c r="DJ149" s="293"/>
      <c r="DK149" s="293"/>
      <c r="DL149" s="293"/>
      <c r="DM149" s="293"/>
      <c r="DN149" s="293"/>
      <c r="DO149" s="293"/>
      <c r="DP149" s="293"/>
      <c r="DQ149" s="293"/>
      <c r="DR149" s="293"/>
      <c r="DS149" s="288"/>
      <c r="DT149" s="288"/>
      <c r="DU149" s="288"/>
      <c r="DV149" s="288"/>
      <c r="DW149" s="288"/>
      <c r="DX149" s="288"/>
      <c r="DY149" s="288"/>
      <c r="DZ149" s="288"/>
      <c r="EA149" s="288"/>
      <c r="EB149" s="288"/>
      <c r="EC149" s="288"/>
      <c r="ED149" s="288"/>
      <c r="EE149" s="288"/>
      <c r="EF149" s="288"/>
      <c r="EG149" s="288"/>
      <c r="EH149" s="288"/>
      <c r="EI149" s="288"/>
      <c r="EJ149" s="288"/>
      <c r="EK149" s="288"/>
      <c r="EL149" s="288"/>
      <c r="EM149" s="288"/>
      <c r="EN149" s="288"/>
      <c r="EO149" s="288"/>
      <c r="EP149" s="288"/>
      <c r="EQ149" s="288"/>
      <c r="ER149" s="288"/>
      <c r="ES149" s="288"/>
      <c r="ET149" s="288"/>
      <c r="EU149" s="288"/>
      <c r="EV149" s="288"/>
      <c r="EW149" s="288"/>
      <c r="EX149" s="288"/>
      <c r="EY149" s="288"/>
      <c r="EZ149" s="288"/>
      <c r="FA149" s="288"/>
      <c r="FB149" s="288"/>
      <c r="FC149" s="288"/>
      <c r="FD149" s="288"/>
      <c r="FE149" s="288"/>
      <c r="FF149" s="288"/>
      <c r="FG149" s="288"/>
      <c r="FH149" s="288"/>
    </row>
    <row r="150" ht="14.25" customHeight="1">
      <c r="A150" s="293"/>
      <c r="B150" s="293"/>
      <c r="C150" s="293"/>
      <c r="D150" s="293"/>
      <c r="E150" s="293"/>
      <c r="F150" s="293"/>
      <c r="G150" s="293"/>
      <c r="H150" s="293"/>
      <c r="I150" s="293"/>
      <c r="J150" s="293"/>
      <c r="K150" s="293"/>
      <c r="L150" s="293"/>
      <c r="M150" s="293"/>
      <c r="N150" s="293"/>
      <c r="O150" s="293"/>
      <c r="P150" s="293"/>
      <c r="Q150" s="293"/>
      <c r="R150" s="293"/>
      <c r="S150" s="293"/>
      <c r="T150" s="293"/>
      <c r="U150" s="293"/>
      <c r="V150" s="293"/>
      <c r="W150" s="293"/>
      <c r="X150" s="293"/>
      <c r="Y150" s="293"/>
      <c r="Z150" s="293"/>
      <c r="AA150" s="293"/>
      <c r="AB150" s="293"/>
      <c r="AC150" s="293"/>
      <c r="AD150" s="293"/>
      <c r="AE150" s="293"/>
      <c r="AF150" s="293"/>
      <c r="AG150" s="293"/>
      <c r="AH150" s="293"/>
      <c r="AI150" s="293"/>
      <c r="AJ150" s="293"/>
      <c r="AK150" s="293"/>
      <c r="AL150" s="293"/>
      <c r="AM150" s="293"/>
      <c r="AN150" s="293"/>
      <c r="AO150" s="293"/>
      <c r="AP150" s="293"/>
      <c r="AQ150" s="293"/>
      <c r="AR150" s="293"/>
      <c r="AS150" s="293"/>
      <c r="AT150" s="293"/>
      <c r="AU150" s="293"/>
      <c r="AV150" s="293"/>
      <c r="AW150" s="293"/>
      <c r="AX150" s="293"/>
      <c r="AY150" s="293"/>
      <c r="AZ150" s="293"/>
      <c r="BA150" s="293"/>
      <c r="BB150" s="293"/>
      <c r="BC150" s="293"/>
      <c r="BD150" s="293"/>
      <c r="BE150" s="293"/>
      <c r="BF150" s="293"/>
      <c r="BG150" s="293"/>
      <c r="BH150" s="293"/>
      <c r="BI150" s="293"/>
      <c r="BJ150" s="293"/>
      <c r="BK150" s="293"/>
      <c r="BL150" s="293"/>
      <c r="BM150" s="293"/>
      <c r="BN150" s="293"/>
      <c r="BO150" s="293"/>
      <c r="BP150" s="293"/>
      <c r="BQ150" s="293"/>
      <c r="BR150" s="293"/>
      <c r="BS150" s="293"/>
      <c r="BT150" s="293"/>
      <c r="BU150" s="293"/>
      <c r="BV150" s="293"/>
      <c r="BW150" s="293"/>
      <c r="BX150" s="293"/>
      <c r="BY150" s="293"/>
      <c r="BZ150" s="293"/>
      <c r="CA150" s="293"/>
      <c r="CB150" s="293"/>
      <c r="CC150" s="293"/>
      <c r="CD150" s="293"/>
      <c r="CE150" s="293"/>
      <c r="CF150" s="293"/>
      <c r="CG150" s="293"/>
      <c r="CH150" s="293"/>
      <c r="CI150" s="293"/>
      <c r="CJ150" s="293"/>
      <c r="CK150" s="293"/>
      <c r="CL150" s="293"/>
      <c r="CM150" s="293"/>
      <c r="CN150" s="293"/>
      <c r="CO150" s="293"/>
      <c r="CP150" s="293"/>
      <c r="CQ150" s="293"/>
      <c r="CR150" s="293"/>
      <c r="CS150" s="293"/>
      <c r="CT150" s="293"/>
      <c r="CU150" s="293"/>
      <c r="CV150" s="293"/>
      <c r="CW150" s="293"/>
      <c r="CX150" s="293"/>
      <c r="CY150" s="293"/>
      <c r="CZ150" s="293"/>
      <c r="DA150" s="293"/>
      <c r="DB150" s="293"/>
      <c r="DC150" s="293"/>
      <c r="DD150" s="293"/>
      <c r="DE150" s="293"/>
      <c r="DF150" s="293"/>
      <c r="DG150" s="293"/>
      <c r="DH150" s="293"/>
      <c r="DI150" s="293"/>
      <c r="DJ150" s="293"/>
      <c r="DK150" s="293"/>
      <c r="DL150" s="293"/>
      <c r="DM150" s="293"/>
      <c r="DN150" s="293"/>
      <c r="DO150" s="293"/>
      <c r="DP150" s="293"/>
      <c r="DQ150" s="293"/>
      <c r="DR150" s="293"/>
      <c r="DS150" s="288"/>
      <c r="DT150" s="288"/>
      <c r="DU150" s="288"/>
      <c r="DV150" s="288"/>
      <c r="DW150" s="288"/>
      <c r="DX150" s="288"/>
      <c r="DY150" s="288"/>
      <c r="DZ150" s="288"/>
      <c r="EA150" s="288"/>
      <c r="EB150" s="288"/>
      <c r="EC150" s="288"/>
      <c r="ED150" s="288"/>
      <c r="EE150" s="288"/>
      <c r="EF150" s="288"/>
      <c r="EG150" s="288"/>
      <c r="EH150" s="288"/>
      <c r="EI150" s="288"/>
      <c r="EJ150" s="288"/>
      <c r="EK150" s="288"/>
      <c r="EL150" s="288"/>
      <c r="EM150" s="288"/>
      <c r="EN150" s="288"/>
      <c r="EO150" s="288"/>
      <c r="EP150" s="288"/>
      <c r="EQ150" s="288"/>
      <c r="ER150" s="288"/>
      <c r="ES150" s="288"/>
      <c r="ET150" s="288"/>
      <c r="EU150" s="288"/>
      <c r="EV150" s="288"/>
      <c r="EW150" s="288"/>
      <c r="EX150" s="288"/>
      <c r="EY150" s="288"/>
      <c r="EZ150" s="288"/>
      <c r="FA150" s="288"/>
      <c r="FB150" s="288"/>
      <c r="FC150" s="288"/>
      <c r="FD150" s="288"/>
      <c r="FE150" s="288"/>
      <c r="FF150" s="288"/>
      <c r="FG150" s="288"/>
      <c r="FH150" s="288"/>
    </row>
    <row r="151" ht="14.25" customHeight="1">
      <c r="A151" s="293"/>
      <c r="B151" s="293"/>
      <c r="C151" s="293"/>
      <c r="D151" s="293"/>
      <c r="E151" s="293"/>
      <c r="F151" s="293"/>
      <c r="G151" s="293"/>
      <c r="H151" s="293"/>
      <c r="I151" s="293"/>
      <c r="J151" s="293"/>
      <c r="K151" s="293"/>
      <c r="L151" s="293"/>
      <c r="M151" s="293"/>
      <c r="N151" s="293"/>
      <c r="O151" s="293"/>
      <c r="P151" s="293"/>
      <c r="Q151" s="293"/>
      <c r="R151" s="293"/>
      <c r="S151" s="293"/>
      <c r="T151" s="293"/>
      <c r="U151" s="293"/>
      <c r="V151" s="293"/>
      <c r="W151" s="293"/>
      <c r="X151" s="293"/>
      <c r="Y151" s="293"/>
      <c r="Z151" s="293"/>
      <c r="AA151" s="293"/>
      <c r="AB151" s="293"/>
      <c r="AC151" s="293"/>
      <c r="AD151" s="293"/>
      <c r="AE151" s="293"/>
      <c r="AF151" s="293"/>
      <c r="AG151" s="293"/>
      <c r="AH151" s="293"/>
      <c r="AI151" s="293"/>
      <c r="AJ151" s="293"/>
      <c r="AK151" s="293"/>
      <c r="AL151" s="293"/>
      <c r="AM151" s="293"/>
      <c r="AN151" s="293"/>
      <c r="AO151" s="293"/>
      <c r="AP151" s="293"/>
      <c r="AQ151" s="293"/>
      <c r="AR151" s="293"/>
      <c r="AS151" s="293"/>
      <c r="AT151" s="293"/>
      <c r="AU151" s="293"/>
      <c r="AV151" s="293"/>
      <c r="AW151" s="293"/>
      <c r="AX151" s="293"/>
      <c r="AY151" s="293"/>
      <c r="AZ151" s="293"/>
      <c r="BA151" s="293"/>
      <c r="BB151" s="293"/>
      <c r="BC151" s="293"/>
      <c r="BD151" s="293"/>
      <c r="BE151" s="293"/>
      <c r="BF151" s="293"/>
      <c r="BG151" s="293"/>
      <c r="BH151" s="293"/>
      <c r="BI151" s="293"/>
      <c r="BJ151" s="293"/>
      <c r="BK151" s="293"/>
      <c r="BL151" s="293"/>
      <c r="BM151" s="293"/>
      <c r="BN151" s="293"/>
      <c r="BO151" s="293"/>
      <c r="BP151" s="293"/>
      <c r="BQ151" s="293"/>
      <c r="BR151" s="293"/>
      <c r="BS151" s="293"/>
      <c r="BT151" s="293"/>
      <c r="BU151" s="293"/>
      <c r="BV151" s="293"/>
      <c r="BW151" s="293"/>
      <c r="BX151" s="293"/>
      <c r="BY151" s="293"/>
      <c r="BZ151" s="293"/>
      <c r="CA151" s="293"/>
      <c r="CB151" s="293"/>
      <c r="CC151" s="293"/>
      <c r="CD151" s="293"/>
      <c r="CE151" s="293"/>
      <c r="CF151" s="293"/>
      <c r="CG151" s="293"/>
      <c r="CH151" s="293"/>
      <c r="CI151" s="293"/>
      <c r="CJ151" s="293"/>
      <c r="CK151" s="293"/>
      <c r="CL151" s="293"/>
      <c r="CM151" s="293"/>
      <c r="CN151" s="293"/>
      <c r="CO151" s="293"/>
      <c r="CP151" s="293"/>
      <c r="CQ151" s="293"/>
      <c r="CR151" s="293"/>
      <c r="CS151" s="293"/>
      <c r="CT151" s="293"/>
      <c r="CU151" s="293"/>
      <c r="CV151" s="293"/>
      <c r="CW151" s="293"/>
      <c r="CX151" s="293"/>
      <c r="CY151" s="293"/>
      <c r="CZ151" s="293"/>
      <c r="DA151" s="293"/>
      <c r="DB151" s="293"/>
      <c r="DC151" s="293"/>
      <c r="DD151" s="293"/>
      <c r="DE151" s="293"/>
      <c r="DF151" s="293"/>
      <c r="DG151" s="293"/>
      <c r="DH151" s="293"/>
      <c r="DI151" s="293"/>
      <c r="DJ151" s="293"/>
      <c r="DK151" s="293"/>
      <c r="DL151" s="293"/>
      <c r="DM151" s="293"/>
      <c r="DN151" s="293"/>
      <c r="DO151" s="293"/>
      <c r="DP151" s="293"/>
      <c r="DQ151" s="293"/>
      <c r="DR151" s="293"/>
      <c r="DS151" s="288"/>
      <c r="DT151" s="288"/>
      <c r="DU151" s="288"/>
      <c r="DV151" s="288"/>
      <c r="DW151" s="288"/>
      <c r="DX151" s="288"/>
      <c r="DY151" s="288"/>
      <c r="DZ151" s="288"/>
      <c r="EA151" s="288"/>
      <c r="EB151" s="288"/>
      <c r="EC151" s="288"/>
      <c r="ED151" s="288"/>
      <c r="EE151" s="288"/>
      <c r="EF151" s="288"/>
      <c r="EG151" s="288"/>
      <c r="EH151" s="288"/>
      <c r="EI151" s="288"/>
      <c r="EJ151" s="288"/>
      <c r="EK151" s="288"/>
      <c r="EL151" s="288"/>
      <c r="EM151" s="288"/>
      <c r="EN151" s="288"/>
      <c r="EO151" s="288"/>
      <c r="EP151" s="288"/>
      <c r="EQ151" s="288"/>
      <c r="ER151" s="288"/>
      <c r="ES151" s="288"/>
      <c r="ET151" s="288"/>
      <c r="EU151" s="288"/>
      <c r="EV151" s="288"/>
      <c r="EW151" s="288"/>
      <c r="EX151" s="288"/>
      <c r="EY151" s="288"/>
      <c r="EZ151" s="288"/>
      <c r="FA151" s="288"/>
      <c r="FB151" s="288"/>
      <c r="FC151" s="288"/>
      <c r="FD151" s="288"/>
      <c r="FE151" s="288"/>
      <c r="FF151" s="288"/>
      <c r="FG151" s="288"/>
      <c r="FH151" s="288"/>
    </row>
    <row r="152" ht="14.25" customHeight="1">
      <c r="A152" s="293"/>
      <c r="B152" s="293"/>
      <c r="C152" s="293"/>
      <c r="D152" s="293"/>
      <c r="E152" s="293"/>
      <c r="F152" s="293"/>
      <c r="G152" s="293"/>
      <c r="H152" s="293"/>
      <c r="I152" s="293"/>
      <c r="J152" s="293"/>
      <c r="K152" s="293"/>
      <c r="L152" s="293"/>
      <c r="M152" s="293"/>
      <c r="N152" s="293"/>
      <c r="O152" s="293"/>
      <c r="P152" s="293"/>
      <c r="Q152" s="293"/>
      <c r="R152" s="293"/>
      <c r="S152" s="293"/>
      <c r="T152" s="293"/>
      <c r="U152" s="293"/>
      <c r="V152" s="293"/>
      <c r="W152" s="293"/>
      <c r="X152" s="293"/>
      <c r="Y152" s="293"/>
      <c r="Z152" s="293"/>
      <c r="AA152" s="293"/>
      <c r="AB152" s="293"/>
      <c r="AC152" s="293"/>
      <c r="AD152" s="293"/>
      <c r="AE152" s="293"/>
      <c r="AF152" s="293"/>
      <c r="AG152" s="293"/>
      <c r="AH152" s="293"/>
      <c r="AI152" s="293"/>
      <c r="AJ152" s="293"/>
      <c r="AK152" s="293"/>
      <c r="AL152" s="293"/>
      <c r="AM152" s="293"/>
      <c r="AN152" s="293"/>
      <c r="AO152" s="293"/>
      <c r="AP152" s="293"/>
      <c r="AQ152" s="293"/>
      <c r="AR152" s="293"/>
      <c r="AS152" s="293"/>
      <c r="AT152" s="293"/>
      <c r="AU152" s="293"/>
      <c r="AV152" s="293"/>
      <c r="AW152" s="293"/>
      <c r="AX152" s="293"/>
      <c r="AY152" s="293"/>
      <c r="AZ152" s="293"/>
      <c r="BA152" s="293"/>
      <c r="BB152" s="293"/>
      <c r="BC152" s="293"/>
      <c r="BD152" s="293"/>
      <c r="BE152" s="293"/>
      <c r="BF152" s="293"/>
      <c r="BG152" s="293"/>
      <c r="BH152" s="293"/>
      <c r="BI152" s="293"/>
      <c r="BJ152" s="293"/>
      <c r="BK152" s="293"/>
      <c r="BL152" s="293"/>
      <c r="BM152" s="293"/>
      <c r="BN152" s="293"/>
      <c r="BO152" s="293"/>
      <c r="BP152" s="293"/>
      <c r="BQ152" s="293"/>
      <c r="BR152" s="293"/>
      <c r="BS152" s="293"/>
      <c r="BT152" s="293"/>
      <c r="BU152" s="293"/>
      <c r="BV152" s="293"/>
      <c r="BW152" s="293"/>
      <c r="BX152" s="293"/>
      <c r="BY152" s="293"/>
      <c r="BZ152" s="293"/>
      <c r="CA152" s="293"/>
      <c r="CB152" s="293"/>
      <c r="CC152" s="293"/>
      <c r="CD152" s="293"/>
      <c r="CE152" s="293"/>
      <c r="CF152" s="293"/>
      <c r="CG152" s="293"/>
      <c r="CH152" s="293"/>
      <c r="CI152" s="293"/>
      <c r="CJ152" s="293"/>
      <c r="CK152" s="293"/>
      <c r="CL152" s="293"/>
      <c r="CM152" s="293"/>
      <c r="CN152" s="293"/>
      <c r="CO152" s="293"/>
      <c r="CP152" s="293"/>
      <c r="CQ152" s="293"/>
      <c r="CR152" s="293"/>
      <c r="CS152" s="293"/>
      <c r="CT152" s="293"/>
      <c r="CU152" s="293"/>
      <c r="CV152" s="293"/>
      <c r="CW152" s="293"/>
      <c r="CX152" s="293"/>
      <c r="CY152" s="293"/>
      <c r="CZ152" s="293"/>
      <c r="DA152" s="293"/>
      <c r="DB152" s="293"/>
      <c r="DC152" s="293"/>
      <c r="DD152" s="293"/>
      <c r="DE152" s="293"/>
      <c r="DF152" s="293"/>
      <c r="DG152" s="293"/>
      <c r="DH152" s="293"/>
      <c r="DI152" s="293"/>
      <c r="DJ152" s="293"/>
      <c r="DK152" s="293"/>
      <c r="DL152" s="293"/>
      <c r="DM152" s="293"/>
      <c r="DN152" s="293"/>
      <c r="DO152" s="293"/>
      <c r="DP152" s="293"/>
      <c r="DQ152" s="293"/>
      <c r="DR152" s="293"/>
      <c r="DS152" s="288"/>
      <c r="DT152" s="288"/>
      <c r="DU152" s="288"/>
      <c r="DV152" s="288"/>
      <c r="DW152" s="288"/>
      <c r="DX152" s="288"/>
      <c r="DY152" s="288"/>
      <c r="DZ152" s="288"/>
      <c r="EA152" s="288"/>
      <c r="EB152" s="288"/>
      <c r="EC152" s="288"/>
      <c r="ED152" s="288"/>
      <c r="EE152" s="288"/>
      <c r="EF152" s="288"/>
      <c r="EG152" s="288"/>
      <c r="EH152" s="288"/>
      <c r="EI152" s="288"/>
      <c r="EJ152" s="288"/>
      <c r="EK152" s="288"/>
      <c r="EL152" s="288"/>
      <c r="EM152" s="288"/>
      <c r="EN152" s="288"/>
      <c r="EO152" s="288"/>
      <c r="EP152" s="288"/>
      <c r="EQ152" s="288"/>
      <c r="ER152" s="288"/>
      <c r="ES152" s="288"/>
      <c r="ET152" s="288"/>
      <c r="EU152" s="288"/>
      <c r="EV152" s="288"/>
      <c r="EW152" s="288"/>
      <c r="EX152" s="288"/>
      <c r="EY152" s="288"/>
      <c r="EZ152" s="288"/>
      <c r="FA152" s="288"/>
      <c r="FB152" s="288"/>
      <c r="FC152" s="288"/>
      <c r="FD152" s="288"/>
      <c r="FE152" s="288"/>
      <c r="FF152" s="288"/>
      <c r="FG152" s="288"/>
      <c r="FH152" s="288"/>
    </row>
    <row r="153" ht="14.25" customHeight="1">
      <c r="A153" s="293"/>
      <c r="B153" s="293"/>
      <c r="C153" s="293"/>
      <c r="D153" s="293"/>
      <c r="E153" s="293"/>
      <c r="F153" s="293"/>
      <c r="G153" s="293"/>
      <c r="H153" s="293"/>
      <c r="I153" s="293"/>
      <c r="J153" s="293"/>
      <c r="K153" s="293"/>
      <c r="L153" s="293"/>
      <c r="M153" s="293"/>
      <c r="N153" s="293"/>
      <c r="O153" s="293"/>
      <c r="P153" s="293"/>
      <c r="Q153" s="293"/>
      <c r="R153" s="293"/>
      <c r="S153" s="293"/>
      <c r="T153" s="293"/>
      <c r="U153" s="293"/>
      <c r="V153" s="293"/>
      <c r="W153" s="293"/>
      <c r="X153" s="293"/>
      <c r="Y153" s="293"/>
      <c r="Z153" s="293"/>
      <c r="AA153" s="293"/>
      <c r="AB153" s="293"/>
      <c r="AC153" s="293"/>
      <c r="AD153" s="293"/>
      <c r="AE153" s="293"/>
      <c r="AF153" s="293"/>
      <c r="AG153" s="293"/>
      <c r="AH153" s="293"/>
      <c r="AI153" s="293"/>
      <c r="AJ153" s="293"/>
      <c r="AK153" s="293"/>
      <c r="AL153" s="293"/>
      <c r="AM153" s="293"/>
      <c r="AN153" s="293"/>
      <c r="AO153" s="293"/>
      <c r="AP153" s="293"/>
      <c r="AQ153" s="293"/>
      <c r="AR153" s="293"/>
      <c r="AS153" s="293"/>
      <c r="AT153" s="293"/>
      <c r="AU153" s="293"/>
      <c r="AV153" s="293"/>
      <c r="AW153" s="293"/>
      <c r="AX153" s="293"/>
      <c r="AY153" s="293"/>
      <c r="AZ153" s="293"/>
      <c r="BA153" s="293"/>
      <c r="BB153" s="293"/>
      <c r="BC153" s="293"/>
      <c r="BD153" s="293"/>
      <c r="BE153" s="293"/>
      <c r="BF153" s="293"/>
      <c r="BG153" s="293"/>
      <c r="BH153" s="293"/>
      <c r="BI153" s="293"/>
      <c r="BJ153" s="293"/>
      <c r="BK153" s="293"/>
      <c r="BL153" s="293"/>
      <c r="BM153" s="293"/>
      <c r="BN153" s="293"/>
      <c r="BO153" s="293"/>
      <c r="BP153" s="293"/>
      <c r="BQ153" s="293"/>
      <c r="BR153" s="293"/>
      <c r="BS153" s="293"/>
      <c r="BT153" s="293"/>
      <c r="BU153" s="293"/>
      <c r="BV153" s="293"/>
      <c r="BW153" s="293"/>
      <c r="BX153" s="293"/>
      <c r="BY153" s="293"/>
      <c r="BZ153" s="293"/>
      <c r="CA153" s="293"/>
      <c r="CB153" s="293"/>
      <c r="CC153" s="293"/>
      <c r="CD153" s="293"/>
      <c r="CE153" s="293"/>
      <c r="CF153" s="293"/>
      <c r="CG153" s="293"/>
      <c r="CH153" s="293"/>
      <c r="CI153" s="293"/>
      <c r="CJ153" s="293"/>
      <c r="CK153" s="293"/>
      <c r="CL153" s="293"/>
      <c r="CM153" s="293"/>
      <c r="CN153" s="293"/>
      <c r="CO153" s="293"/>
      <c r="CP153" s="293"/>
      <c r="CQ153" s="293"/>
      <c r="CR153" s="293"/>
      <c r="CS153" s="293"/>
      <c r="CT153" s="293"/>
      <c r="CU153" s="293"/>
      <c r="CV153" s="293"/>
      <c r="CW153" s="293"/>
      <c r="CX153" s="293"/>
      <c r="CY153" s="293"/>
      <c r="CZ153" s="293"/>
      <c r="DA153" s="293"/>
      <c r="DB153" s="293"/>
      <c r="DC153" s="293"/>
      <c r="DD153" s="293"/>
      <c r="DE153" s="293"/>
      <c r="DF153" s="293"/>
      <c r="DG153" s="293"/>
      <c r="DH153" s="293"/>
      <c r="DI153" s="293"/>
      <c r="DJ153" s="293"/>
      <c r="DK153" s="293"/>
      <c r="DL153" s="293"/>
      <c r="DM153" s="293"/>
      <c r="DN153" s="293"/>
      <c r="DO153" s="293"/>
      <c r="DP153" s="293"/>
      <c r="DQ153" s="293"/>
      <c r="DR153" s="293"/>
      <c r="DS153" s="288"/>
      <c r="DT153" s="288"/>
      <c r="DU153" s="288"/>
      <c r="DV153" s="288"/>
      <c r="DW153" s="288"/>
      <c r="DX153" s="288"/>
      <c r="DY153" s="288"/>
      <c r="DZ153" s="288"/>
      <c r="EA153" s="288"/>
      <c r="EB153" s="288"/>
      <c r="EC153" s="288"/>
      <c r="ED153" s="288"/>
      <c r="EE153" s="288"/>
      <c r="EF153" s="288"/>
      <c r="EG153" s="288"/>
      <c r="EH153" s="288"/>
      <c r="EI153" s="288"/>
      <c r="EJ153" s="288"/>
      <c r="EK153" s="288"/>
      <c r="EL153" s="288"/>
      <c r="EM153" s="288"/>
      <c r="EN153" s="288"/>
      <c r="EO153" s="288"/>
      <c r="EP153" s="288"/>
      <c r="EQ153" s="288"/>
      <c r="ER153" s="288"/>
      <c r="ES153" s="288"/>
      <c r="ET153" s="288"/>
      <c r="EU153" s="288"/>
      <c r="EV153" s="288"/>
      <c r="EW153" s="288"/>
      <c r="EX153" s="288"/>
      <c r="EY153" s="288"/>
      <c r="EZ153" s="288"/>
      <c r="FA153" s="288"/>
      <c r="FB153" s="288"/>
      <c r="FC153" s="288"/>
      <c r="FD153" s="288"/>
      <c r="FE153" s="288"/>
      <c r="FF153" s="288"/>
      <c r="FG153" s="288"/>
      <c r="FH153" s="288"/>
    </row>
    <row r="154" ht="14.25" customHeight="1">
      <c r="A154" s="293"/>
      <c r="B154" s="293"/>
      <c r="C154" s="293"/>
      <c r="D154" s="293"/>
      <c r="E154" s="293"/>
      <c r="F154" s="293"/>
      <c r="G154" s="293"/>
      <c r="H154" s="293"/>
      <c r="I154" s="293"/>
      <c r="J154" s="293"/>
      <c r="K154" s="293"/>
      <c r="L154" s="293"/>
      <c r="M154" s="293"/>
      <c r="N154" s="293"/>
      <c r="O154" s="293"/>
      <c r="P154" s="293"/>
      <c r="Q154" s="293"/>
      <c r="R154" s="293"/>
      <c r="S154" s="293"/>
      <c r="T154" s="293"/>
      <c r="U154" s="293"/>
      <c r="V154" s="293"/>
      <c r="W154" s="293"/>
      <c r="X154" s="293"/>
      <c r="Y154" s="293"/>
      <c r="Z154" s="293"/>
      <c r="AA154" s="293"/>
      <c r="AB154" s="293"/>
      <c r="AC154" s="293"/>
      <c r="AD154" s="293"/>
      <c r="AE154" s="293"/>
      <c r="AF154" s="293"/>
      <c r="AG154" s="293"/>
      <c r="AH154" s="293"/>
      <c r="AI154" s="293"/>
      <c r="AJ154" s="293"/>
      <c r="AK154" s="293"/>
      <c r="AL154" s="293"/>
      <c r="AM154" s="293"/>
      <c r="AN154" s="293"/>
      <c r="AO154" s="293"/>
      <c r="AP154" s="293"/>
      <c r="AQ154" s="293"/>
      <c r="AR154" s="293"/>
      <c r="AS154" s="293"/>
      <c r="AT154" s="293"/>
      <c r="AU154" s="293"/>
      <c r="AV154" s="293"/>
      <c r="AW154" s="293"/>
      <c r="AX154" s="293"/>
      <c r="AY154" s="293"/>
      <c r="AZ154" s="293"/>
      <c r="BA154" s="293"/>
      <c r="BB154" s="293"/>
      <c r="BC154" s="293"/>
      <c r="BD154" s="293"/>
      <c r="BE154" s="293"/>
      <c r="BF154" s="293"/>
      <c r="BG154" s="293"/>
      <c r="BH154" s="293"/>
      <c r="BI154" s="293"/>
      <c r="BJ154" s="293"/>
      <c r="BK154" s="293"/>
      <c r="BL154" s="293"/>
      <c r="BM154" s="293"/>
      <c r="BN154" s="293"/>
      <c r="BO154" s="293"/>
      <c r="BP154" s="293"/>
      <c r="BQ154" s="293"/>
      <c r="BR154" s="293"/>
      <c r="BS154" s="293"/>
      <c r="BT154" s="293"/>
      <c r="BU154" s="293"/>
      <c r="BV154" s="293"/>
      <c r="BW154" s="293"/>
      <c r="BX154" s="293"/>
      <c r="BY154" s="293"/>
      <c r="BZ154" s="293"/>
      <c r="CA154" s="293"/>
      <c r="CB154" s="293"/>
      <c r="CC154" s="293"/>
      <c r="CD154" s="293"/>
      <c r="CE154" s="293"/>
      <c r="CF154" s="293"/>
      <c r="CG154" s="293"/>
      <c r="CH154" s="293"/>
      <c r="CI154" s="293"/>
      <c r="CJ154" s="293"/>
      <c r="CK154" s="293"/>
      <c r="CL154" s="293"/>
      <c r="CM154" s="293"/>
      <c r="CN154" s="293"/>
      <c r="CO154" s="293"/>
      <c r="CP154" s="293"/>
      <c r="CQ154" s="293"/>
      <c r="CR154" s="293"/>
      <c r="CS154" s="293"/>
      <c r="CT154" s="293"/>
      <c r="CU154" s="293"/>
      <c r="CV154" s="293"/>
      <c r="CW154" s="293"/>
      <c r="CX154" s="293"/>
      <c r="CY154" s="293"/>
      <c r="CZ154" s="293"/>
      <c r="DA154" s="293"/>
      <c r="DB154" s="293"/>
      <c r="DC154" s="293"/>
      <c r="DD154" s="293"/>
      <c r="DE154" s="293"/>
      <c r="DF154" s="293"/>
      <c r="DG154" s="293"/>
      <c r="DH154" s="293"/>
      <c r="DI154" s="293"/>
      <c r="DJ154" s="293"/>
      <c r="DK154" s="293"/>
      <c r="DL154" s="293"/>
      <c r="DM154" s="293"/>
      <c r="DN154" s="293"/>
      <c r="DO154" s="293"/>
      <c r="DP154" s="293"/>
      <c r="DQ154" s="293"/>
      <c r="DR154" s="293"/>
      <c r="DS154" s="288"/>
      <c r="DT154" s="288"/>
      <c r="DU154" s="288"/>
      <c r="DV154" s="288"/>
      <c r="DW154" s="288"/>
      <c r="DX154" s="288"/>
      <c r="DY154" s="288"/>
      <c r="DZ154" s="288"/>
      <c r="EA154" s="288"/>
      <c r="EB154" s="288"/>
      <c r="EC154" s="288"/>
      <c r="ED154" s="288"/>
      <c r="EE154" s="288"/>
      <c r="EF154" s="288"/>
      <c r="EG154" s="288"/>
      <c r="EH154" s="288"/>
      <c r="EI154" s="288"/>
      <c r="EJ154" s="288"/>
      <c r="EK154" s="288"/>
      <c r="EL154" s="288"/>
      <c r="EM154" s="288"/>
      <c r="EN154" s="288"/>
      <c r="EO154" s="288"/>
      <c r="EP154" s="288"/>
      <c r="EQ154" s="288"/>
      <c r="ER154" s="288"/>
      <c r="ES154" s="288"/>
      <c r="ET154" s="288"/>
      <c r="EU154" s="288"/>
      <c r="EV154" s="288"/>
      <c r="EW154" s="288"/>
      <c r="EX154" s="288"/>
      <c r="EY154" s="288"/>
      <c r="EZ154" s="288"/>
      <c r="FA154" s="288"/>
      <c r="FB154" s="288"/>
      <c r="FC154" s="288"/>
      <c r="FD154" s="288"/>
      <c r="FE154" s="288"/>
      <c r="FF154" s="288"/>
      <c r="FG154" s="288"/>
      <c r="FH154" s="288"/>
    </row>
    <row r="155" ht="14.25" customHeight="1">
      <c r="A155" s="293"/>
      <c r="B155" s="293"/>
      <c r="C155" s="293"/>
      <c r="D155" s="293"/>
      <c r="E155" s="293"/>
      <c r="F155" s="293"/>
      <c r="G155" s="293"/>
      <c r="H155" s="293"/>
      <c r="I155" s="293"/>
      <c r="J155" s="293"/>
      <c r="K155" s="293"/>
      <c r="L155" s="293"/>
      <c r="M155" s="293"/>
      <c r="N155" s="293"/>
      <c r="O155" s="293"/>
      <c r="P155" s="293"/>
      <c r="Q155" s="293"/>
      <c r="R155" s="293"/>
      <c r="S155" s="293"/>
      <c r="T155" s="293"/>
      <c r="U155" s="293"/>
      <c r="V155" s="293"/>
      <c r="W155" s="293"/>
      <c r="X155" s="293"/>
      <c r="Y155" s="293"/>
      <c r="Z155" s="293"/>
      <c r="AA155" s="293"/>
      <c r="AB155" s="293"/>
      <c r="AC155" s="293"/>
      <c r="AD155" s="293"/>
      <c r="AE155" s="293"/>
      <c r="AF155" s="293"/>
      <c r="AG155" s="293"/>
      <c r="AH155" s="293"/>
      <c r="AI155" s="293"/>
      <c r="AJ155" s="293"/>
      <c r="AK155" s="293"/>
      <c r="AL155" s="293"/>
      <c r="AM155" s="293"/>
      <c r="AN155" s="293"/>
      <c r="AO155" s="293"/>
      <c r="AP155" s="293"/>
      <c r="AQ155" s="293"/>
      <c r="AR155" s="293"/>
      <c r="AS155" s="293"/>
      <c r="AT155" s="293"/>
      <c r="AU155" s="293"/>
      <c r="AV155" s="293"/>
      <c r="AW155" s="293"/>
      <c r="AX155" s="293"/>
      <c r="AY155" s="293"/>
      <c r="AZ155" s="293"/>
      <c r="BA155" s="293"/>
      <c r="BB155" s="293"/>
      <c r="BC155" s="293"/>
      <c r="BD155" s="293"/>
      <c r="BE155" s="293"/>
      <c r="BF155" s="293"/>
      <c r="BG155" s="293"/>
      <c r="BH155" s="293"/>
      <c r="BI155" s="293"/>
      <c r="BJ155" s="293"/>
      <c r="BK155" s="293"/>
      <c r="BL155" s="293"/>
      <c r="BM155" s="293"/>
      <c r="BN155" s="293"/>
      <c r="BO155" s="293"/>
      <c r="BP155" s="293"/>
      <c r="BQ155" s="293"/>
      <c r="BR155" s="293"/>
      <c r="BS155" s="293"/>
      <c r="BT155" s="293"/>
      <c r="BU155" s="293"/>
      <c r="BV155" s="293"/>
      <c r="BW155" s="293"/>
      <c r="BX155" s="293"/>
      <c r="BY155" s="293"/>
      <c r="BZ155" s="293"/>
      <c r="CA155" s="293"/>
      <c r="CB155" s="293"/>
      <c r="CC155" s="293"/>
      <c r="CD155" s="293"/>
      <c r="CE155" s="293"/>
      <c r="CF155" s="293"/>
      <c r="CG155" s="293"/>
      <c r="CH155" s="293"/>
      <c r="CI155" s="293"/>
      <c r="CJ155" s="293"/>
      <c r="CK155" s="293"/>
      <c r="CL155" s="293"/>
      <c r="CM155" s="293"/>
      <c r="CN155" s="293"/>
      <c r="CO155" s="293"/>
      <c r="CP155" s="293"/>
      <c r="CQ155" s="293"/>
      <c r="CR155" s="293"/>
      <c r="CS155" s="293"/>
      <c r="CT155" s="293"/>
      <c r="CU155" s="293"/>
      <c r="CV155" s="293"/>
      <c r="CW155" s="293"/>
      <c r="CX155" s="293"/>
      <c r="CY155" s="293"/>
      <c r="CZ155" s="293"/>
      <c r="DA155" s="293"/>
      <c r="DB155" s="293"/>
      <c r="DC155" s="293"/>
      <c r="DD155" s="293"/>
      <c r="DE155" s="293"/>
      <c r="DF155" s="293"/>
      <c r="DG155" s="293"/>
      <c r="DH155" s="293"/>
      <c r="DI155" s="293"/>
      <c r="DJ155" s="293"/>
      <c r="DK155" s="293"/>
      <c r="DL155" s="293"/>
      <c r="DM155" s="293"/>
      <c r="DN155" s="293"/>
      <c r="DO155" s="293"/>
      <c r="DP155" s="293"/>
      <c r="DQ155" s="293"/>
      <c r="DR155" s="293"/>
      <c r="DS155" s="288"/>
      <c r="DT155" s="288"/>
      <c r="DU155" s="288"/>
      <c r="DV155" s="288"/>
      <c r="DW155" s="288"/>
      <c r="DX155" s="288"/>
      <c r="DY155" s="288"/>
      <c r="DZ155" s="288"/>
      <c r="EA155" s="288"/>
      <c r="EB155" s="288"/>
      <c r="EC155" s="288"/>
      <c r="ED155" s="288"/>
      <c r="EE155" s="288"/>
      <c r="EF155" s="288"/>
      <c r="EG155" s="288"/>
      <c r="EH155" s="288"/>
      <c r="EI155" s="288"/>
      <c r="EJ155" s="288"/>
      <c r="EK155" s="288"/>
      <c r="EL155" s="288"/>
      <c r="EM155" s="288"/>
      <c r="EN155" s="288"/>
      <c r="EO155" s="288"/>
      <c r="EP155" s="288"/>
      <c r="EQ155" s="288"/>
      <c r="ER155" s="288"/>
      <c r="ES155" s="288"/>
      <c r="ET155" s="288"/>
      <c r="EU155" s="288"/>
      <c r="EV155" s="288"/>
      <c r="EW155" s="288"/>
      <c r="EX155" s="288"/>
      <c r="EY155" s="288"/>
      <c r="EZ155" s="288"/>
      <c r="FA155" s="288"/>
      <c r="FB155" s="288"/>
      <c r="FC155" s="288"/>
      <c r="FD155" s="288"/>
      <c r="FE155" s="288"/>
      <c r="FF155" s="288"/>
      <c r="FG155" s="288"/>
      <c r="FH155" s="288"/>
    </row>
    <row r="156" ht="14.25" customHeight="1">
      <c r="A156" s="293"/>
      <c r="B156" s="293"/>
      <c r="C156" s="293"/>
      <c r="D156" s="293"/>
      <c r="E156" s="293"/>
      <c r="F156" s="293"/>
      <c r="G156" s="293"/>
      <c r="H156" s="293"/>
      <c r="I156" s="293"/>
      <c r="J156" s="293"/>
      <c r="K156" s="293"/>
      <c r="L156" s="293"/>
      <c r="M156" s="293"/>
      <c r="N156" s="293"/>
      <c r="O156" s="293"/>
      <c r="P156" s="293"/>
      <c r="Q156" s="293"/>
      <c r="R156" s="293"/>
      <c r="S156" s="293"/>
      <c r="T156" s="293"/>
      <c r="U156" s="293"/>
      <c r="V156" s="293"/>
      <c r="W156" s="293"/>
      <c r="X156" s="293"/>
      <c r="Y156" s="293"/>
      <c r="Z156" s="293"/>
      <c r="AA156" s="293"/>
      <c r="AB156" s="293"/>
      <c r="AC156" s="293"/>
      <c r="AD156" s="293"/>
      <c r="AE156" s="293"/>
      <c r="AF156" s="293"/>
      <c r="AG156" s="293"/>
      <c r="AH156" s="293"/>
      <c r="AI156" s="293"/>
      <c r="AJ156" s="293"/>
      <c r="AK156" s="293"/>
      <c r="AL156" s="293"/>
      <c r="AM156" s="293"/>
      <c r="AN156" s="293"/>
      <c r="AO156" s="293"/>
      <c r="AP156" s="293"/>
      <c r="AQ156" s="293"/>
      <c r="AR156" s="293"/>
      <c r="AS156" s="293"/>
      <c r="AT156" s="293"/>
      <c r="AU156" s="293"/>
      <c r="AV156" s="293"/>
      <c r="AW156" s="293"/>
      <c r="AX156" s="293"/>
      <c r="AY156" s="293"/>
      <c r="AZ156" s="293"/>
      <c r="BA156" s="293"/>
      <c r="BB156" s="293"/>
      <c r="BC156" s="293"/>
      <c r="BD156" s="293"/>
      <c r="BE156" s="293"/>
      <c r="BF156" s="293"/>
      <c r="BG156" s="293"/>
      <c r="BH156" s="293"/>
      <c r="BI156" s="293"/>
      <c r="BJ156" s="293"/>
      <c r="BK156" s="293"/>
      <c r="BL156" s="293"/>
      <c r="BM156" s="293"/>
      <c r="BN156" s="293"/>
      <c r="BO156" s="293"/>
      <c r="BP156" s="293"/>
      <c r="BQ156" s="293"/>
      <c r="BR156" s="293"/>
      <c r="BS156" s="293"/>
      <c r="BT156" s="293"/>
      <c r="BU156" s="293"/>
      <c r="BV156" s="293"/>
      <c r="BW156" s="293"/>
      <c r="BX156" s="293"/>
      <c r="BY156" s="293"/>
      <c r="BZ156" s="293"/>
      <c r="CA156" s="293"/>
      <c r="CB156" s="293"/>
      <c r="CC156" s="293"/>
      <c r="CD156" s="293"/>
      <c r="CE156" s="293"/>
      <c r="CF156" s="293"/>
      <c r="CG156" s="293"/>
      <c r="CH156" s="293"/>
      <c r="CI156" s="293"/>
      <c r="CJ156" s="293"/>
      <c r="CK156" s="293"/>
      <c r="CL156" s="293"/>
      <c r="CM156" s="293"/>
      <c r="CN156" s="293"/>
      <c r="CO156" s="293"/>
      <c r="CP156" s="293"/>
      <c r="CQ156" s="293"/>
      <c r="CR156" s="293"/>
      <c r="CS156" s="293"/>
      <c r="CT156" s="293"/>
      <c r="CU156" s="293"/>
      <c r="CV156" s="293"/>
      <c r="CW156" s="293"/>
      <c r="CX156" s="293"/>
      <c r="CY156" s="293"/>
      <c r="CZ156" s="293"/>
      <c r="DA156" s="293"/>
      <c r="DB156" s="293"/>
      <c r="DC156" s="293"/>
      <c r="DD156" s="293"/>
      <c r="DE156" s="293"/>
      <c r="DF156" s="293"/>
      <c r="DG156" s="293"/>
      <c r="DH156" s="293"/>
      <c r="DI156" s="293"/>
      <c r="DJ156" s="293"/>
      <c r="DK156" s="293"/>
      <c r="DL156" s="293"/>
      <c r="DM156" s="293"/>
      <c r="DN156" s="293"/>
      <c r="DO156" s="293"/>
      <c r="DP156" s="293"/>
      <c r="DQ156" s="293"/>
      <c r="DR156" s="293"/>
      <c r="DS156" s="288"/>
      <c r="DT156" s="288"/>
      <c r="DU156" s="288"/>
      <c r="DV156" s="288"/>
      <c r="DW156" s="288"/>
      <c r="DX156" s="288"/>
      <c r="DY156" s="288"/>
      <c r="DZ156" s="288"/>
      <c r="EA156" s="288"/>
      <c r="EB156" s="288"/>
      <c r="EC156" s="288"/>
      <c r="ED156" s="288"/>
      <c r="EE156" s="288"/>
      <c r="EF156" s="288"/>
      <c r="EG156" s="288"/>
      <c r="EH156" s="288"/>
      <c r="EI156" s="288"/>
      <c r="EJ156" s="288"/>
      <c r="EK156" s="288"/>
      <c r="EL156" s="288"/>
      <c r="EM156" s="288"/>
      <c r="EN156" s="288"/>
      <c r="EO156" s="288"/>
      <c r="EP156" s="288"/>
      <c r="EQ156" s="288"/>
      <c r="ER156" s="288"/>
      <c r="ES156" s="288"/>
      <c r="ET156" s="288"/>
      <c r="EU156" s="288"/>
      <c r="EV156" s="288"/>
      <c r="EW156" s="288"/>
      <c r="EX156" s="288"/>
      <c r="EY156" s="288"/>
      <c r="EZ156" s="288"/>
      <c r="FA156" s="288"/>
      <c r="FB156" s="288"/>
      <c r="FC156" s="288"/>
      <c r="FD156" s="288"/>
      <c r="FE156" s="288"/>
      <c r="FF156" s="288"/>
      <c r="FG156" s="288"/>
      <c r="FH156" s="288"/>
    </row>
    <row r="157" ht="14.25" customHeight="1">
      <c r="A157" s="293"/>
      <c r="B157" s="293"/>
      <c r="C157" s="293"/>
      <c r="D157" s="293"/>
      <c r="E157" s="293"/>
      <c r="F157" s="293"/>
      <c r="G157" s="293"/>
      <c r="H157" s="293"/>
      <c r="I157" s="293"/>
      <c r="J157" s="293"/>
      <c r="K157" s="293"/>
      <c r="L157" s="293"/>
      <c r="M157" s="293"/>
      <c r="N157" s="293"/>
      <c r="O157" s="293"/>
      <c r="P157" s="293"/>
      <c r="Q157" s="293"/>
      <c r="R157" s="293"/>
      <c r="S157" s="293"/>
      <c r="T157" s="293"/>
      <c r="U157" s="293"/>
      <c r="V157" s="293"/>
      <c r="W157" s="293"/>
      <c r="X157" s="293"/>
      <c r="Y157" s="293"/>
      <c r="Z157" s="293"/>
      <c r="AA157" s="293"/>
      <c r="AB157" s="293"/>
      <c r="AC157" s="293"/>
      <c r="AD157" s="293"/>
      <c r="AE157" s="293"/>
      <c r="AF157" s="293"/>
      <c r="AG157" s="293"/>
      <c r="AH157" s="293"/>
      <c r="AI157" s="293"/>
      <c r="AJ157" s="293"/>
      <c r="AK157" s="293"/>
      <c r="AL157" s="293"/>
      <c r="AM157" s="293"/>
      <c r="AN157" s="293"/>
      <c r="AO157" s="293"/>
      <c r="AP157" s="293"/>
      <c r="AQ157" s="293"/>
      <c r="AR157" s="293"/>
      <c r="AS157" s="293"/>
      <c r="AT157" s="293"/>
      <c r="AU157" s="293"/>
      <c r="AV157" s="293"/>
      <c r="AW157" s="293"/>
      <c r="AX157" s="293"/>
      <c r="AY157" s="293"/>
      <c r="AZ157" s="293"/>
      <c r="BA157" s="293"/>
      <c r="BB157" s="293"/>
      <c r="BC157" s="293"/>
      <c r="BD157" s="293"/>
      <c r="BE157" s="293"/>
      <c r="BF157" s="293"/>
      <c r="BG157" s="293"/>
      <c r="BH157" s="293"/>
      <c r="BI157" s="293"/>
      <c r="BJ157" s="293"/>
      <c r="BK157" s="293"/>
      <c r="BL157" s="293"/>
      <c r="BM157" s="293"/>
      <c r="BN157" s="293"/>
      <c r="BO157" s="293"/>
      <c r="BP157" s="293"/>
      <c r="BQ157" s="293"/>
      <c r="BR157" s="293"/>
      <c r="BS157" s="293"/>
      <c r="BT157" s="293"/>
      <c r="BU157" s="293"/>
      <c r="BV157" s="293"/>
      <c r="BW157" s="293"/>
      <c r="BX157" s="293"/>
      <c r="BY157" s="293"/>
      <c r="BZ157" s="293"/>
      <c r="CA157" s="293"/>
      <c r="CB157" s="293"/>
      <c r="CC157" s="293"/>
      <c r="CD157" s="293"/>
      <c r="CE157" s="293"/>
      <c r="CF157" s="293"/>
      <c r="CG157" s="293"/>
      <c r="CH157" s="293"/>
      <c r="CI157" s="293"/>
      <c r="CJ157" s="293"/>
      <c r="CK157" s="293"/>
      <c r="CL157" s="293"/>
      <c r="CM157" s="293"/>
      <c r="CN157" s="293"/>
      <c r="CO157" s="293"/>
      <c r="CP157" s="293"/>
      <c r="CQ157" s="293"/>
      <c r="CR157" s="293"/>
      <c r="CS157" s="293"/>
      <c r="CT157" s="293"/>
      <c r="CU157" s="293"/>
      <c r="CV157" s="293"/>
      <c r="CW157" s="293"/>
      <c r="CX157" s="293"/>
      <c r="CY157" s="293"/>
      <c r="CZ157" s="293"/>
      <c r="DA157" s="293"/>
      <c r="DB157" s="293"/>
      <c r="DC157" s="293"/>
      <c r="DD157" s="293"/>
      <c r="DE157" s="293"/>
      <c r="DF157" s="293"/>
      <c r="DG157" s="293"/>
      <c r="DH157" s="293"/>
      <c r="DI157" s="293"/>
      <c r="DJ157" s="293"/>
      <c r="DK157" s="293"/>
      <c r="DL157" s="293"/>
      <c r="DM157" s="293"/>
      <c r="DN157" s="293"/>
      <c r="DO157" s="293"/>
      <c r="DP157" s="293"/>
      <c r="DQ157" s="293"/>
      <c r="DR157" s="293"/>
      <c r="DS157" s="288"/>
      <c r="DT157" s="288"/>
      <c r="DU157" s="288"/>
      <c r="DV157" s="288"/>
      <c r="DW157" s="288"/>
      <c r="DX157" s="288"/>
      <c r="DY157" s="288"/>
      <c r="DZ157" s="288"/>
      <c r="EA157" s="288"/>
      <c r="EB157" s="288"/>
      <c r="EC157" s="288"/>
      <c r="ED157" s="288"/>
      <c r="EE157" s="288"/>
      <c r="EF157" s="288"/>
      <c r="EG157" s="288"/>
      <c r="EH157" s="288"/>
      <c r="EI157" s="288"/>
      <c r="EJ157" s="288"/>
      <c r="EK157" s="288"/>
      <c r="EL157" s="288"/>
      <c r="EM157" s="288"/>
      <c r="EN157" s="288"/>
      <c r="EO157" s="288"/>
      <c r="EP157" s="288"/>
      <c r="EQ157" s="288"/>
      <c r="ER157" s="288"/>
      <c r="ES157" s="288"/>
      <c r="ET157" s="288"/>
      <c r="EU157" s="288"/>
      <c r="EV157" s="288"/>
      <c r="EW157" s="288"/>
      <c r="EX157" s="288"/>
      <c r="EY157" s="288"/>
      <c r="EZ157" s="288"/>
      <c r="FA157" s="288"/>
      <c r="FB157" s="288"/>
      <c r="FC157" s="288"/>
      <c r="FD157" s="288"/>
      <c r="FE157" s="288"/>
      <c r="FF157" s="288"/>
      <c r="FG157" s="288"/>
      <c r="FH157" s="288"/>
    </row>
    <row r="158" ht="14.25" customHeight="1">
      <c r="A158" s="293"/>
      <c r="B158" s="293"/>
      <c r="C158" s="293"/>
      <c r="D158" s="293"/>
      <c r="E158" s="293"/>
      <c r="F158" s="293"/>
      <c r="G158" s="293"/>
      <c r="H158" s="293"/>
      <c r="I158" s="293"/>
      <c r="J158" s="293"/>
      <c r="K158" s="293"/>
      <c r="L158" s="293"/>
      <c r="M158" s="293"/>
      <c r="N158" s="293"/>
      <c r="O158" s="293"/>
      <c r="P158" s="293"/>
      <c r="Q158" s="293"/>
      <c r="R158" s="293"/>
      <c r="S158" s="293"/>
      <c r="T158" s="293"/>
      <c r="U158" s="293"/>
      <c r="V158" s="293"/>
      <c r="W158" s="293"/>
      <c r="X158" s="293"/>
      <c r="Y158" s="293"/>
      <c r="Z158" s="293"/>
      <c r="AA158" s="293"/>
      <c r="AB158" s="293"/>
      <c r="AC158" s="293"/>
      <c r="AD158" s="293"/>
      <c r="AE158" s="293"/>
      <c r="AF158" s="293"/>
      <c r="AG158" s="293"/>
      <c r="AH158" s="293"/>
      <c r="AI158" s="293"/>
      <c r="AJ158" s="293"/>
      <c r="AK158" s="293"/>
      <c r="AL158" s="293"/>
      <c r="AM158" s="293"/>
      <c r="AN158" s="293"/>
      <c r="AO158" s="293"/>
      <c r="AP158" s="293"/>
      <c r="AQ158" s="293"/>
      <c r="AR158" s="293"/>
      <c r="AS158" s="293"/>
      <c r="AT158" s="293"/>
      <c r="AU158" s="293"/>
      <c r="AV158" s="293"/>
      <c r="AW158" s="293"/>
      <c r="AX158" s="293"/>
      <c r="AY158" s="293"/>
      <c r="AZ158" s="293"/>
      <c r="BA158" s="293"/>
      <c r="BB158" s="293"/>
      <c r="BC158" s="293"/>
      <c r="BD158" s="293"/>
      <c r="BE158" s="293"/>
      <c r="BF158" s="293"/>
      <c r="BG158" s="293"/>
      <c r="BH158" s="293"/>
      <c r="BI158" s="293"/>
      <c r="BJ158" s="293"/>
      <c r="BK158" s="293"/>
      <c r="BL158" s="293"/>
      <c r="BM158" s="293"/>
      <c r="BN158" s="293"/>
      <c r="BO158" s="293"/>
      <c r="BP158" s="293"/>
      <c r="BQ158" s="293"/>
      <c r="BR158" s="293"/>
      <c r="BS158" s="293"/>
      <c r="BT158" s="293"/>
      <c r="BU158" s="293"/>
      <c r="BV158" s="293"/>
      <c r="BW158" s="293"/>
      <c r="BX158" s="293"/>
      <c r="BY158" s="293"/>
      <c r="BZ158" s="293"/>
      <c r="CA158" s="293"/>
      <c r="CB158" s="293"/>
      <c r="CC158" s="293"/>
      <c r="CD158" s="293"/>
      <c r="CE158" s="293"/>
      <c r="CF158" s="293"/>
      <c r="CG158" s="293"/>
      <c r="CH158" s="293"/>
      <c r="CI158" s="293"/>
      <c r="CJ158" s="293"/>
      <c r="CK158" s="293"/>
      <c r="CL158" s="293"/>
      <c r="CM158" s="293"/>
      <c r="CN158" s="293"/>
      <c r="CO158" s="293"/>
      <c r="CP158" s="293"/>
      <c r="CQ158" s="293"/>
      <c r="CR158" s="293"/>
      <c r="CS158" s="293"/>
      <c r="CT158" s="293"/>
      <c r="CU158" s="293"/>
      <c r="CV158" s="293"/>
      <c r="CW158" s="293"/>
      <c r="CX158" s="293"/>
      <c r="CY158" s="293"/>
      <c r="CZ158" s="293"/>
      <c r="DA158" s="293"/>
      <c r="DB158" s="293"/>
      <c r="DC158" s="293"/>
      <c r="DD158" s="293"/>
      <c r="DE158" s="293"/>
      <c r="DF158" s="293"/>
      <c r="DG158" s="293"/>
      <c r="DH158" s="293"/>
      <c r="DI158" s="293"/>
      <c r="DJ158" s="293"/>
      <c r="DK158" s="293"/>
      <c r="DL158" s="293"/>
      <c r="DM158" s="293"/>
      <c r="DN158" s="293"/>
      <c r="DO158" s="293"/>
      <c r="DP158" s="293"/>
      <c r="DQ158" s="293"/>
      <c r="DR158" s="293"/>
      <c r="DS158" s="288"/>
      <c r="DT158" s="288"/>
      <c r="DU158" s="288"/>
      <c r="DV158" s="288"/>
      <c r="DW158" s="288"/>
      <c r="DX158" s="288"/>
      <c r="DY158" s="288"/>
      <c r="DZ158" s="288"/>
      <c r="EA158" s="288"/>
      <c r="EB158" s="288"/>
      <c r="EC158" s="288"/>
      <c r="ED158" s="288"/>
      <c r="EE158" s="288"/>
      <c r="EF158" s="288"/>
      <c r="EG158" s="288"/>
      <c r="EH158" s="288"/>
      <c r="EI158" s="288"/>
      <c r="EJ158" s="288"/>
      <c r="EK158" s="288"/>
      <c r="EL158" s="288"/>
      <c r="EM158" s="288"/>
      <c r="EN158" s="288"/>
      <c r="EO158" s="288"/>
      <c r="EP158" s="288"/>
      <c r="EQ158" s="288"/>
      <c r="ER158" s="288"/>
      <c r="ES158" s="288"/>
      <c r="ET158" s="288"/>
      <c r="EU158" s="288"/>
      <c r="EV158" s="288"/>
      <c r="EW158" s="288"/>
      <c r="EX158" s="288"/>
      <c r="EY158" s="288"/>
      <c r="EZ158" s="288"/>
      <c r="FA158" s="288"/>
      <c r="FB158" s="288"/>
      <c r="FC158" s="288"/>
      <c r="FD158" s="288"/>
      <c r="FE158" s="288"/>
      <c r="FF158" s="288"/>
      <c r="FG158" s="288"/>
      <c r="FH158" s="288"/>
    </row>
    <row r="159" ht="14.25" customHeight="1">
      <c r="A159" s="293"/>
      <c r="B159" s="293"/>
      <c r="C159" s="293"/>
      <c r="D159" s="293"/>
      <c r="E159" s="293"/>
      <c r="F159" s="293"/>
      <c r="G159" s="293"/>
      <c r="H159" s="293"/>
      <c r="I159" s="293"/>
      <c r="J159" s="293"/>
      <c r="K159" s="293"/>
      <c r="L159" s="293"/>
      <c r="M159" s="293"/>
      <c r="N159" s="293"/>
      <c r="O159" s="293"/>
      <c r="P159" s="293"/>
      <c r="Q159" s="293"/>
      <c r="R159" s="293"/>
      <c r="S159" s="293"/>
      <c r="T159" s="293"/>
      <c r="U159" s="293"/>
      <c r="V159" s="293"/>
      <c r="W159" s="293"/>
      <c r="X159" s="293"/>
      <c r="Y159" s="293"/>
      <c r="Z159" s="293"/>
      <c r="AA159" s="293"/>
      <c r="AB159" s="293"/>
      <c r="AC159" s="293"/>
      <c r="AD159" s="293"/>
      <c r="AE159" s="293"/>
      <c r="AF159" s="293"/>
      <c r="AG159" s="293"/>
      <c r="AH159" s="293"/>
      <c r="AI159" s="293"/>
      <c r="AJ159" s="293"/>
      <c r="AK159" s="293"/>
      <c r="AL159" s="293"/>
      <c r="AM159" s="293"/>
      <c r="AN159" s="293"/>
      <c r="AO159" s="293"/>
      <c r="AP159" s="293"/>
      <c r="AQ159" s="293"/>
      <c r="AR159" s="293"/>
      <c r="AS159" s="293"/>
      <c r="AT159" s="293"/>
      <c r="AU159" s="293"/>
      <c r="AV159" s="293"/>
      <c r="AW159" s="293"/>
      <c r="AX159" s="293"/>
      <c r="AY159" s="293"/>
      <c r="AZ159" s="293"/>
      <c r="BA159" s="293"/>
      <c r="BB159" s="293"/>
      <c r="BC159" s="293"/>
      <c r="BD159" s="293"/>
      <c r="BE159" s="293"/>
      <c r="BF159" s="293"/>
      <c r="BG159" s="293"/>
      <c r="BH159" s="293"/>
      <c r="BI159" s="293"/>
      <c r="BJ159" s="293"/>
      <c r="BK159" s="293"/>
      <c r="BL159" s="293"/>
      <c r="BM159" s="293"/>
      <c r="BN159" s="293"/>
      <c r="BO159" s="293"/>
      <c r="BP159" s="293"/>
      <c r="BQ159" s="293"/>
      <c r="BR159" s="293"/>
      <c r="BS159" s="293"/>
      <c r="BT159" s="293"/>
      <c r="BU159" s="293"/>
      <c r="BV159" s="293"/>
      <c r="BW159" s="293"/>
      <c r="BX159" s="293"/>
      <c r="BY159" s="293"/>
      <c r="BZ159" s="293"/>
      <c r="CA159" s="293"/>
      <c r="CB159" s="293"/>
      <c r="CC159" s="293"/>
      <c r="CD159" s="293"/>
      <c r="CE159" s="293"/>
      <c r="CF159" s="293"/>
      <c r="CG159" s="293"/>
      <c r="CH159" s="293"/>
      <c r="CI159" s="293"/>
      <c r="CJ159" s="293"/>
      <c r="CK159" s="293"/>
      <c r="CL159" s="293"/>
      <c r="CM159" s="293"/>
      <c r="CN159" s="293"/>
      <c r="CO159" s="293"/>
      <c r="CP159" s="293"/>
      <c r="CQ159" s="293"/>
      <c r="CR159" s="293"/>
      <c r="CS159" s="293"/>
      <c r="CT159" s="293"/>
      <c r="CU159" s="293"/>
      <c r="CV159" s="293"/>
      <c r="CW159" s="293"/>
      <c r="CX159" s="293"/>
      <c r="CY159" s="293"/>
      <c r="CZ159" s="293"/>
      <c r="DA159" s="293"/>
      <c r="DB159" s="293"/>
      <c r="DC159" s="293"/>
      <c r="DD159" s="293"/>
      <c r="DE159" s="293"/>
      <c r="DF159" s="293"/>
      <c r="DG159" s="293"/>
      <c r="DH159" s="293"/>
      <c r="DI159" s="293"/>
      <c r="DJ159" s="293"/>
      <c r="DK159" s="293"/>
      <c r="DL159" s="293"/>
      <c r="DM159" s="293"/>
      <c r="DN159" s="293"/>
      <c r="DO159" s="293"/>
      <c r="DP159" s="293"/>
      <c r="DQ159" s="293"/>
      <c r="DR159" s="293"/>
      <c r="DS159" s="288"/>
      <c r="DT159" s="288"/>
      <c r="DU159" s="288"/>
      <c r="DV159" s="288"/>
      <c r="DW159" s="288"/>
      <c r="DX159" s="288"/>
      <c r="DY159" s="288"/>
      <c r="DZ159" s="288"/>
      <c r="EA159" s="288"/>
      <c r="EB159" s="288"/>
      <c r="EC159" s="288"/>
      <c r="ED159" s="288"/>
      <c r="EE159" s="288"/>
      <c r="EF159" s="288"/>
      <c r="EG159" s="288"/>
      <c r="EH159" s="288"/>
      <c r="EI159" s="288"/>
      <c r="EJ159" s="288"/>
      <c r="EK159" s="288"/>
      <c r="EL159" s="288"/>
      <c r="EM159" s="288"/>
      <c r="EN159" s="288"/>
      <c r="EO159" s="288"/>
      <c r="EP159" s="288"/>
      <c r="EQ159" s="288"/>
      <c r="ER159" s="288"/>
      <c r="ES159" s="288"/>
      <c r="ET159" s="288"/>
      <c r="EU159" s="288"/>
      <c r="EV159" s="288"/>
      <c r="EW159" s="288"/>
      <c r="EX159" s="288"/>
      <c r="EY159" s="288"/>
      <c r="EZ159" s="288"/>
      <c r="FA159" s="288"/>
      <c r="FB159" s="288"/>
      <c r="FC159" s="288"/>
      <c r="FD159" s="288"/>
      <c r="FE159" s="288"/>
      <c r="FF159" s="288"/>
      <c r="FG159" s="288"/>
      <c r="FH159" s="288"/>
    </row>
    <row r="160" ht="14.25" customHeight="1">
      <c r="A160" s="293"/>
      <c r="B160" s="293"/>
      <c r="C160" s="293"/>
      <c r="D160" s="293"/>
      <c r="E160" s="293"/>
      <c r="F160" s="293"/>
      <c r="G160" s="293"/>
      <c r="H160" s="293"/>
      <c r="I160" s="293"/>
      <c r="J160" s="293"/>
      <c r="K160" s="293"/>
      <c r="L160" s="293"/>
      <c r="M160" s="293"/>
      <c r="N160" s="293"/>
      <c r="O160" s="293"/>
      <c r="P160" s="293"/>
      <c r="Q160" s="293"/>
      <c r="R160" s="293"/>
      <c r="S160" s="293"/>
      <c r="T160" s="293"/>
      <c r="U160" s="293"/>
      <c r="V160" s="293"/>
      <c r="W160" s="293"/>
      <c r="X160" s="293"/>
      <c r="Y160" s="293"/>
      <c r="Z160" s="293"/>
      <c r="AA160" s="293"/>
      <c r="AB160" s="293"/>
      <c r="AC160" s="293"/>
      <c r="AD160" s="293"/>
      <c r="AE160" s="293"/>
      <c r="AF160" s="293"/>
      <c r="AG160" s="293"/>
      <c r="AH160" s="293"/>
      <c r="AI160" s="293"/>
      <c r="AJ160" s="293"/>
      <c r="AK160" s="293"/>
      <c r="AL160" s="293"/>
      <c r="AM160" s="293"/>
      <c r="AN160" s="293"/>
      <c r="AO160" s="293"/>
      <c r="AP160" s="293"/>
      <c r="AQ160" s="293"/>
      <c r="AR160" s="293"/>
      <c r="AS160" s="293"/>
      <c r="AT160" s="293"/>
      <c r="AU160" s="293"/>
      <c r="AV160" s="293"/>
      <c r="AW160" s="293"/>
      <c r="AX160" s="293"/>
      <c r="AY160" s="293"/>
      <c r="AZ160" s="293"/>
      <c r="BA160" s="293"/>
      <c r="BB160" s="293"/>
      <c r="BC160" s="293"/>
      <c r="BD160" s="293"/>
      <c r="BE160" s="293"/>
      <c r="BF160" s="293"/>
      <c r="BG160" s="293"/>
      <c r="BH160" s="293"/>
      <c r="BI160" s="293"/>
      <c r="BJ160" s="293"/>
      <c r="BK160" s="293"/>
      <c r="BL160" s="293"/>
      <c r="BM160" s="293"/>
      <c r="BN160" s="293"/>
      <c r="BO160" s="293"/>
      <c r="BP160" s="293"/>
      <c r="BQ160" s="293"/>
      <c r="BR160" s="293"/>
      <c r="BS160" s="293"/>
      <c r="BT160" s="293"/>
      <c r="BU160" s="293"/>
      <c r="BV160" s="293"/>
      <c r="BW160" s="293"/>
      <c r="BX160" s="293"/>
      <c r="BY160" s="293"/>
      <c r="BZ160" s="293"/>
      <c r="CA160" s="293"/>
      <c r="CB160" s="293"/>
      <c r="CC160" s="293"/>
      <c r="CD160" s="293"/>
      <c r="CE160" s="293"/>
      <c r="CF160" s="293"/>
      <c r="CG160" s="293"/>
      <c r="CH160" s="293"/>
      <c r="CI160" s="293"/>
      <c r="CJ160" s="293"/>
      <c r="CK160" s="293"/>
      <c r="CL160" s="293"/>
      <c r="CM160" s="293"/>
      <c r="CN160" s="293"/>
      <c r="CO160" s="293"/>
      <c r="CP160" s="293"/>
      <c r="CQ160" s="293"/>
      <c r="CR160" s="293"/>
      <c r="CS160" s="293"/>
      <c r="CT160" s="293"/>
      <c r="CU160" s="293"/>
      <c r="CV160" s="293"/>
      <c r="CW160" s="293"/>
      <c r="CX160" s="293"/>
      <c r="CY160" s="293"/>
      <c r="CZ160" s="293"/>
      <c r="DA160" s="293"/>
      <c r="DB160" s="293"/>
      <c r="DC160" s="293"/>
      <c r="DD160" s="293"/>
      <c r="DE160" s="293"/>
      <c r="DF160" s="293"/>
      <c r="DG160" s="293"/>
      <c r="DH160" s="293"/>
      <c r="DI160" s="293"/>
      <c r="DJ160" s="293"/>
      <c r="DK160" s="293"/>
      <c r="DL160" s="293"/>
      <c r="DM160" s="293"/>
      <c r="DN160" s="293"/>
      <c r="DO160" s="293"/>
      <c r="DP160" s="293"/>
      <c r="DQ160" s="293"/>
      <c r="DR160" s="293"/>
      <c r="DS160" s="288"/>
      <c r="DT160" s="288"/>
      <c r="DU160" s="288"/>
      <c r="DV160" s="288"/>
      <c r="DW160" s="288"/>
      <c r="DX160" s="288"/>
      <c r="DY160" s="288"/>
      <c r="DZ160" s="288"/>
      <c r="EA160" s="288"/>
      <c r="EB160" s="288"/>
      <c r="EC160" s="288"/>
      <c r="ED160" s="288"/>
      <c r="EE160" s="288"/>
      <c r="EF160" s="288"/>
      <c r="EG160" s="288"/>
      <c r="EH160" s="288"/>
      <c r="EI160" s="288"/>
      <c r="EJ160" s="288"/>
      <c r="EK160" s="288"/>
      <c r="EL160" s="288"/>
      <c r="EM160" s="288"/>
      <c r="EN160" s="288"/>
      <c r="EO160" s="288"/>
      <c r="EP160" s="288"/>
      <c r="EQ160" s="288"/>
      <c r="ER160" s="288"/>
      <c r="ES160" s="288"/>
      <c r="ET160" s="288"/>
      <c r="EU160" s="288"/>
      <c r="EV160" s="288"/>
      <c r="EW160" s="288"/>
      <c r="EX160" s="288"/>
      <c r="EY160" s="288"/>
      <c r="EZ160" s="288"/>
      <c r="FA160" s="288"/>
      <c r="FB160" s="288"/>
      <c r="FC160" s="288"/>
      <c r="FD160" s="288"/>
      <c r="FE160" s="288"/>
      <c r="FF160" s="288"/>
      <c r="FG160" s="288"/>
      <c r="FH160" s="288"/>
    </row>
    <row r="161" ht="14.25" customHeight="1">
      <c r="A161" s="293"/>
      <c r="B161" s="293"/>
      <c r="C161" s="293"/>
      <c r="D161" s="293"/>
      <c r="E161" s="293"/>
      <c r="F161" s="293"/>
      <c r="G161" s="293"/>
      <c r="H161" s="293"/>
      <c r="I161" s="293"/>
      <c r="J161" s="293"/>
      <c r="K161" s="293"/>
      <c r="L161" s="293"/>
      <c r="M161" s="293"/>
      <c r="N161" s="293"/>
      <c r="O161" s="293"/>
      <c r="P161" s="293"/>
      <c r="Q161" s="293"/>
      <c r="R161" s="293"/>
      <c r="S161" s="293"/>
      <c r="T161" s="293"/>
      <c r="U161" s="293"/>
      <c r="V161" s="293"/>
      <c r="W161" s="293"/>
      <c r="X161" s="293"/>
      <c r="Y161" s="293"/>
      <c r="Z161" s="293"/>
      <c r="AA161" s="293"/>
      <c r="AB161" s="293"/>
      <c r="AC161" s="293"/>
      <c r="AD161" s="293"/>
      <c r="AE161" s="293"/>
      <c r="AF161" s="293"/>
      <c r="AG161" s="293"/>
      <c r="AH161" s="293"/>
      <c r="AI161" s="293"/>
      <c r="AJ161" s="293"/>
      <c r="AK161" s="293"/>
      <c r="AL161" s="293"/>
      <c r="AM161" s="293"/>
      <c r="AN161" s="293"/>
      <c r="AO161" s="293"/>
      <c r="AP161" s="293"/>
      <c r="AQ161" s="293"/>
      <c r="AR161" s="293"/>
      <c r="AS161" s="293"/>
      <c r="AT161" s="293"/>
      <c r="AU161" s="293"/>
      <c r="AV161" s="293"/>
      <c r="AW161" s="293"/>
      <c r="AX161" s="293"/>
      <c r="AY161" s="293"/>
      <c r="AZ161" s="293"/>
      <c r="BA161" s="293"/>
      <c r="BB161" s="293"/>
      <c r="BC161" s="293"/>
      <c r="BD161" s="293"/>
      <c r="BE161" s="293"/>
      <c r="BF161" s="293"/>
      <c r="BG161" s="293"/>
      <c r="BH161" s="293"/>
      <c r="BI161" s="293"/>
      <c r="BJ161" s="293"/>
      <c r="BK161" s="293"/>
      <c r="BL161" s="293"/>
      <c r="BM161" s="293"/>
      <c r="BN161" s="293"/>
      <c r="BO161" s="293"/>
      <c r="BP161" s="293"/>
      <c r="BQ161" s="293"/>
      <c r="BR161" s="293"/>
      <c r="BS161" s="293"/>
      <c r="BT161" s="293"/>
      <c r="BU161" s="293"/>
      <c r="BV161" s="293"/>
      <c r="BW161" s="293"/>
      <c r="BX161" s="293"/>
      <c r="BY161" s="293"/>
      <c r="BZ161" s="293"/>
      <c r="CA161" s="293"/>
      <c r="CB161" s="293"/>
      <c r="CC161" s="293"/>
      <c r="CD161" s="293"/>
      <c r="CE161" s="293"/>
      <c r="CF161" s="293"/>
      <c r="CG161" s="293"/>
      <c r="CH161" s="293"/>
      <c r="CI161" s="293"/>
      <c r="CJ161" s="293"/>
      <c r="CK161" s="293"/>
      <c r="CL161" s="293"/>
      <c r="CM161" s="293"/>
      <c r="CN161" s="293"/>
      <c r="CO161" s="293"/>
      <c r="CP161" s="293"/>
      <c r="CQ161" s="293"/>
      <c r="CR161" s="293"/>
      <c r="CS161" s="293"/>
      <c r="CT161" s="293"/>
      <c r="CU161" s="293"/>
      <c r="CV161" s="293"/>
      <c r="CW161" s="293"/>
      <c r="CX161" s="293"/>
      <c r="CY161" s="293"/>
      <c r="CZ161" s="293"/>
      <c r="DA161" s="293"/>
      <c r="DB161" s="293"/>
      <c r="DC161" s="293"/>
      <c r="DD161" s="293"/>
      <c r="DE161" s="293"/>
      <c r="DF161" s="293"/>
      <c r="DG161" s="293"/>
      <c r="DH161" s="293"/>
      <c r="DI161" s="293"/>
      <c r="DJ161" s="293"/>
      <c r="DK161" s="293"/>
      <c r="DL161" s="293"/>
      <c r="DM161" s="293"/>
      <c r="DN161" s="293"/>
      <c r="DO161" s="293"/>
      <c r="DP161" s="293"/>
      <c r="DQ161" s="293"/>
      <c r="DR161" s="293"/>
      <c r="DS161" s="288"/>
      <c r="DT161" s="288"/>
      <c r="DU161" s="288"/>
      <c r="DV161" s="288"/>
      <c r="DW161" s="288"/>
      <c r="DX161" s="288"/>
      <c r="DY161" s="288"/>
      <c r="DZ161" s="288"/>
      <c r="EA161" s="288"/>
      <c r="EB161" s="288"/>
      <c r="EC161" s="288"/>
      <c r="ED161" s="288"/>
      <c r="EE161" s="288"/>
      <c r="EF161" s="288"/>
      <c r="EG161" s="288"/>
      <c r="EH161" s="288"/>
      <c r="EI161" s="288"/>
      <c r="EJ161" s="288"/>
      <c r="EK161" s="288"/>
      <c r="EL161" s="288"/>
      <c r="EM161" s="288"/>
      <c r="EN161" s="288"/>
      <c r="EO161" s="288"/>
      <c r="EP161" s="288"/>
      <c r="EQ161" s="288"/>
      <c r="ER161" s="288"/>
      <c r="ES161" s="288"/>
      <c r="ET161" s="288"/>
      <c r="EU161" s="288"/>
      <c r="EV161" s="288"/>
      <c r="EW161" s="288"/>
      <c r="EX161" s="288"/>
      <c r="EY161" s="288"/>
      <c r="EZ161" s="288"/>
      <c r="FA161" s="288"/>
      <c r="FB161" s="288"/>
      <c r="FC161" s="288"/>
      <c r="FD161" s="288"/>
      <c r="FE161" s="288"/>
      <c r="FF161" s="288"/>
      <c r="FG161" s="288"/>
      <c r="FH161" s="288"/>
    </row>
    <row r="162" ht="14.25" customHeight="1">
      <c r="A162" s="293"/>
      <c r="B162" s="293"/>
      <c r="C162" s="293"/>
      <c r="D162" s="293"/>
      <c r="E162" s="293"/>
      <c r="F162" s="293"/>
      <c r="G162" s="293"/>
      <c r="H162" s="293"/>
      <c r="I162" s="293"/>
      <c r="J162" s="293"/>
      <c r="K162" s="293"/>
      <c r="L162" s="293"/>
      <c r="M162" s="293"/>
      <c r="N162" s="293"/>
      <c r="O162" s="293"/>
      <c r="P162" s="293"/>
      <c r="Q162" s="293"/>
      <c r="R162" s="293"/>
      <c r="S162" s="293"/>
      <c r="T162" s="293"/>
      <c r="U162" s="293"/>
      <c r="V162" s="293"/>
      <c r="W162" s="293"/>
      <c r="X162" s="293"/>
      <c r="Y162" s="293"/>
      <c r="Z162" s="293"/>
      <c r="AA162" s="293"/>
      <c r="AB162" s="293"/>
      <c r="AC162" s="293"/>
      <c r="AD162" s="293"/>
      <c r="AE162" s="293"/>
      <c r="AF162" s="293"/>
      <c r="AG162" s="293"/>
      <c r="AH162" s="293"/>
      <c r="AI162" s="293"/>
      <c r="AJ162" s="293"/>
      <c r="AK162" s="293"/>
      <c r="AL162" s="293"/>
      <c r="AM162" s="293"/>
      <c r="AN162" s="293"/>
      <c r="AO162" s="293"/>
      <c r="AP162" s="293"/>
      <c r="AQ162" s="293"/>
      <c r="AR162" s="293"/>
      <c r="AS162" s="293"/>
      <c r="AT162" s="293"/>
      <c r="AU162" s="293"/>
      <c r="AV162" s="293"/>
      <c r="AW162" s="293"/>
      <c r="AX162" s="293"/>
      <c r="AY162" s="293"/>
      <c r="AZ162" s="293"/>
      <c r="BA162" s="293"/>
      <c r="BB162" s="293"/>
      <c r="BC162" s="293"/>
      <c r="BD162" s="293"/>
      <c r="BE162" s="293"/>
      <c r="BF162" s="293"/>
      <c r="BG162" s="293"/>
      <c r="BH162" s="293"/>
      <c r="BI162" s="293"/>
      <c r="BJ162" s="293"/>
      <c r="BK162" s="293"/>
      <c r="BL162" s="293"/>
      <c r="BM162" s="293"/>
      <c r="BN162" s="293"/>
      <c r="BO162" s="293"/>
      <c r="BP162" s="293"/>
      <c r="BQ162" s="293"/>
      <c r="BR162" s="293"/>
      <c r="BS162" s="293"/>
      <c r="BT162" s="293"/>
      <c r="BU162" s="293"/>
      <c r="BV162" s="293"/>
      <c r="BW162" s="293"/>
      <c r="BX162" s="293"/>
      <c r="BY162" s="293"/>
      <c r="BZ162" s="293"/>
      <c r="CA162" s="293"/>
      <c r="CB162" s="293"/>
      <c r="CC162" s="293"/>
      <c r="CD162" s="293"/>
      <c r="CE162" s="293"/>
      <c r="CF162" s="293"/>
      <c r="CG162" s="293"/>
      <c r="CH162" s="293"/>
      <c r="CI162" s="293"/>
      <c r="CJ162" s="293"/>
      <c r="CK162" s="293"/>
      <c r="CL162" s="293"/>
      <c r="CM162" s="293"/>
      <c r="CN162" s="293"/>
      <c r="CO162" s="293"/>
      <c r="CP162" s="293"/>
      <c r="CQ162" s="293"/>
      <c r="CR162" s="293"/>
      <c r="CS162" s="293"/>
      <c r="CT162" s="293"/>
      <c r="CU162" s="293"/>
      <c r="CV162" s="293"/>
      <c r="CW162" s="293"/>
      <c r="CX162" s="293"/>
      <c r="CY162" s="293"/>
      <c r="CZ162" s="293"/>
      <c r="DA162" s="293"/>
      <c r="DB162" s="293"/>
      <c r="DC162" s="293"/>
      <c r="DD162" s="293"/>
      <c r="DE162" s="293"/>
      <c r="DF162" s="293"/>
      <c r="DG162" s="293"/>
      <c r="DH162" s="293"/>
      <c r="DI162" s="293"/>
      <c r="DJ162" s="293"/>
      <c r="DK162" s="293"/>
      <c r="DL162" s="293"/>
      <c r="DM162" s="293"/>
      <c r="DN162" s="293"/>
      <c r="DO162" s="293"/>
      <c r="DP162" s="293"/>
      <c r="DQ162" s="293"/>
      <c r="DR162" s="293"/>
      <c r="DS162" s="288"/>
      <c r="DT162" s="288"/>
      <c r="DU162" s="288"/>
      <c r="DV162" s="288"/>
      <c r="DW162" s="288"/>
      <c r="DX162" s="288"/>
      <c r="DY162" s="288"/>
      <c r="DZ162" s="288"/>
      <c r="EA162" s="288"/>
      <c r="EB162" s="288"/>
      <c r="EC162" s="288"/>
      <c r="ED162" s="288"/>
      <c r="EE162" s="288"/>
      <c r="EF162" s="288"/>
      <c r="EG162" s="288"/>
      <c r="EH162" s="288"/>
      <c r="EI162" s="288"/>
      <c r="EJ162" s="288"/>
      <c r="EK162" s="288"/>
      <c r="EL162" s="288"/>
      <c r="EM162" s="288"/>
      <c r="EN162" s="288"/>
      <c r="EO162" s="288"/>
      <c r="EP162" s="288"/>
      <c r="EQ162" s="288"/>
      <c r="ER162" s="288"/>
      <c r="ES162" s="288"/>
      <c r="ET162" s="288"/>
      <c r="EU162" s="288"/>
      <c r="EV162" s="288"/>
      <c r="EW162" s="288"/>
      <c r="EX162" s="288"/>
      <c r="EY162" s="288"/>
      <c r="EZ162" s="288"/>
      <c r="FA162" s="288"/>
      <c r="FB162" s="288"/>
      <c r="FC162" s="288"/>
      <c r="FD162" s="288"/>
      <c r="FE162" s="288"/>
      <c r="FF162" s="288"/>
      <c r="FG162" s="288"/>
      <c r="FH162" s="288"/>
    </row>
    <row r="163" ht="14.25" customHeight="1">
      <c r="A163" s="293"/>
      <c r="B163" s="293"/>
      <c r="C163" s="293"/>
      <c r="D163" s="293"/>
      <c r="E163" s="293"/>
      <c r="F163" s="293"/>
      <c r="G163" s="293"/>
      <c r="H163" s="293"/>
      <c r="I163" s="293"/>
      <c r="J163" s="293"/>
      <c r="K163" s="293"/>
      <c r="L163" s="293"/>
      <c r="M163" s="293"/>
      <c r="N163" s="293"/>
      <c r="O163" s="293"/>
      <c r="P163" s="293"/>
      <c r="Q163" s="293"/>
      <c r="R163" s="293"/>
      <c r="S163" s="293"/>
      <c r="T163" s="293"/>
      <c r="U163" s="293"/>
      <c r="V163" s="293"/>
      <c r="W163" s="293"/>
      <c r="X163" s="293"/>
      <c r="Y163" s="293"/>
      <c r="Z163" s="293"/>
      <c r="AA163" s="293"/>
      <c r="AB163" s="293"/>
      <c r="AC163" s="293"/>
      <c r="AD163" s="293"/>
      <c r="AE163" s="293"/>
      <c r="AF163" s="293"/>
      <c r="AG163" s="293"/>
      <c r="AH163" s="293"/>
      <c r="AI163" s="293"/>
      <c r="AJ163" s="293"/>
      <c r="AK163" s="293"/>
      <c r="AL163" s="293"/>
      <c r="AM163" s="293"/>
      <c r="AN163" s="293"/>
      <c r="AO163" s="293"/>
      <c r="AP163" s="293"/>
      <c r="AQ163" s="293"/>
      <c r="AR163" s="293"/>
      <c r="AS163" s="293"/>
      <c r="AT163" s="293"/>
      <c r="AU163" s="293"/>
      <c r="AV163" s="293"/>
      <c r="AW163" s="293"/>
      <c r="AX163" s="293"/>
      <c r="AY163" s="293"/>
      <c r="AZ163" s="293"/>
      <c r="BA163" s="293"/>
      <c r="BB163" s="293"/>
      <c r="BC163" s="293"/>
      <c r="BD163" s="293"/>
      <c r="BE163" s="293"/>
      <c r="BF163" s="293"/>
      <c r="BG163" s="293"/>
      <c r="BH163" s="293"/>
      <c r="BI163" s="293"/>
      <c r="BJ163" s="293"/>
      <c r="BK163" s="293"/>
      <c r="BL163" s="293"/>
      <c r="BM163" s="293"/>
      <c r="BN163" s="293"/>
      <c r="BO163" s="293"/>
      <c r="BP163" s="293"/>
      <c r="BQ163" s="293"/>
      <c r="BR163" s="293"/>
      <c r="BS163" s="293"/>
      <c r="BT163" s="293"/>
      <c r="BU163" s="293"/>
      <c r="BV163" s="293"/>
      <c r="BW163" s="293"/>
      <c r="BX163" s="293"/>
      <c r="BY163" s="293"/>
      <c r="BZ163" s="293"/>
      <c r="CA163" s="293"/>
      <c r="CB163" s="293"/>
      <c r="CC163" s="293"/>
      <c r="CD163" s="293"/>
      <c r="CE163" s="293"/>
      <c r="CF163" s="293"/>
      <c r="CG163" s="293"/>
      <c r="CH163" s="293"/>
      <c r="CI163" s="293"/>
      <c r="CJ163" s="293"/>
      <c r="CK163" s="293"/>
      <c r="CL163" s="293"/>
      <c r="CM163" s="293"/>
      <c r="CN163" s="293"/>
      <c r="CO163" s="293"/>
      <c r="CP163" s="293"/>
      <c r="CQ163" s="293"/>
      <c r="CR163" s="293"/>
      <c r="CS163" s="293"/>
      <c r="CT163" s="293"/>
      <c r="CU163" s="293"/>
      <c r="CV163" s="293"/>
      <c r="CW163" s="293"/>
      <c r="CX163" s="293"/>
      <c r="CY163" s="293"/>
      <c r="CZ163" s="293"/>
      <c r="DA163" s="293"/>
      <c r="DB163" s="293"/>
      <c r="DC163" s="293"/>
      <c r="DD163" s="293"/>
      <c r="DE163" s="293"/>
      <c r="DF163" s="293"/>
      <c r="DG163" s="293"/>
      <c r="DH163" s="293"/>
      <c r="DI163" s="293"/>
      <c r="DJ163" s="293"/>
      <c r="DK163" s="293"/>
      <c r="DL163" s="293"/>
      <c r="DM163" s="293"/>
      <c r="DN163" s="293"/>
      <c r="DO163" s="293"/>
      <c r="DP163" s="293"/>
      <c r="DQ163" s="293"/>
      <c r="DR163" s="293"/>
      <c r="DS163" s="288"/>
      <c r="DT163" s="288"/>
      <c r="DU163" s="288"/>
      <c r="DV163" s="288"/>
      <c r="DW163" s="288"/>
      <c r="DX163" s="288"/>
      <c r="DY163" s="288"/>
      <c r="DZ163" s="288"/>
      <c r="EA163" s="288"/>
      <c r="EB163" s="288"/>
      <c r="EC163" s="288"/>
      <c r="ED163" s="288"/>
      <c r="EE163" s="288"/>
      <c r="EF163" s="288"/>
      <c r="EG163" s="288"/>
      <c r="EH163" s="288"/>
      <c r="EI163" s="288"/>
      <c r="EJ163" s="288"/>
      <c r="EK163" s="288"/>
      <c r="EL163" s="288"/>
      <c r="EM163" s="288"/>
      <c r="EN163" s="288"/>
      <c r="EO163" s="288"/>
      <c r="EP163" s="288"/>
      <c r="EQ163" s="288"/>
      <c r="ER163" s="288"/>
      <c r="ES163" s="288"/>
      <c r="ET163" s="288"/>
      <c r="EU163" s="288"/>
      <c r="EV163" s="288"/>
      <c r="EW163" s="288"/>
      <c r="EX163" s="288"/>
      <c r="EY163" s="288"/>
      <c r="EZ163" s="288"/>
      <c r="FA163" s="288"/>
      <c r="FB163" s="288"/>
      <c r="FC163" s="288"/>
      <c r="FD163" s="288"/>
      <c r="FE163" s="288"/>
      <c r="FF163" s="288"/>
      <c r="FG163" s="288"/>
      <c r="FH163" s="288"/>
    </row>
    <row r="164" ht="14.25" customHeight="1">
      <c r="A164" s="293"/>
      <c r="B164" s="293"/>
      <c r="C164" s="293"/>
      <c r="D164" s="293"/>
      <c r="E164" s="293"/>
      <c r="F164" s="293"/>
      <c r="G164" s="293"/>
      <c r="H164" s="293"/>
      <c r="I164" s="293"/>
      <c r="J164" s="293"/>
      <c r="K164" s="293"/>
      <c r="L164" s="293"/>
      <c r="M164" s="293"/>
      <c r="N164" s="293"/>
      <c r="O164" s="293"/>
      <c r="P164" s="293"/>
      <c r="Q164" s="293"/>
      <c r="R164" s="293"/>
      <c r="S164" s="293"/>
      <c r="T164" s="293"/>
      <c r="U164" s="293"/>
      <c r="V164" s="293"/>
      <c r="W164" s="293"/>
      <c r="X164" s="293"/>
      <c r="Y164" s="293"/>
      <c r="Z164" s="293"/>
      <c r="AA164" s="293"/>
      <c r="AB164" s="293"/>
      <c r="AC164" s="293"/>
      <c r="AD164" s="293"/>
      <c r="AE164" s="293"/>
      <c r="AF164" s="293"/>
      <c r="AG164" s="293"/>
      <c r="AH164" s="293"/>
      <c r="AI164" s="293"/>
      <c r="AJ164" s="293"/>
      <c r="AK164" s="293"/>
      <c r="AL164" s="293"/>
      <c r="AM164" s="293"/>
      <c r="AN164" s="293"/>
      <c r="AO164" s="293"/>
      <c r="AP164" s="293"/>
      <c r="AQ164" s="293"/>
      <c r="AR164" s="293"/>
      <c r="AS164" s="293"/>
      <c r="AT164" s="293"/>
      <c r="AU164" s="293"/>
      <c r="AV164" s="293"/>
      <c r="AW164" s="293"/>
      <c r="AX164" s="293"/>
      <c r="AY164" s="293"/>
      <c r="AZ164" s="293"/>
      <c r="BA164" s="293"/>
      <c r="BB164" s="293"/>
      <c r="BC164" s="293"/>
      <c r="BD164" s="293"/>
      <c r="BE164" s="293"/>
      <c r="BF164" s="293"/>
      <c r="BG164" s="293"/>
      <c r="BH164" s="293"/>
      <c r="BI164" s="293"/>
      <c r="BJ164" s="293"/>
      <c r="BK164" s="293"/>
      <c r="BL164" s="293"/>
      <c r="BM164" s="293"/>
      <c r="BN164" s="293"/>
      <c r="BO164" s="293"/>
      <c r="BP164" s="293"/>
      <c r="BQ164" s="293"/>
      <c r="BR164" s="293"/>
      <c r="BS164" s="293"/>
      <c r="BT164" s="293"/>
      <c r="BU164" s="293"/>
      <c r="BV164" s="293"/>
      <c r="BW164" s="293"/>
      <c r="BX164" s="293"/>
      <c r="BY164" s="293"/>
      <c r="BZ164" s="293"/>
      <c r="CA164" s="293"/>
      <c r="CB164" s="293"/>
      <c r="CC164" s="293"/>
      <c r="CD164" s="293"/>
      <c r="CE164" s="293"/>
      <c r="CF164" s="293"/>
      <c r="CG164" s="293"/>
      <c r="CH164" s="293"/>
      <c r="CI164" s="293"/>
      <c r="CJ164" s="293"/>
      <c r="CK164" s="293"/>
      <c r="CL164" s="293"/>
      <c r="CM164" s="293"/>
      <c r="CN164" s="293"/>
      <c r="CO164" s="293"/>
      <c r="CP164" s="293"/>
      <c r="CQ164" s="293"/>
      <c r="CR164" s="293"/>
      <c r="CS164" s="293"/>
      <c r="CT164" s="293"/>
      <c r="CU164" s="293"/>
      <c r="CV164" s="293"/>
      <c r="CW164" s="293"/>
      <c r="CX164" s="293"/>
      <c r="CY164" s="293"/>
      <c r="CZ164" s="293"/>
      <c r="DA164" s="293"/>
      <c r="DB164" s="293"/>
      <c r="DC164" s="293"/>
      <c r="DD164" s="293"/>
      <c r="DE164" s="293"/>
      <c r="DF164" s="293"/>
      <c r="DG164" s="293"/>
      <c r="DH164" s="293"/>
      <c r="DI164" s="293"/>
      <c r="DJ164" s="293"/>
      <c r="DK164" s="293"/>
      <c r="DL164" s="293"/>
      <c r="DM164" s="293"/>
      <c r="DN164" s="293"/>
      <c r="DO164" s="293"/>
      <c r="DP164" s="293"/>
      <c r="DQ164" s="293"/>
      <c r="DR164" s="293"/>
      <c r="DS164" s="288"/>
      <c r="DT164" s="288"/>
      <c r="DU164" s="288"/>
      <c r="DV164" s="288"/>
      <c r="DW164" s="288"/>
      <c r="DX164" s="288"/>
      <c r="DY164" s="288"/>
      <c r="DZ164" s="288"/>
      <c r="EA164" s="288"/>
      <c r="EB164" s="288"/>
      <c r="EC164" s="288"/>
      <c r="ED164" s="288"/>
      <c r="EE164" s="288"/>
      <c r="EF164" s="288"/>
      <c r="EG164" s="288"/>
      <c r="EH164" s="288"/>
      <c r="EI164" s="288"/>
      <c r="EJ164" s="288"/>
      <c r="EK164" s="288"/>
      <c r="EL164" s="288"/>
      <c r="EM164" s="288"/>
      <c r="EN164" s="288"/>
      <c r="EO164" s="288"/>
      <c r="EP164" s="288"/>
      <c r="EQ164" s="288"/>
      <c r="ER164" s="288"/>
      <c r="ES164" s="288"/>
      <c r="ET164" s="288"/>
      <c r="EU164" s="288"/>
      <c r="EV164" s="288"/>
      <c r="EW164" s="288"/>
      <c r="EX164" s="288"/>
      <c r="EY164" s="288"/>
      <c r="EZ164" s="288"/>
      <c r="FA164" s="288"/>
      <c r="FB164" s="288"/>
      <c r="FC164" s="288"/>
      <c r="FD164" s="288"/>
      <c r="FE164" s="288"/>
      <c r="FF164" s="288"/>
      <c r="FG164" s="288"/>
      <c r="FH164" s="288"/>
    </row>
    <row r="165" ht="14.25" customHeight="1">
      <c r="A165" s="293"/>
      <c r="B165" s="293"/>
      <c r="C165" s="293"/>
      <c r="D165" s="293"/>
      <c r="E165" s="293"/>
      <c r="F165" s="293"/>
      <c r="G165" s="293"/>
      <c r="H165" s="293"/>
      <c r="I165" s="293"/>
      <c r="J165" s="293"/>
      <c r="K165" s="293"/>
      <c r="L165" s="293"/>
      <c r="M165" s="293"/>
      <c r="N165" s="293"/>
      <c r="O165" s="293"/>
      <c r="P165" s="293"/>
      <c r="Q165" s="293"/>
      <c r="R165" s="293"/>
      <c r="S165" s="293"/>
      <c r="T165" s="293"/>
      <c r="U165" s="293"/>
      <c r="V165" s="293"/>
      <c r="W165" s="293"/>
      <c r="X165" s="293"/>
      <c r="Y165" s="293"/>
      <c r="Z165" s="293"/>
      <c r="AA165" s="293"/>
      <c r="AB165" s="293"/>
      <c r="AC165" s="293"/>
      <c r="AD165" s="293"/>
      <c r="AE165" s="293"/>
      <c r="AF165" s="293"/>
      <c r="AG165" s="293"/>
      <c r="AH165" s="293"/>
      <c r="AI165" s="293"/>
      <c r="AJ165" s="293"/>
      <c r="AK165" s="293"/>
      <c r="AL165" s="293"/>
      <c r="AM165" s="293"/>
      <c r="AN165" s="293"/>
      <c r="AO165" s="293"/>
      <c r="AP165" s="293"/>
      <c r="AQ165" s="293"/>
      <c r="AR165" s="293"/>
      <c r="AS165" s="293"/>
      <c r="AT165" s="293"/>
      <c r="AU165" s="293"/>
      <c r="AV165" s="293"/>
      <c r="AW165" s="293"/>
      <c r="AX165" s="293"/>
      <c r="AY165" s="293"/>
      <c r="AZ165" s="293"/>
      <c r="BA165" s="293"/>
      <c r="BB165" s="293"/>
      <c r="BC165" s="293"/>
      <c r="BD165" s="293"/>
      <c r="BE165" s="293"/>
      <c r="BF165" s="293"/>
      <c r="BG165" s="293"/>
      <c r="BH165" s="293"/>
      <c r="BI165" s="293"/>
      <c r="BJ165" s="293"/>
      <c r="BK165" s="293"/>
      <c r="BL165" s="293"/>
      <c r="BM165" s="293"/>
      <c r="BN165" s="293"/>
      <c r="BO165" s="293"/>
      <c r="BP165" s="293"/>
      <c r="BQ165" s="293"/>
      <c r="BR165" s="293"/>
      <c r="BS165" s="293"/>
      <c r="BT165" s="293"/>
      <c r="BU165" s="293"/>
      <c r="BV165" s="293"/>
      <c r="BW165" s="293"/>
      <c r="BX165" s="293"/>
      <c r="BY165" s="293"/>
      <c r="BZ165" s="293"/>
      <c r="CA165" s="293"/>
      <c r="CB165" s="293"/>
      <c r="CC165" s="293"/>
      <c r="CD165" s="293"/>
      <c r="CE165" s="293"/>
      <c r="CF165" s="293"/>
      <c r="CG165" s="293"/>
      <c r="CH165" s="293"/>
      <c r="CI165" s="293"/>
      <c r="CJ165" s="293"/>
      <c r="CK165" s="293"/>
      <c r="CL165" s="293"/>
      <c r="CM165" s="293"/>
      <c r="CN165" s="293"/>
      <c r="CO165" s="293"/>
      <c r="CP165" s="293"/>
      <c r="CQ165" s="293"/>
      <c r="CR165" s="293"/>
      <c r="CS165" s="293"/>
      <c r="CT165" s="293"/>
      <c r="CU165" s="293"/>
      <c r="CV165" s="293"/>
      <c r="CW165" s="293"/>
      <c r="CX165" s="293"/>
      <c r="CY165" s="293"/>
      <c r="CZ165" s="293"/>
      <c r="DA165" s="293"/>
      <c r="DB165" s="293"/>
      <c r="DC165" s="293"/>
      <c r="DD165" s="293"/>
      <c r="DE165" s="293"/>
      <c r="DF165" s="293"/>
      <c r="DG165" s="293"/>
      <c r="DH165" s="293"/>
      <c r="DI165" s="293"/>
      <c r="DJ165" s="293"/>
      <c r="DK165" s="293"/>
      <c r="DL165" s="293"/>
      <c r="DM165" s="293"/>
      <c r="DN165" s="293"/>
      <c r="DO165" s="293"/>
      <c r="DP165" s="293"/>
      <c r="DQ165" s="293"/>
      <c r="DR165" s="293"/>
      <c r="DS165" s="288"/>
      <c r="DT165" s="288"/>
      <c r="DU165" s="288"/>
      <c r="DV165" s="288"/>
      <c r="DW165" s="288"/>
      <c r="DX165" s="288"/>
      <c r="DY165" s="288"/>
      <c r="DZ165" s="288"/>
      <c r="EA165" s="288"/>
      <c r="EB165" s="288"/>
      <c r="EC165" s="288"/>
      <c r="ED165" s="288"/>
      <c r="EE165" s="288"/>
      <c r="EF165" s="288"/>
      <c r="EG165" s="288"/>
      <c r="EH165" s="288"/>
      <c r="EI165" s="288"/>
      <c r="EJ165" s="288"/>
      <c r="EK165" s="288"/>
      <c r="EL165" s="288"/>
      <c r="EM165" s="288"/>
      <c r="EN165" s="288"/>
      <c r="EO165" s="288"/>
      <c r="EP165" s="288"/>
      <c r="EQ165" s="288"/>
      <c r="ER165" s="288"/>
      <c r="ES165" s="288"/>
      <c r="ET165" s="288"/>
      <c r="EU165" s="288"/>
      <c r="EV165" s="288"/>
      <c r="EW165" s="288"/>
      <c r="EX165" s="288"/>
      <c r="EY165" s="288"/>
      <c r="EZ165" s="288"/>
      <c r="FA165" s="288"/>
      <c r="FB165" s="288"/>
      <c r="FC165" s="288"/>
      <c r="FD165" s="288"/>
      <c r="FE165" s="288"/>
      <c r="FF165" s="288"/>
      <c r="FG165" s="288"/>
      <c r="FH165" s="288"/>
    </row>
    <row r="166" ht="14.25" customHeight="1">
      <c r="A166" s="293"/>
      <c r="B166" s="293"/>
      <c r="C166" s="293"/>
      <c r="D166" s="293"/>
      <c r="E166" s="293"/>
      <c r="F166" s="293"/>
      <c r="G166" s="293"/>
      <c r="H166" s="293"/>
      <c r="I166" s="293"/>
      <c r="J166" s="293"/>
      <c r="K166" s="293"/>
      <c r="L166" s="293"/>
      <c r="M166" s="293"/>
      <c r="N166" s="293"/>
      <c r="O166" s="293"/>
      <c r="P166" s="293"/>
      <c r="Q166" s="293"/>
      <c r="R166" s="293"/>
      <c r="S166" s="293"/>
      <c r="T166" s="293"/>
      <c r="U166" s="293"/>
      <c r="V166" s="293"/>
      <c r="W166" s="293"/>
      <c r="X166" s="293"/>
      <c r="Y166" s="293"/>
      <c r="Z166" s="293"/>
      <c r="AA166" s="293"/>
      <c r="AB166" s="293"/>
      <c r="AC166" s="293"/>
      <c r="AD166" s="293"/>
      <c r="AE166" s="293"/>
      <c r="AF166" s="293"/>
      <c r="AG166" s="293"/>
      <c r="AH166" s="293"/>
      <c r="AI166" s="293"/>
      <c r="AJ166" s="293"/>
      <c r="AK166" s="293"/>
      <c r="AL166" s="293"/>
      <c r="AM166" s="293"/>
      <c r="AN166" s="293"/>
      <c r="AO166" s="293"/>
      <c r="AP166" s="293"/>
      <c r="AQ166" s="293"/>
      <c r="AR166" s="293"/>
      <c r="AS166" s="293"/>
      <c r="AT166" s="293"/>
      <c r="AU166" s="293"/>
      <c r="AV166" s="293"/>
      <c r="AW166" s="293"/>
      <c r="AX166" s="293"/>
      <c r="AY166" s="293"/>
      <c r="AZ166" s="293"/>
      <c r="BA166" s="293"/>
      <c r="BB166" s="293"/>
      <c r="BC166" s="293"/>
      <c r="BD166" s="293"/>
      <c r="BE166" s="293"/>
      <c r="BF166" s="293"/>
      <c r="BG166" s="293"/>
      <c r="BH166" s="293"/>
      <c r="BI166" s="293"/>
      <c r="BJ166" s="293"/>
      <c r="BK166" s="293"/>
      <c r="BL166" s="293"/>
      <c r="BM166" s="293"/>
      <c r="BN166" s="293"/>
      <c r="BO166" s="293"/>
      <c r="BP166" s="293"/>
      <c r="BQ166" s="293"/>
      <c r="BR166" s="293"/>
      <c r="BS166" s="293"/>
      <c r="BT166" s="293"/>
      <c r="BU166" s="293"/>
      <c r="BV166" s="293"/>
      <c r="BW166" s="293"/>
      <c r="BX166" s="293"/>
      <c r="BY166" s="293"/>
      <c r="BZ166" s="293"/>
      <c r="CA166" s="293"/>
      <c r="CB166" s="293"/>
      <c r="CC166" s="293"/>
      <c r="CD166" s="293"/>
      <c r="CE166" s="293"/>
      <c r="CF166" s="293"/>
      <c r="CG166" s="293"/>
      <c r="CH166" s="293"/>
      <c r="CI166" s="293"/>
      <c r="CJ166" s="293"/>
      <c r="CK166" s="293"/>
      <c r="CL166" s="293"/>
      <c r="CM166" s="293"/>
      <c r="CN166" s="293"/>
      <c r="CO166" s="293"/>
      <c r="CP166" s="293"/>
      <c r="CQ166" s="293"/>
      <c r="CR166" s="293"/>
      <c r="CS166" s="293"/>
      <c r="CT166" s="293"/>
      <c r="CU166" s="293"/>
      <c r="CV166" s="293"/>
      <c r="CW166" s="293"/>
      <c r="CX166" s="293"/>
      <c r="CY166" s="293"/>
      <c r="CZ166" s="293"/>
      <c r="DA166" s="293"/>
      <c r="DB166" s="293"/>
      <c r="DC166" s="293"/>
      <c r="DD166" s="293"/>
      <c r="DE166" s="293"/>
      <c r="DF166" s="293"/>
      <c r="DG166" s="293"/>
      <c r="DH166" s="293"/>
      <c r="DI166" s="293"/>
      <c r="DJ166" s="293"/>
      <c r="DK166" s="293"/>
      <c r="DL166" s="293"/>
      <c r="DM166" s="293"/>
      <c r="DN166" s="293"/>
      <c r="DO166" s="293"/>
      <c r="DP166" s="293"/>
      <c r="DQ166" s="293"/>
      <c r="DR166" s="293"/>
      <c r="DS166" s="288"/>
      <c r="DT166" s="288"/>
      <c r="DU166" s="288"/>
      <c r="DV166" s="288"/>
      <c r="DW166" s="288"/>
      <c r="DX166" s="288"/>
      <c r="DY166" s="288"/>
      <c r="DZ166" s="288"/>
      <c r="EA166" s="288"/>
      <c r="EB166" s="288"/>
      <c r="EC166" s="288"/>
      <c r="ED166" s="288"/>
      <c r="EE166" s="288"/>
      <c r="EF166" s="288"/>
      <c r="EG166" s="288"/>
      <c r="EH166" s="288"/>
      <c r="EI166" s="288"/>
      <c r="EJ166" s="288"/>
      <c r="EK166" s="288"/>
      <c r="EL166" s="288"/>
      <c r="EM166" s="288"/>
      <c r="EN166" s="288"/>
      <c r="EO166" s="288"/>
      <c r="EP166" s="288"/>
      <c r="EQ166" s="288"/>
      <c r="ER166" s="288"/>
      <c r="ES166" s="288"/>
      <c r="ET166" s="288"/>
      <c r="EU166" s="288"/>
      <c r="EV166" s="288"/>
      <c r="EW166" s="288"/>
      <c r="EX166" s="288"/>
      <c r="EY166" s="288"/>
      <c r="EZ166" s="288"/>
      <c r="FA166" s="288"/>
      <c r="FB166" s="288"/>
      <c r="FC166" s="288"/>
      <c r="FD166" s="288"/>
      <c r="FE166" s="288"/>
      <c r="FF166" s="288"/>
      <c r="FG166" s="288"/>
      <c r="FH166" s="288"/>
    </row>
    <row r="167" ht="14.25" customHeight="1">
      <c r="A167" s="293"/>
      <c r="B167" s="293"/>
      <c r="C167" s="293"/>
      <c r="D167" s="293"/>
      <c r="E167" s="293"/>
      <c r="F167" s="293"/>
      <c r="G167" s="293"/>
      <c r="H167" s="293"/>
      <c r="I167" s="293"/>
      <c r="J167" s="293"/>
      <c r="K167" s="293"/>
      <c r="L167" s="293"/>
      <c r="M167" s="293"/>
      <c r="N167" s="293"/>
      <c r="O167" s="293"/>
      <c r="P167" s="293"/>
      <c r="Q167" s="293"/>
      <c r="R167" s="293"/>
      <c r="S167" s="293"/>
      <c r="T167" s="293"/>
      <c r="U167" s="293"/>
      <c r="V167" s="293"/>
      <c r="W167" s="293"/>
      <c r="X167" s="293"/>
      <c r="Y167" s="293"/>
      <c r="Z167" s="293"/>
      <c r="AA167" s="293"/>
      <c r="AB167" s="293"/>
      <c r="AC167" s="293"/>
      <c r="AD167" s="293"/>
      <c r="AE167" s="293"/>
      <c r="AF167" s="293"/>
      <c r="AG167" s="293"/>
      <c r="AH167" s="293"/>
      <c r="AI167" s="293"/>
      <c r="AJ167" s="293"/>
      <c r="AK167" s="293"/>
      <c r="AL167" s="293"/>
      <c r="AM167" s="293"/>
      <c r="AN167" s="293"/>
      <c r="AO167" s="293"/>
      <c r="AP167" s="293"/>
      <c r="AQ167" s="293"/>
      <c r="AR167" s="293"/>
      <c r="AS167" s="293"/>
      <c r="AT167" s="293"/>
      <c r="AU167" s="293"/>
      <c r="AV167" s="293"/>
      <c r="AW167" s="293"/>
      <c r="AX167" s="293"/>
      <c r="AY167" s="293"/>
      <c r="AZ167" s="293"/>
      <c r="BA167" s="293"/>
      <c r="BB167" s="293"/>
      <c r="BC167" s="293"/>
      <c r="BD167" s="293"/>
      <c r="BE167" s="293"/>
      <c r="BF167" s="293"/>
      <c r="BG167" s="293"/>
      <c r="BH167" s="293"/>
      <c r="BI167" s="293"/>
      <c r="BJ167" s="293"/>
      <c r="BK167" s="293"/>
      <c r="BL167" s="293"/>
      <c r="BM167" s="293"/>
      <c r="BN167" s="293"/>
      <c r="BO167" s="293"/>
      <c r="BP167" s="293"/>
      <c r="BQ167" s="293"/>
      <c r="BR167" s="293"/>
      <c r="BS167" s="293"/>
      <c r="BT167" s="293"/>
      <c r="BU167" s="293"/>
      <c r="BV167" s="293"/>
      <c r="BW167" s="293"/>
      <c r="BX167" s="293"/>
      <c r="BY167" s="293"/>
      <c r="BZ167" s="293"/>
      <c r="CA167" s="293"/>
      <c r="CB167" s="293"/>
      <c r="CC167" s="293"/>
      <c r="CD167" s="293"/>
      <c r="CE167" s="293"/>
      <c r="CF167" s="293"/>
      <c r="CG167" s="293"/>
      <c r="CH167" s="293"/>
      <c r="CI167" s="293"/>
      <c r="CJ167" s="293"/>
      <c r="CK167" s="293"/>
      <c r="CL167" s="293"/>
      <c r="CM167" s="293"/>
      <c r="CN167" s="293"/>
      <c r="CO167" s="293"/>
      <c r="CP167" s="293"/>
      <c r="CQ167" s="293"/>
      <c r="CR167" s="293"/>
      <c r="CS167" s="293"/>
      <c r="CT167" s="293"/>
      <c r="CU167" s="293"/>
      <c r="CV167" s="293"/>
      <c r="CW167" s="293"/>
      <c r="CX167" s="293"/>
      <c r="CY167" s="293"/>
      <c r="CZ167" s="293"/>
      <c r="DA167" s="293"/>
      <c r="DB167" s="293"/>
      <c r="DC167" s="293"/>
      <c r="DD167" s="293"/>
      <c r="DE167" s="293"/>
      <c r="DF167" s="293"/>
      <c r="DG167" s="293"/>
      <c r="DH167" s="293"/>
      <c r="DI167" s="293"/>
      <c r="DJ167" s="293"/>
      <c r="DK167" s="293"/>
      <c r="DL167" s="293"/>
      <c r="DM167" s="293"/>
      <c r="DN167" s="293"/>
      <c r="DO167" s="293"/>
      <c r="DP167" s="293"/>
      <c r="DQ167" s="293"/>
      <c r="DR167" s="293"/>
      <c r="DS167" s="288"/>
      <c r="DT167" s="288"/>
      <c r="DU167" s="288"/>
      <c r="DV167" s="288"/>
      <c r="DW167" s="288"/>
      <c r="DX167" s="288"/>
      <c r="DY167" s="288"/>
      <c r="DZ167" s="288"/>
      <c r="EA167" s="288"/>
      <c r="EB167" s="288"/>
      <c r="EC167" s="288"/>
      <c r="ED167" s="288"/>
      <c r="EE167" s="288"/>
      <c r="EF167" s="288"/>
      <c r="EG167" s="288"/>
      <c r="EH167" s="288"/>
      <c r="EI167" s="288"/>
      <c r="EJ167" s="288"/>
      <c r="EK167" s="288"/>
      <c r="EL167" s="288"/>
      <c r="EM167" s="288"/>
      <c r="EN167" s="288"/>
      <c r="EO167" s="288"/>
      <c r="EP167" s="288"/>
      <c r="EQ167" s="288"/>
      <c r="ER167" s="288"/>
      <c r="ES167" s="288"/>
      <c r="ET167" s="288"/>
      <c r="EU167" s="288"/>
      <c r="EV167" s="288"/>
      <c r="EW167" s="288"/>
      <c r="EX167" s="288"/>
      <c r="EY167" s="288"/>
      <c r="EZ167" s="288"/>
      <c r="FA167" s="288"/>
      <c r="FB167" s="288"/>
      <c r="FC167" s="288"/>
      <c r="FD167" s="288"/>
      <c r="FE167" s="288"/>
      <c r="FF167" s="288"/>
      <c r="FG167" s="288"/>
      <c r="FH167" s="288"/>
    </row>
    <row r="168" ht="14.25" customHeight="1">
      <c r="A168" s="293"/>
      <c r="B168" s="293"/>
      <c r="C168" s="293"/>
      <c r="D168" s="293"/>
      <c r="E168" s="293"/>
      <c r="F168" s="293"/>
      <c r="G168" s="293"/>
      <c r="H168" s="293"/>
      <c r="I168" s="293"/>
      <c r="J168" s="293"/>
      <c r="K168" s="293"/>
      <c r="L168" s="293"/>
      <c r="M168" s="293"/>
      <c r="N168" s="293"/>
      <c r="O168" s="293"/>
      <c r="P168" s="293"/>
      <c r="Q168" s="293"/>
      <c r="R168" s="293"/>
      <c r="S168" s="293"/>
      <c r="T168" s="293"/>
      <c r="U168" s="293"/>
      <c r="V168" s="293"/>
      <c r="W168" s="293"/>
      <c r="X168" s="293"/>
      <c r="Y168" s="293"/>
      <c r="Z168" s="293"/>
      <c r="AA168" s="293"/>
      <c r="AB168" s="293"/>
      <c r="AC168" s="293"/>
      <c r="AD168" s="293"/>
      <c r="AE168" s="293"/>
      <c r="AF168" s="293"/>
      <c r="AG168" s="293"/>
      <c r="AH168" s="293"/>
      <c r="AI168" s="293"/>
      <c r="AJ168" s="293"/>
      <c r="AK168" s="293"/>
      <c r="AL168" s="293"/>
      <c r="AM168" s="293"/>
      <c r="AN168" s="293"/>
      <c r="AO168" s="293"/>
      <c r="AP168" s="293"/>
      <c r="AQ168" s="293"/>
      <c r="AR168" s="293"/>
      <c r="AS168" s="293"/>
      <c r="AT168" s="293"/>
      <c r="AU168" s="293"/>
      <c r="AV168" s="293"/>
      <c r="AW168" s="293"/>
      <c r="AX168" s="293"/>
      <c r="AY168" s="293"/>
      <c r="AZ168" s="293"/>
      <c r="BA168" s="293"/>
      <c r="BB168" s="293"/>
      <c r="BC168" s="293"/>
      <c r="BD168" s="293"/>
      <c r="BE168" s="293"/>
      <c r="BF168" s="293"/>
      <c r="BG168" s="293"/>
      <c r="BH168" s="293"/>
      <c r="BI168" s="293"/>
      <c r="BJ168" s="293"/>
      <c r="BK168" s="293"/>
      <c r="BL168" s="293"/>
      <c r="BM168" s="293"/>
      <c r="BN168" s="293"/>
      <c r="BO168" s="293"/>
      <c r="BP168" s="293"/>
      <c r="BQ168" s="293"/>
      <c r="BR168" s="293"/>
      <c r="BS168" s="293"/>
      <c r="BT168" s="293"/>
      <c r="BU168" s="293"/>
      <c r="BV168" s="293"/>
      <c r="BW168" s="293"/>
      <c r="BX168" s="293"/>
      <c r="BY168" s="293"/>
      <c r="BZ168" s="293"/>
      <c r="CA168" s="293"/>
      <c r="CB168" s="293"/>
      <c r="CC168" s="293"/>
      <c r="CD168" s="293"/>
      <c r="CE168" s="293"/>
      <c r="CF168" s="293"/>
      <c r="CG168" s="293"/>
      <c r="CH168" s="293"/>
      <c r="CI168" s="293"/>
      <c r="CJ168" s="293"/>
      <c r="CK168" s="293"/>
      <c r="CL168" s="293"/>
      <c r="CM168" s="293"/>
      <c r="CN168" s="293"/>
      <c r="CO168" s="293"/>
      <c r="CP168" s="293"/>
      <c r="CQ168" s="293"/>
      <c r="CR168" s="293"/>
      <c r="CS168" s="293"/>
      <c r="CT168" s="293"/>
      <c r="CU168" s="293"/>
      <c r="CV168" s="293"/>
      <c r="CW168" s="293"/>
      <c r="CX168" s="293"/>
      <c r="CY168" s="293"/>
      <c r="CZ168" s="293"/>
      <c r="DA168" s="293"/>
      <c r="DB168" s="293"/>
      <c r="DC168" s="293"/>
      <c r="DD168" s="293"/>
      <c r="DE168" s="293"/>
      <c r="DF168" s="293"/>
      <c r="DG168" s="293"/>
      <c r="DH168" s="293"/>
      <c r="DI168" s="293"/>
      <c r="DJ168" s="293"/>
      <c r="DK168" s="293"/>
      <c r="DL168" s="293"/>
      <c r="DM168" s="293"/>
      <c r="DN168" s="293"/>
      <c r="DO168" s="293"/>
      <c r="DP168" s="293"/>
      <c r="DQ168" s="293"/>
      <c r="DR168" s="293"/>
      <c r="DS168" s="288"/>
      <c r="DT168" s="288"/>
      <c r="DU168" s="288"/>
      <c r="DV168" s="288"/>
      <c r="DW168" s="288"/>
      <c r="DX168" s="288"/>
      <c r="DY168" s="288"/>
      <c r="DZ168" s="288"/>
      <c r="EA168" s="288"/>
      <c r="EB168" s="288"/>
      <c r="EC168" s="288"/>
      <c r="ED168" s="288"/>
      <c r="EE168" s="288"/>
      <c r="EF168" s="288"/>
      <c r="EG168" s="288"/>
      <c r="EH168" s="288"/>
      <c r="EI168" s="288"/>
      <c r="EJ168" s="288"/>
      <c r="EK168" s="288"/>
      <c r="EL168" s="288"/>
      <c r="EM168" s="288"/>
      <c r="EN168" s="288"/>
      <c r="EO168" s="288"/>
      <c r="EP168" s="288"/>
      <c r="EQ168" s="288"/>
      <c r="ER168" s="288"/>
      <c r="ES168" s="288"/>
      <c r="ET168" s="288"/>
      <c r="EU168" s="288"/>
      <c r="EV168" s="288"/>
      <c r="EW168" s="288"/>
      <c r="EX168" s="288"/>
      <c r="EY168" s="288"/>
      <c r="EZ168" s="288"/>
      <c r="FA168" s="288"/>
      <c r="FB168" s="288"/>
      <c r="FC168" s="288"/>
      <c r="FD168" s="288"/>
      <c r="FE168" s="288"/>
      <c r="FF168" s="288"/>
      <c r="FG168" s="288"/>
      <c r="FH168" s="288"/>
    </row>
    <row r="169" ht="14.25" customHeight="1">
      <c r="A169" s="293"/>
      <c r="B169" s="293"/>
      <c r="C169" s="293"/>
      <c r="D169" s="293"/>
      <c r="E169" s="293"/>
      <c r="F169" s="293"/>
      <c r="G169" s="293"/>
      <c r="H169" s="293"/>
      <c r="I169" s="293"/>
      <c r="J169" s="293"/>
      <c r="K169" s="293"/>
      <c r="L169" s="293"/>
      <c r="M169" s="293"/>
      <c r="N169" s="293"/>
      <c r="O169" s="293"/>
      <c r="P169" s="293"/>
      <c r="Q169" s="293"/>
      <c r="R169" s="293"/>
      <c r="S169" s="293"/>
      <c r="T169" s="293"/>
      <c r="U169" s="293"/>
      <c r="V169" s="293"/>
      <c r="W169" s="293"/>
      <c r="X169" s="293"/>
      <c r="Y169" s="293"/>
      <c r="Z169" s="293"/>
      <c r="AA169" s="293"/>
      <c r="AB169" s="293"/>
      <c r="AC169" s="293"/>
      <c r="AD169" s="293"/>
      <c r="AE169" s="293"/>
      <c r="AF169" s="293"/>
      <c r="AG169" s="293"/>
      <c r="AH169" s="293"/>
      <c r="AI169" s="293"/>
      <c r="AJ169" s="293"/>
      <c r="AK169" s="293"/>
      <c r="AL169" s="293"/>
      <c r="AM169" s="293"/>
      <c r="AN169" s="293"/>
      <c r="AO169" s="293"/>
      <c r="AP169" s="293"/>
      <c r="AQ169" s="293"/>
      <c r="AR169" s="293"/>
      <c r="AS169" s="293"/>
      <c r="AT169" s="293"/>
      <c r="AU169" s="293"/>
      <c r="AV169" s="293"/>
      <c r="AW169" s="293"/>
      <c r="AX169" s="293"/>
      <c r="AY169" s="293"/>
      <c r="AZ169" s="293"/>
      <c r="BA169" s="293"/>
      <c r="BB169" s="293"/>
      <c r="BC169" s="293"/>
      <c r="BD169" s="293"/>
      <c r="BE169" s="293"/>
      <c r="BF169" s="293"/>
      <c r="BG169" s="293"/>
      <c r="BH169" s="293"/>
      <c r="BI169" s="293"/>
      <c r="BJ169" s="293"/>
      <c r="BK169" s="293"/>
      <c r="BL169" s="293"/>
      <c r="BM169" s="293"/>
      <c r="BN169" s="293"/>
      <c r="BO169" s="293"/>
      <c r="BP169" s="293"/>
      <c r="BQ169" s="293"/>
      <c r="BR169" s="293"/>
      <c r="BS169" s="293"/>
      <c r="BT169" s="293"/>
      <c r="BU169" s="293"/>
      <c r="BV169" s="293"/>
      <c r="BW169" s="293"/>
      <c r="BX169" s="293"/>
      <c r="BY169" s="293"/>
      <c r="BZ169" s="293"/>
      <c r="CA169" s="293"/>
      <c r="CB169" s="293"/>
      <c r="CC169" s="293"/>
      <c r="CD169" s="293"/>
      <c r="CE169" s="293"/>
      <c r="CF169" s="293"/>
      <c r="CG169" s="293"/>
      <c r="CH169" s="293"/>
      <c r="CI169" s="293"/>
      <c r="CJ169" s="293"/>
      <c r="CK169" s="293"/>
      <c r="CL169" s="293"/>
      <c r="CM169" s="293"/>
      <c r="CN169" s="293"/>
      <c r="CO169" s="293"/>
      <c r="CP169" s="293"/>
      <c r="CQ169" s="293"/>
      <c r="CR169" s="293"/>
      <c r="CS169" s="293"/>
      <c r="CT169" s="293"/>
      <c r="CU169" s="293"/>
      <c r="CV169" s="293"/>
      <c r="CW169" s="293"/>
      <c r="CX169" s="293"/>
      <c r="CY169" s="293"/>
      <c r="CZ169" s="293"/>
      <c r="DA169" s="293"/>
      <c r="DB169" s="293"/>
      <c r="DC169" s="293"/>
      <c r="DD169" s="293"/>
      <c r="DE169" s="293"/>
      <c r="DF169" s="293"/>
      <c r="DG169" s="293"/>
      <c r="DH169" s="293"/>
      <c r="DI169" s="293"/>
      <c r="DJ169" s="293"/>
      <c r="DK169" s="293"/>
      <c r="DL169" s="293"/>
      <c r="DM169" s="293"/>
      <c r="DN169" s="293"/>
      <c r="DO169" s="293"/>
      <c r="DP169" s="293"/>
      <c r="DQ169" s="293"/>
      <c r="DR169" s="293"/>
      <c r="DS169" s="288"/>
      <c r="DT169" s="288"/>
      <c r="DU169" s="288"/>
      <c r="DV169" s="288"/>
      <c r="DW169" s="288"/>
      <c r="DX169" s="288"/>
      <c r="DY169" s="288"/>
      <c r="DZ169" s="288"/>
      <c r="EA169" s="288"/>
      <c r="EB169" s="288"/>
      <c r="EC169" s="288"/>
      <c r="ED169" s="288"/>
      <c r="EE169" s="288"/>
      <c r="EF169" s="288"/>
      <c r="EG169" s="288"/>
      <c r="EH169" s="288"/>
      <c r="EI169" s="288"/>
      <c r="EJ169" s="288"/>
      <c r="EK169" s="288"/>
      <c r="EL169" s="288"/>
      <c r="EM169" s="288"/>
      <c r="EN169" s="288"/>
      <c r="EO169" s="288"/>
      <c r="EP169" s="288"/>
      <c r="EQ169" s="288"/>
      <c r="ER169" s="288"/>
      <c r="ES169" s="288"/>
      <c r="ET169" s="288"/>
      <c r="EU169" s="288"/>
      <c r="EV169" s="288"/>
      <c r="EW169" s="288"/>
      <c r="EX169" s="288"/>
      <c r="EY169" s="288"/>
      <c r="EZ169" s="288"/>
      <c r="FA169" s="288"/>
      <c r="FB169" s="288"/>
      <c r="FC169" s="288"/>
      <c r="FD169" s="288"/>
      <c r="FE169" s="288"/>
      <c r="FF169" s="288"/>
      <c r="FG169" s="288"/>
      <c r="FH169" s="288"/>
    </row>
    <row r="170" ht="14.25" customHeight="1">
      <c r="A170" s="293"/>
      <c r="B170" s="293"/>
      <c r="C170" s="293"/>
      <c r="D170" s="293"/>
      <c r="E170" s="293"/>
      <c r="F170" s="293"/>
      <c r="G170" s="293"/>
      <c r="H170" s="293"/>
      <c r="I170" s="293"/>
      <c r="J170" s="293"/>
      <c r="K170" s="293"/>
      <c r="L170" s="293"/>
      <c r="M170" s="293"/>
      <c r="N170" s="293"/>
      <c r="O170" s="293"/>
      <c r="P170" s="293"/>
      <c r="Q170" s="293"/>
      <c r="R170" s="293"/>
      <c r="S170" s="293"/>
      <c r="T170" s="293"/>
      <c r="U170" s="293"/>
      <c r="V170" s="293"/>
      <c r="W170" s="293"/>
      <c r="X170" s="293"/>
      <c r="Y170" s="293"/>
      <c r="Z170" s="293"/>
      <c r="AA170" s="293"/>
      <c r="AB170" s="293"/>
      <c r="AC170" s="293"/>
      <c r="AD170" s="293"/>
      <c r="AE170" s="293"/>
      <c r="AF170" s="293"/>
      <c r="AG170" s="293"/>
      <c r="AH170" s="293"/>
      <c r="AI170" s="293"/>
      <c r="AJ170" s="293"/>
      <c r="AK170" s="293"/>
      <c r="AL170" s="293"/>
      <c r="AM170" s="293"/>
      <c r="AN170" s="293"/>
      <c r="AO170" s="293"/>
      <c r="AP170" s="293"/>
      <c r="AQ170" s="293"/>
      <c r="AR170" s="293"/>
      <c r="AS170" s="293"/>
      <c r="AT170" s="293"/>
      <c r="AU170" s="293"/>
      <c r="AV170" s="293"/>
      <c r="AW170" s="293"/>
      <c r="AX170" s="293"/>
      <c r="AY170" s="293"/>
      <c r="AZ170" s="293"/>
      <c r="BA170" s="293"/>
      <c r="BB170" s="293"/>
      <c r="BC170" s="293"/>
      <c r="BD170" s="293"/>
      <c r="BE170" s="293"/>
      <c r="BF170" s="293"/>
      <c r="BG170" s="293"/>
      <c r="BH170" s="293"/>
      <c r="BI170" s="293"/>
      <c r="BJ170" s="293"/>
      <c r="BK170" s="293"/>
      <c r="BL170" s="293"/>
      <c r="BM170" s="293"/>
      <c r="BN170" s="293"/>
      <c r="BO170" s="293"/>
      <c r="BP170" s="293"/>
      <c r="BQ170" s="293"/>
      <c r="BR170" s="293"/>
      <c r="BS170" s="293"/>
      <c r="BT170" s="293"/>
      <c r="BU170" s="293"/>
      <c r="BV170" s="293"/>
      <c r="BW170" s="293"/>
      <c r="BX170" s="293"/>
      <c r="BY170" s="293"/>
      <c r="BZ170" s="293"/>
      <c r="CA170" s="293"/>
      <c r="CB170" s="293"/>
      <c r="CC170" s="293"/>
      <c r="CD170" s="293"/>
      <c r="CE170" s="293"/>
      <c r="CF170" s="293"/>
      <c r="CG170" s="293"/>
      <c r="CH170" s="293"/>
      <c r="CI170" s="293"/>
      <c r="CJ170" s="293"/>
      <c r="CK170" s="293"/>
      <c r="CL170" s="293"/>
      <c r="CM170" s="293"/>
      <c r="CN170" s="293"/>
      <c r="CO170" s="293"/>
      <c r="CP170" s="293"/>
      <c r="CQ170" s="293"/>
      <c r="CR170" s="293"/>
      <c r="CS170" s="293"/>
      <c r="CT170" s="293"/>
      <c r="CU170" s="293"/>
      <c r="CV170" s="293"/>
      <c r="CW170" s="293"/>
      <c r="CX170" s="293"/>
      <c r="CY170" s="293"/>
      <c r="CZ170" s="293"/>
      <c r="DA170" s="293"/>
      <c r="DB170" s="293"/>
      <c r="DC170" s="293"/>
      <c r="DD170" s="293"/>
      <c r="DE170" s="293"/>
      <c r="DF170" s="293"/>
      <c r="DG170" s="293"/>
      <c r="DH170" s="293"/>
      <c r="DI170" s="293"/>
      <c r="DJ170" s="293"/>
      <c r="DK170" s="293"/>
      <c r="DL170" s="293"/>
      <c r="DM170" s="293"/>
      <c r="DN170" s="293"/>
      <c r="DO170" s="293"/>
      <c r="DP170" s="293"/>
      <c r="DQ170" s="293"/>
      <c r="DR170" s="293"/>
      <c r="DS170" s="288"/>
      <c r="DT170" s="288"/>
      <c r="DU170" s="288"/>
      <c r="DV170" s="288"/>
      <c r="DW170" s="288"/>
      <c r="DX170" s="288"/>
      <c r="DY170" s="288"/>
      <c r="DZ170" s="288"/>
      <c r="EA170" s="288"/>
      <c r="EB170" s="288"/>
      <c r="EC170" s="288"/>
      <c r="ED170" s="288"/>
      <c r="EE170" s="288"/>
      <c r="EF170" s="288"/>
      <c r="EG170" s="288"/>
      <c r="EH170" s="288"/>
      <c r="EI170" s="288"/>
      <c r="EJ170" s="288"/>
      <c r="EK170" s="288"/>
      <c r="EL170" s="288"/>
      <c r="EM170" s="288"/>
      <c r="EN170" s="288"/>
      <c r="EO170" s="288"/>
      <c r="EP170" s="288"/>
      <c r="EQ170" s="288"/>
      <c r="ER170" s="288"/>
      <c r="ES170" s="288"/>
      <c r="ET170" s="288"/>
      <c r="EU170" s="288"/>
      <c r="EV170" s="288"/>
      <c r="EW170" s="288"/>
      <c r="EX170" s="288"/>
      <c r="EY170" s="288"/>
      <c r="EZ170" s="288"/>
      <c r="FA170" s="288"/>
      <c r="FB170" s="288"/>
      <c r="FC170" s="288"/>
      <c r="FD170" s="288"/>
      <c r="FE170" s="288"/>
      <c r="FF170" s="288"/>
      <c r="FG170" s="288"/>
      <c r="FH170" s="288"/>
    </row>
    <row r="171" ht="14.25" customHeight="1">
      <c r="A171" s="293"/>
      <c r="B171" s="293"/>
      <c r="C171" s="293"/>
      <c r="D171" s="293"/>
      <c r="E171" s="293"/>
      <c r="F171" s="293"/>
      <c r="G171" s="293"/>
      <c r="H171" s="293"/>
      <c r="I171" s="293"/>
      <c r="J171" s="293"/>
      <c r="K171" s="293"/>
      <c r="L171" s="293"/>
      <c r="M171" s="293"/>
      <c r="N171" s="293"/>
      <c r="O171" s="293"/>
      <c r="P171" s="293"/>
      <c r="Q171" s="293"/>
      <c r="R171" s="293"/>
      <c r="S171" s="293"/>
      <c r="T171" s="293"/>
      <c r="U171" s="293"/>
      <c r="V171" s="293"/>
      <c r="W171" s="293"/>
      <c r="X171" s="293"/>
      <c r="Y171" s="293"/>
      <c r="Z171" s="293"/>
      <c r="AA171" s="293"/>
      <c r="AB171" s="293"/>
      <c r="AC171" s="293"/>
      <c r="AD171" s="293"/>
      <c r="AE171" s="293"/>
      <c r="AF171" s="293"/>
      <c r="AG171" s="293"/>
      <c r="AH171" s="293"/>
      <c r="AI171" s="293"/>
      <c r="AJ171" s="293"/>
      <c r="AK171" s="293"/>
      <c r="AL171" s="293"/>
      <c r="AM171" s="293"/>
      <c r="AN171" s="293"/>
      <c r="AO171" s="293"/>
      <c r="AP171" s="293"/>
      <c r="AQ171" s="293"/>
      <c r="AR171" s="293"/>
      <c r="AS171" s="293"/>
      <c r="AT171" s="293"/>
      <c r="AU171" s="293"/>
      <c r="AV171" s="293"/>
      <c r="AW171" s="293"/>
      <c r="AX171" s="293"/>
      <c r="AY171" s="293"/>
      <c r="AZ171" s="293"/>
      <c r="BA171" s="293"/>
      <c r="BB171" s="293"/>
      <c r="BC171" s="293"/>
      <c r="BD171" s="293"/>
      <c r="BE171" s="293"/>
      <c r="BF171" s="293"/>
      <c r="BG171" s="293"/>
      <c r="BH171" s="293"/>
      <c r="BI171" s="293"/>
      <c r="BJ171" s="293"/>
      <c r="BK171" s="293"/>
      <c r="BL171" s="293"/>
      <c r="BM171" s="293"/>
      <c r="BN171" s="293"/>
      <c r="BO171" s="293"/>
      <c r="BP171" s="293"/>
      <c r="BQ171" s="293"/>
      <c r="BR171" s="293"/>
      <c r="BS171" s="293"/>
      <c r="BT171" s="293"/>
      <c r="BU171" s="293"/>
      <c r="BV171" s="293"/>
      <c r="BW171" s="293"/>
      <c r="BX171" s="293"/>
      <c r="BY171" s="293"/>
      <c r="BZ171" s="293"/>
      <c r="CA171" s="293"/>
      <c r="CB171" s="293"/>
      <c r="CC171" s="293"/>
      <c r="CD171" s="293"/>
      <c r="CE171" s="293"/>
      <c r="CF171" s="293"/>
      <c r="CG171" s="293"/>
      <c r="CH171" s="293"/>
      <c r="CI171" s="293"/>
      <c r="CJ171" s="293"/>
      <c r="CK171" s="293"/>
      <c r="CL171" s="293"/>
      <c r="CM171" s="293"/>
      <c r="CN171" s="293"/>
      <c r="CO171" s="293"/>
      <c r="CP171" s="293"/>
      <c r="CQ171" s="293"/>
      <c r="CR171" s="293"/>
      <c r="CS171" s="293"/>
      <c r="CT171" s="293"/>
      <c r="CU171" s="293"/>
      <c r="CV171" s="293"/>
      <c r="CW171" s="293"/>
      <c r="CX171" s="293"/>
      <c r="CY171" s="293"/>
      <c r="CZ171" s="293"/>
      <c r="DA171" s="293"/>
      <c r="DB171" s="293"/>
      <c r="DC171" s="293"/>
      <c r="DD171" s="293"/>
      <c r="DE171" s="293"/>
      <c r="DF171" s="293"/>
      <c r="DG171" s="293"/>
      <c r="DH171" s="293"/>
      <c r="DI171" s="293"/>
      <c r="DJ171" s="293"/>
      <c r="DK171" s="293"/>
      <c r="DL171" s="293"/>
      <c r="DM171" s="293"/>
      <c r="DN171" s="293"/>
      <c r="DO171" s="293"/>
      <c r="DP171" s="293"/>
      <c r="DQ171" s="293"/>
      <c r="DR171" s="293"/>
      <c r="DS171" s="288"/>
      <c r="DT171" s="288"/>
      <c r="DU171" s="288"/>
      <c r="DV171" s="288"/>
      <c r="DW171" s="288"/>
      <c r="DX171" s="288"/>
      <c r="DY171" s="288"/>
      <c r="DZ171" s="288"/>
      <c r="EA171" s="288"/>
      <c r="EB171" s="288"/>
      <c r="EC171" s="288"/>
      <c r="ED171" s="288"/>
      <c r="EE171" s="288"/>
      <c r="EF171" s="288"/>
      <c r="EG171" s="288"/>
      <c r="EH171" s="288"/>
      <c r="EI171" s="288"/>
      <c r="EJ171" s="288"/>
      <c r="EK171" s="288"/>
      <c r="EL171" s="288"/>
      <c r="EM171" s="288"/>
      <c r="EN171" s="288"/>
      <c r="EO171" s="288"/>
      <c r="EP171" s="288"/>
      <c r="EQ171" s="288"/>
      <c r="ER171" s="288"/>
      <c r="ES171" s="288"/>
      <c r="ET171" s="288"/>
      <c r="EU171" s="288"/>
      <c r="EV171" s="288"/>
      <c r="EW171" s="288"/>
      <c r="EX171" s="288"/>
      <c r="EY171" s="288"/>
      <c r="EZ171" s="288"/>
      <c r="FA171" s="288"/>
      <c r="FB171" s="288"/>
      <c r="FC171" s="288"/>
      <c r="FD171" s="288"/>
      <c r="FE171" s="288"/>
      <c r="FF171" s="288"/>
      <c r="FG171" s="288"/>
      <c r="FH171" s="288"/>
    </row>
    <row r="172" ht="14.25" customHeight="1">
      <c r="A172" s="293"/>
      <c r="B172" s="293"/>
      <c r="C172" s="293"/>
      <c r="D172" s="293"/>
      <c r="E172" s="293"/>
      <c r="F172" s="293"/>
      <c r="G172" s="293"/>
      <c r="H172" s="293"/>
      <c r="I172" s="293"/>
      <c r="J172" s="293"/>
      <c r="K172" s="293"/>
      <c r="L172" s="293"/>
      <c r="M172" s="293"/>
      <c r="N172" s="293"/>
      <c r="O172" s="293"/>
      <c r="P172" s="293"/>
      <c r="Q172" s="293"/>
      <c r="R172" s="293"/>
      <c r="S172" s="293"/>
      <c r="T172" s="293"/>
      <c r="U172" s="293"/>
      <c r="V172" s="293"/>
      <c r="W172" s="293"/>
      <c r="X172" s="293"/>
      <c r="Y172" s="293"/>
      <c r="Z172" s="293"/>
      <c r="AA172" s="293"/>
      <c r="AB172" s="293"/>
      <c r="AC172" s="293"/>
      <c r="AD172" s="293"/>
      <c r="AE172" s="293"/>
      <c r="AF172" s="293"/>
      <c r="AG172" s="293"/>
      <c r="AH172" s="293"/>
      <c r="AI172" s="293"/>
      <c r="AJ172" s="293"/>
      <c r="AK172" s="293"/>
      <c r="AL172" s="293"/>
      <c r="AM172" s="293"/>
      <c r="AN172" s="293"/>
      <c r="AO172" s="293"/>
      <c r="AP172" s="293"/>
      <c r="AQ172" s="293"/>
      <c r="AR172" s="293"/>
      <c r="AS172" s="293"/>
      <c r="AT172" s="293"/>
      <c r="AU172" s="293"/>
      <c r="AV172" s="293"/>
      <c r="AW172" s="293"/>
      <c r="AX172" s="293"/>
      <c r="AY172" s="293"/>
      <c r="AZ172" s="293"/>
      <c r="BA172" s="293"/>
      <c r="BB172" s="293"/>
      <c r="BC172" s="293"/>
      <c r="BD172" s="293"/>
      <c r="BE172" s="293"/>
      <c r="BF172" s="293"/>
      <c r="BG172" s="293"/>
      <c r="BH172" s="293"/>
      <c r="BI172" s="293"/>
      <c r="BJ172" s="293"/>
      <c r="BK172" s="293"/>
      <c r="BL172" s="293"/>
      <c r="BM172" s="293"/>
      <c r="BN172" s="293"/>
      <c r="BO172" s="293"/>
      <c r="BP172" s="293"/>
      <c r="BQ172" s="293"/>
      <c r="BR172" s="293"/>
      <c r="BS172" s="293"/>
      <c r="BT172" s="293"/>
      <c r="BU172" s="293"/>
      <c r="BV172" s="293"/>
      <c r="BW172" s="293"/>
      <c r="BX172" s="293"/>
      <c r="BY172" s="293"/>
      <c r="BZ172" s="293"/>
      <c r="CA172" s="293"/>
      <c r="CB172" s="293"/>
      <c r="CC172" s="293"/>
      <c r="CD172" s="293"/>
      <c r="CE172" s="293"/>
      <c r="CF172" s="293"/>
      <c r="CG172" s="293"/>
      <c r="CH172" s="293"/>
      <c r="CI172" s="293"/>
      <c r="CJ172" s="293"/>
      <c r="CK172" s="293"/>
      <c r="CL172" s="293"/>
      <c r="CM172" s="293"/>
      <c r="CN172" s="293"/>
      <c r="CO172" s="293"/>
      <c r="CP172" s="293"/>
      <c r="CQ172" s="293"/>
      <c r="CR172" s="293"/>
      <c r="CS172" s="293"/>
      <c r="CT172" s="293"/>
      <c r="CU172" s="293"/>
      <c r="CV172" s="293"/>
      <c r="CW172" s="293"/>
      <c r="CX172" s="293"/>
      <c r="CY172" s="293"/>
      <c r="CZ172" s="293"/>
      <c r="DA172" s="293"/>
      <c r="DB172" s="293"/>
      <c r="DC172" s="293"/>
      <c r="DD172" s="293"/>
      <c r="DE172" s="293"/>
      <c r="DF172" s="293"/>
      <c r="DG172" s="293"/>
      <c r="DH172" s="293"/>
      <c r="DI172" s="293"/>
      <c r="DJ172" s="293"/>
      <c r="DK172" s="293"/>
      <c r="DL172" s="293"/>
      <c r="DM172" s="293"/>
      <c r="DN172" s="293"/>
      <c r="DO172" s="293"/>
      <c r="DP172" s="293"/>
      <c r="DQ172" s="293"/>
      <c r="DR172" s="293"/>
      <c r="DS172" s="288"/>
      <c r="DT172" s="288"/>
      <c r="DU172" s="288"/>
      <c r="DV172" s="288"/>
      <c r="DW172" s="288"/>
      <c r="DX172" s="288"/>
      <c r="DY172" s="288"/>
      <c r="DZ172" s="288"/>
      <c r="EA172" s="288"/>
      <c r="EB172" s="288"/>
      <c r="EC172" s="288"/>
      <c r="ED172" s="288"/>
      <c r="EE172" s="288"/>
      <c r="EF172" s="288"/>
      <c r="EG172" s="288"/>
      <c r="EH172" s="288"/>
      <c r="EI172" s="288"/>
      <c r="EJ172" s="288"/>
      <c r="EK172" s="288"/>
      <c r="EL172" s="288"/>
      <c r="EM172" s="288"/>
      <c r="EN172" s="288"/>
      <c r="EO172" s="288"/>
      <c r="EP172" s="288"/>
      <c r="EQ172" s="288"/>
      <c r="ER172" s="288"/>
      <c r="ES172" s="288"/>
      <c r="ET172" s="288"/>
      <c r="EU172" s="288"/>
      <c r="EV172" s="288"/>
      <c r="EW172" s="288"/>
      <c r="EX172" s="288"/>
      <c r="EY172" s="288"/>
      <c r="EZ172" s="288"/>
      <c r="FA172" s="288"/>
      <c r="FB172" s="288"/>
      <c r="FC172" s="288"/>
      <c r="FD172" s="288"/>
      <c r="FE172" s="288"/>
      <c r="FF172" s="288"/>
      <c r="FG172" s="288"/>
      <c r="FH172" s="288"/>
    </row>
    <row r="173" ht="14.25" customHeight="1">
      <c r="A173" s="293"/>
      <c r="B173" s="293"/>
      <c r="C173" s="293"/>
      <c r="D173" s="293"/>
      <c r="E173" s="293"/>
      <c r="F173" s="293"/>
      <c r="G173" s="293"/>
      <c r="H173" s="293"/>
      <c r="I173" s="293"/>
      <c r="J173" s="293"/>
      <c r="K173" s="293"/>
      <c r="L173" s="293"/>
      <c r="M173" s="293"/>
      <c r="N173" s="293"/>
      <c r="O173" s="293"/>
      <c r="P173" s="293"/>
      <c r="Q173" s="293"/>
      <c r="R173" s="293"/>
      <c r="S173" s="293"/>
      <c r="T173" s="293"/>
      <c r="U173" s="293"/>
      <c r="V173" s="293"/>
      <c r="W173" s="293"/>
      <c r="X173" s="293"/>
      <c r="Y173" s="293"/>
      <c r="Z173" s="293"/>
      <c r="AA173" s="293"/>
      <c r="AB173" s="293"/>
      <c r="AC173" s="293"/>
      <c r="AD173" s="293"/>
      <c r="AE173" s="293"/>
      <c r="AF173" s="293"/>
      <c r="AG173" s="293"/>
      <c r="AH173" s="293"/>
      <c r="AI173" s="293"/>
      <c r="AJ173" s="293"/>
      <c r="AK173" s="293"/>
      <c r="AL173" s="293"/>
      <c r="AM173" s="293"/>
      <c r="AN173" s="293"/>
      <c r="AO173" s="293"/>
      <c r="AP173" s="293"/>
      <c r="AQ173" s="293"/>
      <c r="AR173" s="293"/>
      <c r="AS173" s="293"/>
      <c r="AT173" s="293"/>
      <c r="AU173" s="293"/>
      <c r="AV173" s="293"/>
      <c r="AW173" s="293"/>
      <c r="AX173" s="293"/>
      <c r="AY173" s="293"/>
      <c r="AZ173" s="293"/>
      <c r="BA173" s="293"/>
      <c r="BB173" s="293"/>
      <c r="BC173" s="293"/>
      <c r="BD173" s="293"/>
      <c r="BE173" s="293"/>
      <c r="BF173" s="293"/>
      <c r="BG173" s="293"/>
      <c r="BH173" s="293"/>
      <c r="BI173" s="293"/>
      <c r="BJ173" s="293"/>
      <c r="BK173" s="293"/>
      <c r="BL173" s="293"/>
      <c r="BM173" s="293"/>
      <c r="BN173" s="293"/>
      <c r="BO173" s="293"/>
      <c r="BP173" s="293"/>
      <c r="BQ173" s="293"/>
      <c r="BR173" s="293"/>
      <c r="BS173" s="293"/>
      <c r="BT173" s="293"/>
      <c r="BU173" s="293"/>
      <c r="BV173" s="293"/>
      <c r="BW173" s="293"/>
      <c r="BX173" s="293"/>
      <c r="BY173" s="293"/>
      <c r="BZ173" s="293"/>
      <c r="CA173" s="293"/>
      <c r="CB173" s="293"/>
      <c r="CC173" s="293"/>
      <c r="CD173" s="293"/>
      <c r="CE173" s="293"/>
      <c r="CF173" s="293"/>
      <c r="CG173" s="293"/>
      <c r="CH173" s="293"/>
      <c r="CI173" s="293"/>
      <c r="CJ173" s="293"/>
      <c r="CK173" s="293"/>
      <c r="CL173" s="293"/>
      <c r="CM173" s="293"/>
      <c r="CN173" s="293"/>
      <c r="CO173" s="293"/>
      <c r="CP173" s="293"/>
      <c r="CQ173" s="293"/>
      <c r="CR173" s="293"/>
      <c r="CS173" s="293"/>
      <c r="CT173" s="293"/>
      <c r="CU173" s="293"/>
      <c r="CV173" s="293"/>
      <c r="CW173" s="293"/>
      <c r="CX173" s="293"/>
      <c r="CY173" s="293"/>
      <c r="CZ173" s="293"/>
      <c r="DA173" s="293"/>
      <c r="DB173" s="293"/>
      <c r="DC173" s="293"/>
      <c r="DD173" s="293"/>
      <c r="DE173" s="293"/>
      <c r="DF173" s="293"/>
      <c r="DG173" s="293"/>
      <c r="DH173" s="293"/>
      <c r="DI173" s="293"/>
      <c r="DJ173" s="293"/>
      <c r="DK173" s="293"/>
      <c r="DL173" s="293"/>
      <c r="DM173" s="293"/>
      <c r="DN173" s="293"/>
      <c r="DO173" s="293"/>
      <c r="DP173" s="293"/>
      <c r="DQ173" s="293"/>
      <c r="DR173" s="293"/>
      <c r="DS173" s="288"/>
      <c r="DT173" s="288"/>
      <c r="DU173" s="288"/>
      <c r="DV173" s="288"/>
      <c r="DW173" s="288"/>
      <c r="DX173" s="288"/>
      <c r="DY173" s="288"/>
      <c r="DZ173" s="288"/>
      <c r="EA173" s="288"/>
      <c r="EB173" s="288"/>
      <c r="EC173" s="288"/>
      <c r="ED173" s="288"/>
      <c r="EE173" s="288"/>
      <c r="EF173" s="288"/>
      <c r="EG173" s="288"/>
      <c r="EH173" s="288"/>
      <c r="EI173" s="288"/>
      <c r="EJ173" s="288"/>
      <c r="EK173" s="288"/>
      <c r="EL173" s="288"/>
      <c r="EM173" s="288"/>
      <c r="EN173" s="288"/>
      <c r="EO173" s="288"/>
      <c r="EP173" s="288"/>
      <c r="EQ173" s="288"/>
      <c r="ER173" s="288"/>
      <c r="ES173" s="288"/>
      <c r="ET173" s="288"/>
      <c r="EU173" s="288"/>
      <c r="EV173" s="288"/>
      <c r="EW173" s="288"/>
      <c r="EX173" s="288"/>
      <c r="EY173" s="288"/>
      <c r="EZ173" s="288"/>
      <c r="FA173" s="288"/>
      <c r="FB173" s="288"/>
      <c r="FC173" s="288"/>
      <c r="FD173" s="288"/>
      <c r="FE173" s="288"/>
      <c r="FF173" s="288"/>
      <c r="FG173" s="288"/>
      <c r="FH173" s="288"/>
    </row>
    <row r="174" ht="14.25" customHeight="1">
      <c r="A174" s="293"/>
      <c r="B174" s="293"/>
      <c r="C174" s="293"/>
      <c r="D174" s="293"/>
      <c r="E174" s="293"/>
      <c r="F174" s="293"/>
      <c r="G174" s="293"/>
      <c r="H174" s="293"/>
      <c r="I174" s="293"/>
      <c r="J174" s="293"/>
      <c r="K174" s="293"/>
      <c r="L174" s="293"/>
      <c r="M174" s="293"/>
      <c r="N174" s="293"/>
      <c r="O174" s="293"/>
      <c r="P174" s="293"/>
      <c r="Q174" s="293"/>
      <c r="R174" s="293"/>
      <c r="S174" s="293"/>
      <c r="T174" s="293"/>
      <c r="U174" s="293"/>
      <c r="V174" s="293"/>
      <c r="W174" s="293"/>
      <c r="X174" s="293"/>
      <c r="Y174" s="293"/>
      <c r="Z174" s="293"/>
      <c r="AA174" s="293"/>
      <c r="AB174" s="293"/>
      <c r="AC174" s="293"/>
      <c r="AD174" s="293"/>
      <c r="AE174" s="293"/>
      <c r="AF174" s="293"/>
      <c r="AG174" s="293"/>
      <c r="AH174" s="293"/>
      <c r="AI174" s="293"/>
      <c r="AJ174" s="293"/>
      <c r="AK174" s="293"/>
      <c r="AL174" s="293"/>
      <c r="AM174" s="293"/>
      <c r="AN174" s="293"/>
      <c r="AO174" s="293"/>
      <c r="AP174" s="293"/>
      <c r="AQ174" s="293"/>
      <c r="AR174" s="293"/>
      <c r="AS174" s="293"/>
      <c r="AT174" s="293"/>
      <c r="AU174" s="293"/>
      <c r="AV174" s="293"/>
      <c r="AW174" s="293"/>
      <c r="AX174" s="293"/>
      <c r="AY174" s="293"/>
      <c r="AZ174" s="293"/>
      <c r="BA174" s="293"/>
      <c r="BB174" s="293"/>
      <c r="BC174" s="293"/>
      <c r="BD174" s="293"/>
      <c r="BE174" s="293"/>
      <c r="BF174" s="293"/>
      <c r="BG174" s="293"/>
      <c r="BH174" s="293"/>
      <c r="BI174" s="293"/>
      <c r="BJ174" s="293"/>
      <c r="BK174" s="293"/>
      <c r="BL174" s="293"/>
      <c r="BM174" s="293"/>
      <c r="BN174" s="293"/>
      <c r="BO174" s="293"/>
      <c r="BP174" s="293"/>
      <c r="BQ174" s="293"/>
      <c r="BR174" s="293"/>
      <c r="BS174" s="293"/>
      <c r="BT174" s="293"/>
      <c r="BU174" s="293"/>
      <c r="BV174" s="293"/>
      <c r="BW174" s="293"/>
      <c r="BX174" s="293"/>
      <c r="BY174" s="293"/>
      <c r="BZ174" s="293"/>
      <c r="CA174" s="293"/>
      <c r="CB174" s="293"/>
      <c r="CC174" s="293"/>
      <c r="CD174" s="293"/>
      <c r="CE174" s="293"/>
      <c r="CF174" s="293"/>
      <c r="CG174" s="293"/>
      <c r="CH174" s="293"/>
      <c r="CI174" s="293"/>
      <c r="CJ174" s="293"/>
      <c r="CK174" s="293"/>
      <c r="CL174" s="293"/>
      <c r="CM174" s="293"/>
      <c r="CN174" s="293"/>
      <c r="CO174" s="293"/>
      <c r="CP174" s="293"/>
      <c r="CQ174" s="293"/>
      <c r="CR174" s="293"/>
      <c r="CS174" s="293"/>
      <c r="CT174" s="293"/>
      <c r="CU174" s="293"/>
      <c r="CV174" s="293"/>
      <c r="CW174" s="293"/>
      <c r="CX174" s="293"/>
      <c r="CY174" s="293"/>
      <c r="CZ174" s="293"/>
      <c r="DA174" s="293"/>
      <c r="DB174" s="293"/>
      <c r="DC174" s="293"/>
      <c r="DD174" s="293"/>
      <c r="DE174" s="293"/>
      <c r="DF174" s="293"/>
      <c r="DG174" s="293"/>
      <c r="DH174" s="293"/>
      <c r="DI174" s="293"/>
      <c r="DJ174" s="293"/>
      <c r="DK174" s="293"/>
      <c r="DL174" s="293"/>
      <c r="DM174" s="293"/>
      <c r="DN174" s="293"/>
      <c r="DO174" s="293"/>
      <c r="DP174" s="293"/>
      <c r="DQ174" s="293"/>
      <c r="DR174" s="293"/>
      <c r="DS174" s="288"/>
      <c r="DT174" s="288"/>
      <c r="DU174" s="288"/>
      <c r="DV174" s="288"/>
      <c r="DW174" s="288"/>
      <c r="DX174" s="288"/>
      <c r="DY174" s="288"/>
      <c r="DZ174" s="288"/>
      <c r="EA174" s="288"/>
      <c r="EB174" s="288"/>
      <c r="EC174" s="288"/>
      <c r="ED174" s="288"/>
      <c r="EE174" s="288"/>
      <c r="EF174" s="288"/>
      <c r="EG174" s="288"/>
      <c r="EH174" s="288"/>
      <c r="EI174" s="288"/>
      <c r="EJ174" s="288"/>
      <c r="EK174" s="288"/>
      <c r="EL174" s="288"/>
      <c r="EM174" s="288"/>
      <c r="EN174" s="288"/>
      <c r="EO174" s="288"/>
      <c r="EP174" s="288"/>
      <c r="EQ174" s="288"/>
      <c r="ER174" s="288"/>
      <c r="ES174" s="288"/>
      <c r="ET174" s="288"/>
      <c r="EU174" s="288"/>
      <c r="EV174" s="288"/>
      <c r="EW174" s="288"/>
      <c r="EX174" s="288"/>
      <c r="EY174" s="288"/>
      <c r="EZ174" s="288"/>
      <c r="FA174" s="288"/>
      <c r="FB174" s="288"/>
      <c r="FC174" s="288"/>
      <c r="FD174" s="288"/>
      <c r="FE174" s="288"/>
      <c r="FF174" s="288"/>
      <c r="FG174" s="288"/>
      <c r="FH174" s="288"/>
    </row>
    <row r="175" ht="14.25" customHeight="1">
      <c r="A175" s="293"/>
      <c r="B175" s="293"/>
      <c r="C175" s="293"/>
      <c r="D175" s="293"/>
      <c r="E175" s="293"/>
      <c r="F175" s="293"/>
      <c r="G175" s="293"/>
      <c r="H175" s="293"/>
      <c r="I175" s="293"/>
      <c r="J175" s="293"/>
      <c r="K175" s="293"/>
      <c r="L175" s="293"/>
      <c r="M175" s="293"/>
      <c r="N175" s="293"/>
      <c r="O175" s="293"/>
      <c r="P175" s="293"/>
      <c r="Q175" s="293"/>
      <c r="R175" s="293"/>
      <c r="S175" s="293"/>
      <c r="T175" s="293"/>
      <c r="U175" s="293"/>
      <c r="V175" s="293"/>
      <c r="W175" s="293"/>
      <c r="X175" s="293"/>
      <c r="Y175" s="293"/>
      <c r="Z175" s="293"/>
      <c r="AA175" s="293"/>
      <c r="AB175" s="293"/>
      <c r="AC175" s="293"/>
      <c r="AD175" s="293"/>
      <c r="AE175" s="293"/>
      <c r="AF175" s="293"/>
      <c r="AG175" s="293"/>
      <c r="AH175" s="293"/>
      <c r="AI175" s="293"/>
      <c r="AJ175" s="293"/>
      <c r="AK175" s="293"/>
      <c r="AL175" s="293"/>
      <c r="AM175" s="293"/>
      <c r="AN175" s="293"/>
      <c r="AO175" s="293"/>
      <c r="AP175" s="293"/>
      <c r="AQ175" s="293"/>
      <c r="AR175" s="293"/>
      <c r="AS175" s="293"/>
      <c r="AT175" s="293"/>
      <c r="AU175" s="293"/>
      <c r="AV175" s="293"/>
      <c r="AW175" s="293"/>
      <c r="AX175" s="293"/>
      <c r="AY175" s="293"/>
      <c r="AZ175" s="293"/>
      <c r="BA175" s="293"/>
      <c r="BB175" s="293"/>
      <c r="BC175" s="293"/>
      <c r="BD175" s="293"/>
      <c r="BE175" s="293"/>
      <c r="BF175" s="293"/>
      <c r="BG175" s="293"/>
      <c r="BH175" s="293"/>
      <c r="BI175" s="293"/>
      <c r="BJ175" s="293"/>
      <c r="BK175" s="293"/>
      <c r="BL175" s="293"/>
      <c r="BM175" s="293"/>
      <c r="BN175" s="293"/>
      <c r="BO175" s="293"/>
      <c r="BP175" s="293"/>
      <c r="BQ175" s="293"/>
      <c r="BR175" s="293"/>
      <c r="BS175" s="293"/>
      <c r="BT175" s="293"/>
      <c r="BU175" s="293"/>
      <c r="BV175" s="293"/>
      <c r="BW175" s="293"/>
      <c r="BX175" s="293"/>
      <c r="BY175" s="293"/>
      <c r="BZ175" s="293"/>
      <c r="CA175" s="293"/>
      <c r="CB175" s="293"/>
      <c r="CC175" s="293"/>
      <c r="CD175" s="293"/>
      <c r="CE175" s="293"/>
      <c r="CF175" s="293"/>
      <c r="CG175" s="293"/>
      <c r="CH175" s="293"/>
      <c r="CI175" s="293"/>
      <c r="CJ175" s="293"/>
      <c r="CK175" s="293"/>
      <c r="CL175" s="293"/>
      <c r="CM175" s="293"/>
      <c r="CN175" s="293"/>
      <c r="CO175" s="293"/>
      <c r="CP175" s="293"/>
      <c r="CQ175" s="293"/>
      <c r="CR175" s="293"/>
      <c r="CS175" s="293"/>
      <c r="CT175" s="293"/>
      <c r="CU175" s="293"/>
      <c r="CV175" s="293"/>
      <c r="CW175" s="293"/>
      <c r="CX175" s="293"/>
      <c r="CY175" s="293"/>
      <c r="CZ175" s="293"/>
      <c r="DA175" s="293"/>
      <c r="DB175" s="293"/>
      <c r="DC175" s="293"/>
      <c r="DD175" s="293"/>
      <c r="DE175" s="293"/>
      <c r="DF175" s="293"/>
      <c r="DG175" s="293"/>
      <c r="DH175" s="293"/>
      <c r="DI175" s="293"/>
      <c r="DJ175" s="293"/>
      <c r="DK175" s="293"/>
      <c r="DL175" s="293"/>
      <c r="DM175" s="293"/>
      <c r="DN175" s="293"/>
      <c r="DO175" s="293"/>
      <c r="DP175" s="293"/>
      <c r="DQ175" s="293"/>
      <c r="DR175" s="293"/>
      <c r="DS175" s="288"/>
      <c r="DT175" s="288"/>
      <c r="DU175" s="288"/>
      <c r="DV175" s="288"/>
      <c r="DW175" s="288"/>
      <c r="DX175" s="288"/>
      <c r="DY175" s="288"/>
      <c r="DZ175" s="288"/>
      <c r="EA175" s="288"/>
      <c r="EB175" s="288"/>
      <c r="EC175" s="288"/>
      <c r="ED175" s="288"/>
      <c r="EE175" s="288"/>
      <c r="EF175" s="288"/>
      <c r="EG175" s="288"/>
      <c r="EH175" s="288"/>
      <c r="EI175" s="288"/>
      <c r="EJ175" s="288"/>
      <c r="EK175" s="288"/>
      <c r="EL175" s="288"/>
      <c r="EM175" s="288"/>
      <c r="EN175" s="288"/>
      <c r="EO175" s="288"/>
      <c r="EP175" s="288"/>
      <c r="EQ175" s="288"/>
      <c r="ER175" s="288"/>
      <c r="ES175" s="288"/>
      <c r="ET175" s="288"/>
      <c r="EU175" s="288"/>
      <c r="EV175" s="288"/>
      <c r="EW175" s="288"/>
      <c r="EX175" s="288"/>
      <c r="EY175" s="288"/>
      <c r="EZ175" s="288"/>
      <c r="FA175" s="288"/>
      <c r="FB175" s="288"/>
      <c r="FC175" s="288"/>
      <c r="FD175" s="288"/>
      <c r="FE175" s="288"/>
      <c r="FF175" s="288"/>
      <c r="FG175" s="288"/>
      <c r="FH175" s="288"/>
    </row>
    <row r="176" ht="14.25" customHeight="1">
      <c r="A176" s="293"/>
      <c r="B176" s="293"/>
      <c r="C176" s="293"/>
      <c r="D176" s="293"/>
      <c r="E176" s="293"/>
      <c r="F176" s="293"/>
      <c r="G176" s="293"/>
      <c r="H176" s="293"/>
      <c r="I176" s="293"/>
      <c r="J176" s="293"/>
      <c r="K176" s="293"/>
      <c r="L176" s="293"/>
      <c r="M176" s="293"/>
      <c r="N176" s="293"/>
      <c r="O176" s="293"/>
      <c r="P176" s="293"/>
      <c r="Q176" s="293"/>
      <c r="R176" s="293"/>
      <c r="S176" s="293"/>
      <c r="T176" s="293"/>
      <c r="U176" s="293"/>
      <c r="V176" s="293"/>
      <c r="W176" s="293"/>
      <c r="X176" s="293"/>
      <c r="Y176" s="293"/>
      <c r="Z176" s="293"/>
      <c r="AA176" s="293"/>
      <c r="AB176" s="293"/>
      <c r="AC176" s="293"/>
      <c r="AD176" s="293"/>
      <c r="AE176" s="293"/>
      <c r="AF176" s="293"/>
      <c r="AG176" s="293"/>
      <c r="AH176" s="293"/>
      <c r="AI176" s="293"/>
      <c r="AJ176" s="293"/>
      <c r="AK176" s="293"/>
      <c r="AL176" s="293"/>
      <c r="AM176" s="293"/>
      <c r="AN176" s="293"/>
      <c r="AO176" s="293"/>
      <c r="AP176" s="293"/>
      <c r="AQ176" s="293"/>
      <c r="AR176" s="293"/>
      <c r="AS176" s="293"/>
      <c r="AT176" s="293"/>
      <c r="AU176" s="293"/>
      <c r="AV176" s="293"/>
      <c r="AW176" s="293"/>
      <c r="AX176" s="293"/>
      <c r="AY176" s="293"/>
      <c r="AZ176" s="293"/>
      <c r="BA176" s="293"/>
      <c r="BB176" s="293"/>
      <c r="BC176" s="293"/>
      <c r="BD176" s="293"/>
      <c r="BE176" s="293"/>
      <c r="BF176" s="293"/>
      <c r="BG176" s="293"/>
      <c r="BH176" s="293"/>
      <c r="BI176" s="293"/>
      <c r="BJ176" s="293"/>
      <c r="BK176" s="293"/>
      <c r="BL176" s="293"/>
      <c r="BM176" s="293"/>
      <c r="BN176" s="293"/>
      <c r="BO176" s="293"/>
      <c r="BP176" s="293"/>
      <c r="BQ176" s="293"/>
      <c r="BR176" s="293"/>
      <c r="BS176" s="293"/>
      <c r="BT176" s="293"/>
      <c r="BU176" s="293"/>
      <c r="BV176" s="293"/>
      <c r="BW176" s="293"/>
      <c r="BX176" s="293"/>
      <c r="BY176" s="293"/>
      <c r="BZ176" s="293"/>
      <c r="CA176" s="293"/>
      <c r="CB176" s="293"/>
      <c r="CC176" s="293"/>
      <c r="CD176" s="293"/>
      <c r="CE176" s="293"/>
      <c r="CF176" s="293"/>
      <c r="CG176" s="293"/>
      <c r="CH176" s="293"/>
      <c r="CI176" s="293"/>
      <c r="CJ176" s="293"/>
      <c r="CK176" s="293"/>
      <c r="CL176" s="293"/>
      <c r="CM176" s="293"/>
      <c r="CN176" s="293"/>
      <c r="CO176" s="293"/>
      <c r="CP176" s="293"/>
      <c r="CQ176" s="293"/>
      <c r="CR176" s="293"/>
      <c r="CS176" s="293"/>
      <c r="CT176" s="293"/>
      <c r="CU176" s="293"/>
      <c r="CV176" s="293"/>
      <c r="CW176" s="293"/>
      <c r="CX176" s="293"/>
      <c r="CY176" s="293"/>
      <c r="CZ176" s="293"/>
      <c r="DA176" s="293"/>
      <c r="DB176" s="293"/>
      <c r="DC176" s="293"/>
      <c r="DD176" s="293"/>
      <c r="DE176" s="293"/>
      <c r="DF176" s="293"/>
      <c r="DG176" s="293"/>
      <c r="DH176" s="293"/>
      <c r="DI176" s="293"/>
      <c r="DJ176" s="293"/>
      <c r="DK176" s="293"/>
      <c r="DL176" s="293"/>
      <c r="DM176" s="293"/>
      <c r="DN176" s="293"/>
      <c r="DO176" s="293"/>
      <c r="DP176" s="293"/>
      <c r="DQ176" s="293"/>
      <c r="DR176" s="293"/>
      <c r="DS176" s="288"/>
      <c r="DT176" s="288"/>
      <c r="DU176" s="288"/>
      <c r="DV176" s="288"/>
      <c r="DW176" s="288"/>
      <c r="DX176" s="288"/>
      <c r="DY176" s="288"/>
      <c r="DZ176" s="288"/>
      <c r="EA176" s="288"/>
      <c r="EB176" s="288"/>
      <c r="EC176" s="288"/>
      <c r="ED176" s="288"/>
      <c r="EE176" s="288"/>
      <c r="EF176" s="288"/>
      <c r="EG176" s="288"/>
      <c r="EH176" s="288"/>
      <c r="EI176" s="288"/>
      <c r="EJ176" s="288"/>
      <c r="EK176" s="288"/>
      <c r="EL176" s="288"/>
      <c r="EM176" s="288"/>
      <c r="EN176" s="288"/>
      <c r="EO176" s="288"/>
      <c r="EP176" s="288"/>
      <c r="EQ176" s="288"/>
      <c r="ER176" s="288"/>
      <c r="ES176" s="288"/>
      <c r="ET176" s="288"/>
      <c r="EU176" s="288"/>
      <c r="EV176" s="288"/>
      <c r="EW176" s="288"/>
      <c r="EX176" s="288"/>
      <c r="EY176" s="288"/>
      <c r="EZ176" s="288"/>
      <c r="FA176" s="288"/>
      <c r="FB176" s="288"/>
      <c r="FC176" s="288"/>
      <c r="FD176" s="288"/>
      <c r="FE176" s="288"/>
      <c r="FF176" s="288"/>
      <c r="FG176" s="288"/>
      <c r="FH176" s="288"/>
    </row>
    <row r="177" ht="14.25" customHeight="1">
      <c r="A177" s="293"/>
      <c r="B177" s="293"/>
      <c r="C177" s="293"/>
      <c r="D177" s="293"/>
      <c r="E177" s="293"/>
      <c r="F177" s="293"/>
      <c r="G177" s="293"/>
      <c r="H177" s="293"/>
      <c r="I177" s="293"/>
      <c r="J177" s="293"/>
      <c r="K177" s="293"/>
      <c r="L177" s="293"/>
      <c r="M177" s="293"/>
      <c r="N177" s="293"/>
      <c r="O177" s="293"/>
      <c r="P177" s="293"/>
      <c r="Q177" s="293"/>
      <c r="R177" s="293"/>
      <c r="S177" s="293"/>
      <c r="T177" s="293"/>
      <c r="U177" s="293"/>
      <c r="V177" s="293"/>
      <c r="W177" s="293"/>
      <c r="X177" s="293"/>
      <c r="Y177" s="293"/>
      <c r="Z177" s="293"/>
      <c r="AA177" s="293"/>
      <c r="AB177" s="293"/>
      <c r="AC177" s="293"/>
      <c r="AD177" s="293"/>
      <c r="AE177" s="293"/>
      <c r="AF177" s="293"/>
      <c r="AG177" s="293"/>
      <c r="AH177" s="293"/>
      <c r="AI177" s="293"/>
      <c r="AJ177" s="293"/>
      <c r="AK177" s="293"/>
      <c r="AL177" s="293"/>
      <c r="AM177" s="293"/>
      <c r="AN177" s="293"/>
      <c r="AO177" s="293"/>
      <c r="AP177" s="293"/>
      <c r="AQ177" s="293"/>
      <c r="AR177" s="293"/>
      <c r="AS177" s="293"/>
      <c r="AT177" s="293"/>
      <c r="AU177" s="293"/>
      <c r="AV177" s="293"/>
      <c r="AW177" s="293"/>
      <c r="AX177" s="293"/>
      <c r="AY177" s="293"/>
      <c r="AZ177" s="293"/>
      <c r="BA177" s="293"/>
      <c r="BB177" s="293"/>
      <c r="BC177" s="293"/>
      <c r="BD177" s="293"/>
      <c r="BE177" s="293"/>
      <c r="BF177" s="293"/>
      <c r="BG177" s="293"/>
      <c r="BH177" s="293"/>
      <c r="BI177" s="293"/>
      <c r="BJ177" s="293"/>
      <c r="BK177" s="293"/>
      <c r="BL177" s="293"/>
      <c r="BM177" s="293"/>
      <c r="BN177" s="293"/>
      <c r="BO177" s="293"/>
      <c r="BP177" s="293"/>
      <c r="BQ177" s="293"/>
      <c r="BR177" s="293"/>
      <c r="BS177" s="293"/>
      <c r="BT177" s="293"/>
      <c r="BU177" s="293"/>
      <c r="BV177" s="293"/>
      <c r="BW177" s="293"/>
      <c r="BX177" s="293"/>
      <c r="BY177" s="293"/>
      <c r="BZ177" s="293"/>
      <c r="CA177" s="293"/>
      <c r="CB177" s="293"/>
      <c r="CC177" s="293"/>
      <c r="CD177" s="293"/>
      <c r="CE177" s="293"/>
      <c r="CF177" s="293"/>
      <c r="CG177" s="293"/>
      <c r="CH177" s="293"/>
      <c r="CI177" s="293"/>
      <c r="CJ177" s="293"/>
      <c r="CK177" s="293"/>
      <c r="CL177" s="293"/>
      <c r="CM177" s="293"/>
      <c r="CN177" s="293"/>
      <c r="CO177" s="293"/>
      <c r="CP177" s="293"/>
      <c r="CQ177" s="293"/>
      <c r="CR177" s="293"/>
      <c r="CS177" s="293"/>
      <c r="CT177" s="293"/>
      <c r="CU177" s="293"/>
      <c r="CV177" s="293"/>
      <c r="CW177" s="293"/>
      <c r="CX177" s="293"/>
      <c r="CY177" s="293"/>
      <c r="CZ177" s="293"/>
      <c r="DA177" s="293"/>
      <c r="DB177" s="293"/>
      <c r="DC177" s="293"/>
      <c r="DD177" s="293"/>
      <c r="DE177" s="293"/>
      <c r="DF177" s="293"/>
      <c r="DG177" s="293"/>
      <c r="DH177" s="293"/>
      <c r="DI177" s="293"/>
      <c r="DJ177" s="293"/>
      <c r="DK177" s="293"/>
      <c r="DL177" s="293"/>
      <c r="DM177" s="293"/>
      <c r="DN177" s="293"/>
      <c r="DO177" s="293"/>
      <c r="DP177" s="293"/>
      <c r="DQ177" s="293"/>
      <c r="DR177" s="293"/>
      <c r="DS177" s="288"/>
      <c r="DT177" s="288"/>
      <c r="DU177" s="288"/>
      <c r="DV177" s="288"/>
      <c r="DW177" s="288"/>
      <c r="DX177" s="288"/>
      <c r="DY177" s="288"/>
      <c r="DZ177" s="288"/>
      <c r="EA177" s="288"/>
      <c r="EB177" s="288"/>
      <c r="EC177" s="288"/>
      <c r="ED177" s="288"/>
      <c r="EE177" s="288"/>
      <c r="EF177" s="288"/>
      <c r="EG177" s="288"/>
      <c r="EH177" s="288"/>
      <c r="EI177" s="288"/>
      <c r="EJ177" s="288"/>
      <c r="EK177" s="288"/>
      <c r="EL177" s="288"/>
      <c r="EM177" s="288"/>
      <c r="EN177" s="288"/>
      <c r="EO177" s="288"/>
      <c r="EP177" s="288"/>
      <c r="EQ177" s="288"/>
      <c r="ER177" s="288"/>
      <c r="ES177" s="288"/>
      <c r="ET177" s="288"/>
      <c r="EU177" s="288"/>
      <c r="EV177" s="288"/>
      <c r="EW177" s="288"/>
      <c r="EX177" s="288"/>
      <c r="EY177" s="288"/>
      <c r="EZ177" s="288"/>
      <c r="FA177" s="288"/>
      <c r="FB177" s="288"/>
      <c r="FC177" s="288"/>
      <c r="FD177" s="288"/>
      <c r="FE177" s="288"/>
      <c r="FF177" s="288"/>
      <c r="FG177" s="288"/>
      <c r="FH177" s="288"/>
    </row>
    <row r="178" ht="14.25" customHeight="1">
      <c r="A178" s="293"/>
      <c r="B178" s="293"/>
      <c r="C178" s="293"/>
      <c r="D178" s="293"/>
      <c r="E178" s="293"/>
      <c r="F178" s="293"/>
      <c r="G178" s="293"/>
      <c r="H178" s="293"/>
      <c r="I178" s="293"/>
      <c r="J178" s="293"/>
      <c r="K178" s="293"/>
      <c r="L178" s="293"/>
      <c r="M178" s="293"/>
      <c r="N178" s="293"/>
      <c r="O178" s="293"/>
      <c r="P178" s="293"/>
      <c r="Q178" s="293"/>
      <c r="R178" s="293"/>
      <c r="S178" s="293"/>
      <c r="T178" s="293"/>
      <c r="U178" s="293"/>
      <c r="V178" s="293"/>
      <c r="W178" s="293"/>
      <c r="X178" s="293"/>
      <c r="Y178" s="293"/>
      <c r="Z178" s="293"/>
      <c r="AA178" s="293"/>
      <c r="AB178" s="293"/>
      <c r="AC178" s="293"/>
      <c r="AD178" s="293"/>
      <c r="AE178" s="293"/>
      <c r="AF178" s="293"/>
      <c r="AG178" s="293"/>
      <c r="AH178" s="293"/>
      <c r="AI178" s="293"/>
      <c r="AJ178" s="293"/>
      <c r="AK178" s="293"/>
      <c r="AL178" s="293"/>
      <c r="AM178" s="293"/>
      <c r="AN178" s="293"/>
      <c r="AO178" s="293"/>
      <c r="AP178" s="293"/>
      <c r="AQ178" s="293"/>
      <c r="AR178" s="293"/>
      <c r="AS178" s="293"/>
      <c r="AT178" s="293"/>
      <c r="AU178" s="293"/>
      <c r="AV178" s="293"/>
      <c r="AW178" s="293"/>
      <c r="AX178" s="293"/>
      <c r="AY178" s="293"/>
      <c r="AZ178" s="293"/>
      <c r="BA178" s="293"/>
      <c r="BB178" s="293"/>
      <c r="BC178" s="293"/>
      <c r="BD178" s="293"/>
      <c r="BE178" s="293"/>
      <c r="BF178" s="293"/>
      <c r="BG178" s="293"/>
      <c r="BH178" s="293"/>
      <c r="BI178" s="293"/>
      <c r="BJ178" s="293"/>
      <c r="BK178" s="293"/>
      <c r="BL178" s="293"/>
      <c r="BM178" s="293"/>
      <c r="BN178" s="293"/>
      <c r="BO178" s="293"/>
      <c r="BP178" s="293"/>
      <c r="BQ178" s="293"/>
      <c r="BR178" s="293"/>
      <c r="BS178" s="293"/>
      <c r="BT178" s="293"/>
      <c r="BU178" s="293"/>
      <c r="BV178" s="293"/>
      <c r="BW178" s="293"/>
      <c r="BX178" s="293"/>
      <c r="BY178" s="293"/>
      <c r="BZ178" s="293"/>
      <c r="CA178" s="293"/>
      <c r="CB178" s="293"/>
      <c r="CC178" s="293"/>
      <c r="CD178" s="293"/>
      <c r="CE178" s="293"/>
      <c r="CF178" s="293"/>
      <c r="CG178" s="293"/>
      <c r="CH178" s="293"/>
      <c r="CI178" s="293"/>
      <c r="CJ178" s="293"/>
      <c r="CK178" s="293"/>
      <c r="CL178" s="293"/>
      <c r="CM178" s="293"/>
      <c r="CN178" s="293"/>
      <c r="CO178" s="293"/>
      <c r="CP178" s="293"/>
      <c r="CQ178" s="293"/>
      <c r="CR178" s="293"/>
      <c r="CS178" s="293"/>
      <c r="CT178" s="293"/>
      <c r="CU178" s="293"/>
      <c r="CV178" s="293"/>
      <c r="CW178" s="293"/>
      <c r="CX178" s="293"/>
      <c r="CY178" s="293"/>
      <c r="CZ178" s="293"/>
      <c r="DA178" s="293"/>
      <c r="DB178" s="293"/>
      <c r="DC178" s="293"/>
      <c r="DD178" s="293"/>
      <c r="DE178" s="293"/>
      <c r="DF178" s="293"/>
      <c r="DG178" s="293"/>
      <c r="DH178" s="293"/>
      <c r="DI178" s="293"/>
      <c r="DJ178" s="293"/>
      <c r="DK178" s="293"/>
      <c r="DL178" s="293"/>
      <c r="DM178" s="293"/>
      <c r="DN178" s="293"/>
      <c r="DO178" s="293"/>
      <c r="DP178" s="293"/>
      <c r="DQ178" s="293"/>
      <c r="DR178" s="293"/>
      <c r="DS178" s="288"/>
      <c r="DT178" s="288"/>
      <c r="DU178" s="288"/>
      <c r="DV178" s="288"/>
      <c r="DW178" s="288"/>
      <c r="DX178" s="288"/>
      <c r="DY178" s="288"/>
      <c r="DZ178" s="288"/>
      <c r="EA178" s="288"/>
      <c r="EB178" s="288"/>
      <c r="EC178" s="288"/>
      <c r="ED178" s="288"/>
      <c r="EE178" s="288"/>
      <c r="EF178" s="288"/>
      <c r="EG178" s="288"/>
      <c r="EH178" s="288"/>
      <c r="EI178" s="288"/>
      <c r="EJ178" s="288"/>
      <c r="EK178" s="288"/>
      <c r="EL178" s="288"/>
      <c r="EM178" s="288"/>
      <c r="EN178" s="288"/>
      <c r="EO178" s="288"/>
      <c r="EP178" s="288"/>
      <c r="EQ178" s="288"/>
      <c r="ER178" s="288"/>
      <c r="ES178" s="288"/>
      <c r="ET178" s="288"/>
      <c r="EU178" s="288"/>
      <c r="EV178" s="288"/>
      <c r="EW178" s="288"/>
      <c r="EX178" s="288"/>
      <c r="EY178" s="288"/>
      <c r="EZ178" s="288"/>
      <c r="FA178" s="288"/>
      <c r="FB178" s="288"/>
      <c r="FC178" s="288"/>
      <c r="FD178" s="288"/>
      <c r="FE178" s="288"/>
      <c r="FF178" s="288"/>
      <c r="FG178" s="288"/>
      <c r="FH178" s="288"/>
    </row>
    <row r="179" ht="14.25" customHeight="1">
      <c r="A179" s="293"/>
      <c r="B179" s="293"/>
      <c r="C179" s="293"/>
      <c r="D179" s="293"/>
      <c r="E179" s="293"/>
      <c r="F179" s="293"/>
      <c r="G179" s="293"/>
      <c r="H179" s="293"/>
      <c r="I179" s="293"/>
      <c r="J179" s="293"/>
      <c r="K179" s="293"/>
      <c r="L179" s="293"/>
      <c r="M179" s="293"/>
      <c r="N179" s="293"/>
      <c r="O179" s="293"/>
      <c r="P179" s="293"/>
      <c r="Q179" s="293"/>
      <c r="R179" s="293"/>
      <c r="S179" s="293"/>
      <c r="T179" s="293"/>
      <c r="U179" s="293"/>
      <c r="V179" s="293"/>
      <c r="W179" s="293"/>
      <c r="X179" s="293"/>
      <c r="Y179" s="293"/>
      <c r="Z179" s="293"/>
      <c r="AA179" s="293"/>
      <c r="AB179" s="293"/>
      <c r="AC179" s="293"/>
      <c r="AD179" s="293"/>
      <c r="AE179" s="293"/>
      <c r="AF179" s="293"/>
      <c r="AG179" s="293"/>
      <c r="AH179" s="293"/>
      <c r="AI179" s="293"/>
      <c r="AJ179" s="293"/>
      <c r="AK179" s="293"/>
      <c r="AL179" s="293"/>
      <c r="AM179" s="293"/>
      <c r="AN179" s="293"/>
      <c r="AO179" s="293"/>
      <c r="AP179" s="293"/>
      <c r="AQ179" s="293"/>
      <c r="AR179" s="293"/>
      <c r="AS179" s="293"/>
      <c r="AT179" s="293"/>
      <c r="AU179" s="293"/>
      <c r="AV179" s="293"/>
      <c r="AW179" s="293"/>
      <c r="AX179" s="293"/>
      <c r="AY179" s="293"/>
      <c r="AZ179" s="293"/>
      <c r="BA179" s="293"/>
      <c r="BB179" s="293"/>
      <c r="BC179" s="293"/>
      <c r="BD179" s="293"/>
      <c r="BE179" s="293"/>
      <c r="BF179" s="293"/>
      <c r="BG179" s="293"/>
      <c r="BH179" s="293"/>
      <c r="BI179" s="293"/>
      <c r="BJ179" s="293"/>
      <c r="BK179" s="293"/>
      <c r="BL179" s="293"/>
      <c r="BM179" s="293"/>
      <c r="BN179" s="293"/>
      <c r="BO179" s="293"/>
      <c r="BP179" s="293"/>
      <c r="BQ179" s="293"/>
      <c r="BR179" s="293"/>
      <c r="BS179" s="293"/>
      <c r="BT179" s="293"/>
      <c r="BU179" s="293"/>
      <c r="BV179" s="293"/>
      <c r="BW179" s="293"/>
      <c r="BX179" s="293"/>
      <c r="BY179" s="293"/>
      <c r="BZ179" s="293"/>
      <c r="CA179" s="293"/>
      <c r="CB179" s="293"/>
      <c r="CC179" s="293"/>
      <c r="CD179" s="293"/>
      <c r="CE179" s="293"/>
      <c r="CF179" s="293"/>
      <c r="CG179" s="293"/>
      <c r="CH179" s="293"/>
      <c r="CI179" s="293"/>
      <c r="CJ179" s="293"/>
      <c r="CK179" s="293"/>
      <c r="CL179" s="293"/>
      <c r="CM179" s="293"/>
      <c r="CN179" s="293"/>
      <c r="CO179" s="293"/>
      <c r="CP179" s="293"/>
      <c r="CQ179" s="293"/>
      <c r="CR179" s="293"/>
      <c r="CS179" s="293"/>
      <c r="CT179" s="293"/>
      <c r="CU179" s="293"/>
      <c r="CV179" s="293"/>
      <c r="CW179" s="293"/>
      <c r="CX179" s="293"/>
      <c r="CY179" s="293"/>
      <c r="CZ179" s="293"/>
      <c r="DA179" s="293"/>
      <c r="DB179" s="293"/>
      <c r="DC179" s="293"/>
      <c r="DD179" s="293"/>
      <c r="DE179" s="293"/>
      <c r="DF179" s="293"/>
      <c r="DG179" s="293"/>
      <c r="DH179" s="293"/>
      <c r="DI179" s="293"/>
      <c r="DJ179" s="293"/>
      <c r="DK179" s="293"/>
      <c r="DL179" s="293"/>
      <c r="DM179" s="293"/>
      <c r="DN179" s="293"/>
      <c r="DO179" s="293"/>
      <c r="DP179" s="293"/>
      <c r="DQ179" s="293"/>
      <c r="DR179" s="293"/>
      <c r="DS179" s="288"/>
      <c r="DT179" s="288"/>
      <c r="DU179" s="288"/>
      <c r="DV179" s="288"/>
      <c r="DW179" s="288"/>
      <c r="DX179" s="288"/>
      <c r="DY179" s="288"/>
      <c r="DZ179" s="288"/>
      <c r="EA179" s="288"/>
      <c r="EB179" s="288"/>
      <c r="EC179" s="288"/>
      <c r="ED179" s="288"/>
      <c r="EE179" s="288"/>
      <c r="EF179" s="288"/>
      <c r="EG179" s="288"/>
      <c r="EH179" s="288"/>
      <c r="EI179" s="288"/>
      <c r="EJ179" s="288"/>
      <c r="EK179" s="288"/>
      <c r="EL179" s="288"/>
      <c r="EM179" s="288"/>
      <c r="EN179" s="288"/>
      <c r="EO179" s="288"/>
      <c r="EP179" s="288"/>
      <c r="EQ179" s="288"/>
      <c r="ER179" s="288"/>
      <c r="ES179" s="288"/>
      <c r="ET179" s="288"/>
      <c r="EU179" s="288"/>
      <c r="EV179" s="288"/>
      <c r="EW179" s="288"/>
      <c r="EX179" s="288"/>
      <c r="EY179" s="288"/>
      <c r="EZ179" s="288"/>
      <c r="FA179" s="288"/>
      <c r="FB179" s="288"/>
      <c r="FC179" s="288"/>
      <c r="FD179" s="288"/>
      <c r="FE179" s="288"/>
      <c r="FF179" s="288"/>
      <c r="FG179" s="288"/>
      <c r="FH179" s="288"/>
    </row>
    <row r="180" ht="14.25" customHeight="1">
      <c r="A180" s="293"/>
      <c r="B180" s="293"/>
      <c r="C180" s="293"/>
      <c r="D180" s="293"/>
      <c r="E180" s="293"/>
      <c r="F180" s="293"/>
      <c r="G180" s="293"/>
      <c r="H180" s="293"/>
      <c r="I180" s="293"/>
      <c r="J180" s="293"/>
      <c r="K180" s="293"/>
      <c r="L180" s="293"/>
      <c r="M180" s="293"/>
      <c r="N180" s="293"/>
      <c r="O180" s="293"/>
      <c r="P180" s="293"/>
      <c r="Q180" s="293"/>
      <c r="R180" s="293"/>
      <c r="S180" s="293"/>
      <c r="T180" s="293"/>
      <c r="U180" s="293"/>
      <c r="V180" s="293"/>
      <c r="W180" s="293"/>
      <c r="X180" s="293"/>
      <c r="Y180" s="293"/>
      <c r="Z180" s="293"/>
      <c r="AA180" s="293"/>
      <c r="AB180" s="293"/>
      <c r="AC180" s="293"/>
      <c r="AD180" s="293"/>
      <c r="AE180" s="293"/>
      <c r="AF180" s="293"/>
      <c r="AG180" s="293"/>
      <c r="AH180" s="293"/>
      <c r="AI180" s="293"/>
      <c r="AJ180" s="293"/>
      <c r="AK180" s="293"/>
      <c r="AL180" s="293"/>
      <c r="AM180" s="293"/>
      <c r="AN180" s="293"/>
      <c r="AO180" s="293"/>
      <c r="AP180" s="293"/>
      <c r="AQ180" s="293"/>
      <c r="AR180" s="293"/>
      <c r="AS180" s="293"/>
      <c r="AT180" s="293"/>
      <c r="AU180" s="293"/>
      <c r="AV180" s="293"/>
      <c r="AW180" s="293"/>
      <c r="AX180" s="293"/>
      <c r="AY180" s="293"/>
      <c r="AZ180" s="293"/>
      <c r="BA180" s="293"/>
      <c r="BB180" s="293"/>
      <c r="BC180" s="293"/>
      <c r="BD180" s="293"/>
      <c r="BE180" s="293"/>
      <c r="BF180" s="293"/>
      <c r="BG180" s="293"/>
      <c r="BH180" s="293"/>
      <c r="BI180" s="293"/>
      <c r="BJ180" s="293"/>
      <c r="BK180" s="293"/>
      <c r="BL180" s="293"/>
      <c r="BM180" s="293"/>
      <c r="BN180" s="293"/>
      <c r="BO180" s="293"/>
      <c r="BP180" s="293"/>
      <c r="BQ180" s="293"/>
      <c r="BR180" s="293"/>
      <c r="BS180" s="293"/>
      <c r="BT180" s="293"/>
      <c r="BU180" s="293"/>
      <c r="BV180" s="293"/>
      <c r="BW180" s="293"/>
      <c r="BX180" s="293"/>
      <c r="BY180" s="293"/>
      <c r="BZ180" s="293"/>
      <c r="CA180" s="293"/>
      <c r="CB180" s="293"/>
      <c r="CC180" s="293"/>
      <c r="CD180" s="293"/>
      <c r="CE180" s="293"/>
      <c r="CF180" s="293"/>
      <c r="CG180" s="293"/>
      <c r="CH180" s="293"/>
      <c r="CI180" s="293"/>
      <c r="CJ180" s="293"/>
      <c r="CK180" s="293"/>
      <c r="CL180" s="293"/>
      <c r="CM180" s="293"/>
      <c r="CN180" s="293"/>
      <c r="CO180" s="293"/>
      <c r="CP180" s="293"/>
      <c r="CQ180" s="293"/>
      <c r="CR180" s="293"/>
      <c r="CS180" s="293"/>
      <c r="CT180" s="293"/>
      <c r="CU180" s="293"/>
      <c r="CV180" s="293"/>
      <c r="CW180" s="293"/>
      <c r="CX180" s="293"/>
      <c r="CY180" s="293"/>
      <c r="CZ180" s="293"/>
      <c r="DA180" s="293"/>
      <c r="DB180" s="293"/>
      <c r="DC180" s="293"/>
      <c r="DD180" s="293"/>
      <c r="DE180" s="293"/>
      <c r="DF180" s="293"/>
      <c r="DG180" s="293"/>
      <c r="DH180" s="293"/>
      <c r="DI180" s="293"/>
      <c r="DJ180" s="293"/>
      <c r="DK180" s="293"/>
      <c r="DL180" s="293"/>
      <c r="DM180" s="293"/>
      <c r="DN180" s="293"/>
      <c r="DO180" s="293"/>
      <c r="DP180" s="293"/>
      <c r="DQ180" s="293"/>
      <c r="DR180" s="293"/>
      <c r="DS180" s="288"/>
      <c r="DT180" s="288"/>
      <c r="DU180" s="288"/>
      <c r="DV180" s="288"/>
      <c r="DW180" s="288"/>
      <c r="DX180" s="288"/>
      <c r="DY180" s="288"/>
      <c r="DZ180" s="288"/>
      <c r="EA180" s="288"/>
      <c r="EB180" s="288"/>
      <c r="EC180" s="288"/>
      <c r="ED180" s="288"/>
      <c r="EE180" s="288"/>
      <c r="EF180" s="288"/>
      <c r="EG180" s="288"/>
      <c r="EH180" s="288"/>
      <c r="EI180" s="288"/>
      <c r="EJ180" s="288"/>
      <c r="EK180" s="288"/>
      <c r="EL180" s="288"/>
      <c r="EM180" s="288"/>
      <c r="EN180" s="288"/>
      <c r="EO180" s="288"/>
      <c r="EP180" s="288"/>
      <c r="EQ180" s="288"/>
      <c r="ER180" s="288"/>
      <c r="ES180" s="288"/>
      <c r="ET180" s="288"/>
      <c r="EU180" s="288"/>
      <c r="EV180" s="288"/>
      <c r="EW180" s="288"/>
      <c r="EX180" s="288"/>
      <c r="EY180" s="288"/>
      <c r="EZ180" s="288"/>
      <c r="FA180" s="288"/>
      <c r="FB180" s="288"/>
      <c r="FC180" s="288"/>
      <c r="FD180" s="288"/>
      <c r="FE180" s="288"/>
      <c r="FF180" s="288"/>
      <c r="FG180" s="288"/>
      <c r="FH180" s="288"/>
    </row>
    <row r="181" ht="14.25" customHeight="1">
      <c r="A181" s="293"/>
      <c r="B181" s="293"/>
      <c r="C181" s="293"/>
      <c r="D181" s="293"/>
      <c r="E181" s="293"/>
      <c r="F181" s="293"/>
      <c r="G181" s="293"/>
      <c r="H181" s="293"/>
      <c r="I181" s="293"/>
      <c r="J181" s="293"/>
      <c r="K181" s="293"/>
      <c r="L181" s="293"/>
      <c r="M181" s="293"/>
      <c r="N181" s="293"/>
      <c r="O181" s="293"/>
      <c r="P181" s="293"/>
      <c r="Q181" s="293"/>
      <c r="R181" s="293"/>
      <c r="S181" s="293"/>
      <c r="T181" s="293"/>
      <c r="U181" s="293"/>
      <c r="V181" s="293"/>
      <c r="W181" s="293"/>
      <c r="X181" s="293"/>
      <c r="Y181" s="293"/>
      <c r="Z181" s="293"/>
      <c r="AA181" s="293"/>
      <c r="AB181" s="293"/>
      <c r="AC181" s="293"/>
      <c r="AD181" s="293"/>
      <c r="AE181" s="293"/>
      <c r="AF181" s="293"/>
      <c r="AG181" s="293"/>
      <c r="AH181" s="293"/>
      <c r="AI181" s="293"/>
      <c r="AJ181" s="293"/>
      <c r="AK181" s="293"/>
      <c r="AL181" s="293"/>
      <c r="AM181" s="293"/>
      <c r="AN181" s="293"/>
      <c r="AO181" s="293"/>
      <c r="AP181" s="293"/>
      <c r="AQ181" s="293"/>
      <c r="AR181" s="293"/>
      <c r="AS181" s="293"/>
      <c r="AT181" s="293"/>
      <c r="AU181" s="293"/>
      <c r="AV181" s="293"/>
      <c r="AW181" s="293"/>
      <c r="AX181" s="293"/>
      <c r="AY181" s="293"/>
      <c r="AZ181" s="293"/>
      <c r="BA181" s="293"/>
      <c r="BB181" s="293"/>
      <c r="BC181" s="293"/>
      <c r="BD181" s="293"/>
      <c r="BE181" s="293"/>
      <c r="BF181" s="293"/>
      <c r="BG181" s="293"/>
      <c r="BH181" s="293"/>
      <c r="BI181" s="293"/>
      <c r="BJ181" s="293"/>
      <c r="BK181" s="293"/>
      <c r="BL181" s="293"/>
      <c r="BM181" s="293"/>
      <c r="BN181" s="293"/>
      <c r="BO181" s="293"/>
      <c r="BP181" s="293"/>
      <c r="BQ181" s="293"/>
      <c r="BR181" s="293"/>
      <c r="BS181" s="293"/>
      <c r="BT181" s="293"/>
      <c r="BU181" s="293"/>
      <c r="BV181" s="293"/>
      <c r="BW181" s="293"/>
      <c r="BX181" s="293"/>
      <c r="BY181" s="293"/>
      <c r="BZ181" s="293"/>
      <c r="CA181" s="293"/>
      <c r="CB181" s="293"/>
      <c r="CC181" s="293"/>
      <c r="CD181" s="293"/>
      <c r="CE181" s="293"/>
      <c r="CF181" s="293"/>
      <c r="CG181" s="293"/>
      <c r="CH181" s="293"/>
      <c r="CI181" s="293"/>
      <c r="CJ181" s="293"/>
      <c r="CK181" s="293"/>
      <c r="CL181" s="293"/>
      <c r="CM181" s="293"/>
      <c r="CN181" s="293"/>
      <c r="CO181" s="293"/>
      <c r="CP181" s="293"/>
      <c r="CQ181" s="293"/>
      <c r="CR181" s="293"/>
      <c r="CS181" s="293"/>
      <c r="CT181" s="293"/>
      <c r="CU181" s="293"/>
      <c r="CV181" s="293"/>
      <c r="CW181" s="293"/>
      <c r="CX181" s="293"/>
      <c r="CY181" s="293"/>
      <c r="CZ181" s="293"/>
      <c r="DA181" s="293"/>
      <c r="DB181" s="293"/>
      <c r="DC181" s="293"/>
      <c r="DD181" s="293"/>
      <c r="DE181" s="293"/>
      <c r="DF181" s="293"/>
      <c r="DG181" s="293"/>
      <c r="DH181" s="293"/>
      <c r="DI181" s="293"/>
      <c r="DJ181" s="293"/>
      <c r="DK181" s="293"/>
      <c r="DL181" s="293"/>
      <c r="DM181" s="293"/>
      <c r="DN181" s="293"/>
      <c r="DO181" s="293"/>
      <c r="DP181" s="293"/>
      <c r="DQ181" s="293"/>
      <c r="DR181" s="293"/>
      <c r="DS181" s="288"/>
      <c r="DT181" s="288"/>
      <c r="DU181" s="288"/>
      <c r="DV181" s="288"/>
      <c r="DW181" s="288"/>
      <c r="DX181" s="288"/>
      <c r="DY181" s="288"/>
      <c r="DZ181" s="288"/>
      <c r="EA181" s="288"/>
      <c r="EB181" s="288"/>
      <c r="EC181" s="288"/>
      <c r="ED181" s="288"/>
      <c r="EE181" s="288"/>
      <c r="EF181" s="288"/>
      <c r="EG181" s="288"/>
      <c r="EH181" s="288"/>
      <c r="EI181" s="288"/>
      <c r="EJ181" s="288"/>
      <c r="EK181" s="288"/>
      <c r="EL181" s="288"/>
      <c r="EM181" s="288"/>
      <c r="EN181" s="288"/>
      <c r="EO181" s="288"/>
      <c r="EP181" s="288"/>
      <c r="EQ181" s="288"/>
      <c r="ER181" s="288"/>
      <c r="ES181" s="288"/>
      <c r="ET181" s="288"/>
      <c r="EU181" s="288"/>
      <c r="EV181" s="288"/>
      <c r="EW181" s="288"/>
      <c r="EX181" s="288"/>
      <c r="EY181" s="288"/>
      <c r="EZ181" s="288"/>
      <c r="FA181" s="288"/>
      <c r="FB181" s="288"/>
      <c r="FC181" s="288"/>
      <c r="FD181" s="288"/>
      <c r="FE181" s="288"/>
      <c r="FF181" s="288"/>
      <c r="FG181" s="288"/>
      <c r="FH181" s="288"/>
    </row>
    <row r="182" ht="14.25" customHeight="1">
      <c r="A182" s="293"/>
      <c r="B182" s="293"/>
      <c r="C182" s="293"/>
      <c r="D182" s="293"/>
      <c r="E182" s="293"/>
      <c r="F182" s="293"/>
      <c r="G182" s="293"/>
      <c r="H182" s="293"/>
      <c r="I182" s="293"/>
      <c r="J182" s="293"/>
      <c r="K182" s="293"/>
      <c r="L182" s="293"/>
      <c r="M182" s="293"/>
      <c r="N182" s="293"/>
      <c r="O182" s="293"/>
      <c r="P182" s="293"/>
      <c r="Q182" s="293"/>
      <c r="R182" s="293"/>
      <c r="S182" s="293"/>
      <c r="T182" s="293"/>
      <c r="U182" s="293"/>
      <c r="V182" s="293"/>
      <c r="W182" s="293"/>
      <c r="X182" s="293"/>
      <c r="Y182" s="293"/>
      <c r="Z182" s="293"/>
      <c r="AA182" s="293"/>
      <c r="AB182" s="293"/>
      <c r="AC182" s="293"/>
      <c r="AD182" s="293"/>
      <c r="AE182" s="293"/>
      <c r="AF182" s="293"/>
      <c r="AG182" s="293"/>
      <c r="AH182" s="293"/>
      <c r="AI182" s="293"/>
      <c r="AJ182" s="293"/>
      <c r="AK182" s="293"/>
      <c r="AL182" s="293"/>
      <c r="AM182" s="293"/>
      <c r="AN182" s="293"/>
      <c r="AO182" s="293"/>
      <c r="AP182" s="293"/>
      <c r="AQ182" s="293"/>
      <c r="AR182" s="293"/>
      <c r="AS182" s="293"/>
      <c r="AT182" s="293"/>
      <c r="AU182" s="293"/>
      <c r="AV182" s="293"/>
      <c r="AW182" s="293"/>
      <c r="AX182" s="293"/>
      <c r="AY182" s="293"/>
      <c r="AZ182" s="293"/>
      <c r="BA182" s="293"/>
      <c r="BB182" s="293"/>
      <c r="BC182" s="293"/>
      <c r="BD182" s="293"/>
      <c r="BE182" s="293"/>
      <c r="BF182" s="293"/>
      <c r="BG182" s="293"/>
      <c r="BH182" s="293"/>
      <c r="BI182" s="293"/>
      <c r="BJ182" s="293"/>
      <c r="BK182" s="293"/>
      <c r="BL182" s="293"/>
      <c r="BM182" s="293"/>
      <c r="BN182" s="293"/>
      <c r="BO182" s="293"/>
      <c r="BP182" s="293"/>
      <c r="BQ182" s="293"/>
      <c r="BR182" s="293"/>
      <c r="BS182" s="293"/>
      <c r="BT182" s="293"/>
      <c r="BU182" s="293"/>
      <c r="BV182" s="293"/>
      <c r="BW182" s="293"/>
      <c r="BX182" s="293"/>
      <c r="BY182" s="293"/>
      <c r="BZ182" s="293"/>
      <c r="CA182" s="293"/>
      <c r="CB182" s="293"/>
      <c r="CC182" s="293"/>
      <c r="CD182" s="293"/>
      <c r="CE182" s="293"/>
      <c r="CF182" s="293"/>
      <c r="CG182" s="293"/>
      <c r="CH182" s="293"/>
      <c r="CI182" s="293"/>
      <c r="CJ182" s="293"/>
      <c r="CK182" s="293"/>
      <c r="CL182" s="293"/>
      <c r="CM182" s="293"/>
      <c r="CN182" s="293"/>
      <c r="CO182" s="293"/>
      <c r="CP182" s="293"/>
      <c r="CQ182" s="293"/>
      <c r="CR182" s="293"/>
      <c r="CS182" s="293"/>
      <c r="CT182" s="293"/>
      <c r="CU182" s="293"/>
      <c r="CV182" s="293"/>
      <c r="CW182" s="293"/>
      <c r="CX182" s="293"/>
      <c r="CY182" s="293"/>
      <c r="CZ182" s="293"/>
      <c r="DA182" s="293"/>
      <c r="DB182" s="293"/>
      <c r="DC182" s="293"/>
      <c r="DD182" s="293"/>
      <c r="DE182" s="293"/>
      <c r="DF182" s="293"/>
      <c r="DG182" s="293"/>
      <c r="DH182" s="293"/>
      <c r="DI182" s="293"/>
      <c r="DJ182" s="293"/>
      <c r="DK182" s="293"/>
      <c r="DL182" s="293"/>
      <c r="DM182" s="293"/>
      <c r="DN182" s="293"/>
      <c r="DO182" s="293"/>
      <c r="DP182" s="293"/>
      <c r="DQ182" s="293"/>
      <c r="DR182" s="293"/>
      <c r="DS182" s="288"/>
      <c r="DT182" s="288"/>
      <c r="DU182" s="288"/>
      <c r="DV182" s="288"/>
      <c r="DW182" s="288"/>
      <c r="DX182" s="288"/>
      <c r="DY182" s="288"/>
      <c r="DZ182" s="288"/>
      <c r="EA182" s="288"/>
      <c r="EB182" s="288"/>
      <c r="EC182" s="288"/>
      <c r="ED182" s="288"/>
      <c r="EE182" s="288"/>
      <c r="EF182" s="288"/>
      <c r="EG182" s="288"/>
      <c r="EH182" s="288"/>
      <c r="EI182" s="288"/>
      <c r="EJ182" s="288"/>
      <c r="EK182" s="288"/>
      <c r="EL182" s="288"/>
      <c r="EM182" s="288"/>
      <c r="EN182" s="288"/>
      <c r="EO182" s="288"/>
      <c r="EP182" s="288"/>
      <c r="EQ182" s="288"/>
      <c r="ER182" s="288"/>
      <c r="ES182" s="288"/>
      <c r="ET182" s="288"/>
      <c r="EU182" s="288"/>
      <c r="EV182" s="288"/>
      <c r="EW182" s="288"/>
      <c r="EX182" s="288"/>
      <c r="EY182" s="288"/>
      <c r="EZ182" s="288"/>
      <c r="FA182" s="288"/>
      <c r="FB182" s="288"/>
      <c r="FC182" s="288"/>
      <c r="FD182" s="288"/>
      <c r="FE182" s="288"/>
      <c r="FF182" s="288"/>
      <c r="FG182" s="288"/>
      <c r="FH182" s="288"/>
    </row>
    <row r="183" ht="14.25" customHeight="1">
      <c r="A183" s="293"/>
      <c r="B183" s="293"/>
      <c r="C183" s="293"/>
      <c r="D183" s="293"/>
      <c r="E183" s="293"/>
      <c r="F183" s="293"/>
      <c r="G183" s="293"/>
      <c r="H183" s="293"/>
      <c r="I183" s="293"/>
      <c r="J183" s="293"/>
      <c r="K183" s="293"/>
      <c r="L183" s="293"/>
      <c r="M183" s="293"/>
      <c r="N183" s="293"/>
      <c r="O183" s="293"/>
      <c r="P183" s="293"/>
      <c r="Q183" s="293"/>
      <c r="R183" s="293"/>
      <c r="S183" s="293"/>
      <c r="T183" s="293"/>
      <c r="U183" s="293"/>
      <c r="V183" s="293"/>
      <c r="W183" s="293"/>
      <c r="X183" s="293"/>
      <c r="Y183" s="293"/>
      <c r="Z183" s="293"/>
      <c r="AA183" s="293"/>
      <c r="AB183" s="293"/>
      <c r="AC183" s="293"/>
      <c r="AD183" s="293"/>
      <c r="AE183" s="293"/>
      <c r="AF183" s="293"/>
      <c r="AG183" s="293"/>
      <c r="AH183" s="293"/>
      <c r="AI183" s="293"/>
      <c r="AJ183" s="293"/>
      <c r="AK183" s="293"/>
      <c r="AL183" s="293"/>
      <c r="AM183" s="293"/>
      <c r="AN183" s="293"/>
      <c r="AO183" s="293"/>
      <c r="AP183" s="293"/>
      <c r="AQ183" s="293"/>
      <c r="AR183" s="293"/>
      <c r="AS183" s="293"/>
      <c r="AT183" s="293"/>
      <c r="AU183" s="293"/>
      <c r="AV183" s="293"/>
      <c r="AW183" s="293"/>
      <c r="AX183" s="293"/>
      <c r="AY183" s="293"/>
      <c r="AZ183" s="293"/>
      <c r="BA183" s="293"/>
      <c r="BB183" s="293"/>
      <c r="BC183" s="293"/>
      <c r="BD183" s="293"/>
      <c r="BE183" s="293"/>
      <c r="BF183" s="293"/>
      <c r="BG183" s="293"/>
      <c r="BH183" s="293"/>
      <c r="BI183" s="293"/>
      <c r="BJ183" s="293"/>
      <c r="BK183" s="293"/>
      <c r="BL183" s="293"/>
      <c r="BM183" s="293"/>
      <c r="BN183" s="293"/>
      <c r="BO183" s="293"/>
      <c r="BP183" s="293"/>
      <c r="BQ183" s="293"/>
      <c r="BR183" s="293"/>
      <c r="BS183" s="293"/>
      <c r="BT183" s="293"/>
      <c r="BU183" s="293"/>
      <c r="BV183" s="293"/>
      <c r="BW183" s="293"/>
      <c r="BX183" s="293"/>
      <c r="BY183" s="293"/>
      <c r="BZ183" s="293"/>
      <c r="CA183" s="293"/>
      <c r="CB183" s="293"/>
      <c r="CC183" s="293"/>
      <c r="CD183" s="293"/>
      <c r="CE183" s="293"/>
      <c r="CF183" s="293"/>
      <c r="CG183" s="293"/>
      <c r="CH183" s="293"/>
      <c r="CI183" s="293"/>
      <c r="CJ183" s="293"/>
      <c r="CK183" s="293"/>
      <c r="CL183" s="293"/>
      <c r="CM183" s="293"/>
      <c r="CN183" s="293"/>
      <c r="CO183" s="293"/>
      <c r="CP183" s="293"/>
      <c r="CQ183" s="293"/>
      <c r="CR183" s="293"/>
      <c r="CS183" s="293"/>
      <c r="CT183" s="293"/>
      <c r="CU183" s="293"/>
      <c r="CV183" s="293"/>
      <c r="CW183" s="293"/>
      <c r="CX183" s="293"/>
      <c r="CY183" s="293"/>
      <c r="CZ183" s="293"/>
      <c r="DA183" s="293"/>
      <c r="DB183" s="293"/>
      <c r="DC183" s="293"/>
      <c r="DD183" s="293"/>
      <c r="DE183" s="293"/>
      <c r="DF183" s="293"/>
      <c r="DG183" s="293"/>
      <c r="DH183" s="293"/>
      <c r="DI183" s="293"/>
      <c r="DJ183" s="293"/>
      <c r="DK183" s="293"/>
      <c r="DL183" s="293"/>
      <c r="DM183" s="293"/>
      <c r="DN183" s="293"/>
      <c r="DO183" s="293"/>
      <c r="DP183" s="293"/>
      <c r="DQ183" s="293"/>
      <c r="DR183" s="293"/>
      <c r="DS183" s="288"/>
      <c r="DT183" s="288"/>
      <c r="DU183" s="288"/>
      <c r="DV183" s="288"/>
      <c r="DW183" s="288"/>
      <c r="DX183" s="288"/>
      <c r="DY183" s="288"/>
      <c r="DZ183" s="288"/>
      <c r="EA183" s="288"/>
      <c r="EB183" s="288"/>
      <c r="EC183" s="288"/>
      <c r="ED183" s="288"/>
      <c r="EE183" s="288"/>
      <c r="EF183" s="288"/>
      <c r="EG183" s="288"/>
      <c r="EH183" s="288"/>
      <c r="EI183" s="288"/>
      <c r="EJ183" s="288"/>
      <c r="EK183" s="288"/>
      <c r="EL183" s="288"/>
      <c r="EM183" s="288"/>
      <c r="EN183" s="288"/>
      <c r="EO183" s="288"/>
      <c r="EP183" s="288"/>
      <c r="EQ183" s="288"/>
      <c r="ER183" s="288"/>
      <c r="ES183" s="288"/>
      <c r="ET183" s="288"/>
      <c r="EU183" s="288"/>
      <c r="EV183" s="288"/>
      <c r="EW183" s="288"/>
      <c r="EX183" s="288"/>
      <c r="EY183" s="288"/>
      <c r="EZ183" s="288"/>
      <c r="FA183" s="288"/>
      <c r="FB183" s="288"/>
      <c r="FC183" s="288"/>
      <c r="FD183" s="288"/>
      <c r="FE183" s="288"/>
      <c r="FF183" s="288"/>
      <c r="FG183" s="288"/>
      <c r="FH183" s="288"/>
    </row>
    <row r="184" ht="14.25" customHeight="1">
      <c r="A184" s="293"/>
      <c r="B184" s="293"/>
      <c r="C184" s="293"/>
      <c r="D184" s="293"/>
      <c r="E184" s="293"/>
      <c r="F184" s="293"/>
      <c r="G184" s="293"/>
      <c r="H184" s="293"/>
      <c r="I184" s="293"/>
      <c r="J184" s="293"/>
      <c r="K184" s="293"/>
      <c r="L184" s="293"/>
      <c r="M184" s="293"/>
      <c r="N184" s="293"/>
      <c r="O184" s="293"/>
      <c r="P184" s="293"/>
      <c r="Q184" s="293"/>
      <c r="R184" s="293"/>
      <c r="S184" s="293"/>
      <c r="T184" s="293"/>
      <c r="U184" s="293"/>
      <c r="V184" s="293"/>
      <c r="W184" s="293"/>
      <c r="X184" s="293"/>
      <c r="Y184" s="293"/>
      <c r="Z184" s="293"/>
      <c r="AA184" s="293"/>
      <c r="AB184" s="293"/>
      <c r="AC184" s="293"/>
      <c r="AD184" s="293"/>
      <c r="AE184" s="293"/>
      <c r="AF184" s="293"/>
      <c r="AG184" s="293"/>
      <c r="AH184" s="293"/>
      <c r="AI184" s="293"/>
      <c r="AJ184" s="293"/>
      <c r="AK184" s="293"/>
      <c r="AL184" s="293"/>
      <c r="AM184" s="293"/>
      <c r="AN184" s="293"/>
      <c r="AO184" s="293"/>
      <c r="AP184" s="293"/>
      <c r="AQ184" s="293"/>
      <c r="AR184" s="293"/>
      <c r="AS184" s="293"/>
      <c r="AT184" s="293"/>
      <c r="AU184" s="293"/>
      <c r="AV184" s="293"/>
      <c r="AW184" s="293"/>
      <c r="AX184" s="293"/>
      <c r="AY184" s="293"/>
      <c r="AZ184" s="293"/>
      <c r="BA184" s="293"/>
      <c r="BB184" s="293"/>
      <c r="BC184" s="293"/>
      <c r="BD184" s="293"/>
      <c r="BE184" s="293"/>
      <c r="BF184" s="293"/>
      <c r="BG184" s="293"/>
      <c r="BH184" s="293"/>
      <c r="BI184" s="293"/>
      <c r="BJ184" s="293"/>
      <c r="BK184" s="293"/>
      <c r="BL184" s="293"/>
      <c r="BM184" s="293"/>
      <c r="BN184" s="293"/>
      <c r="BO184" s="293"/>
      <c r="BP184" s="293"/>
      <c r="BQ184" s="293"/>
      <c r="BR184" s="293"/>
      <c r="BS184" s="293"/>
      <c r="BT184" s="293"/>
      <c r="BU184" s="293"/>
      <c r="BV184" s="293"/>
      <c r="BW184" s="293"/>
      <c r="BX184" s="293"/>
      <c r="BY184" s="293"/>
      <c r="BZ184" s="293"/>
      <c r="CA184" s="293"/>
      <c r="CB184" s="293"/>
      <c r="CC184" s="293"/>
      <c r="CD184" s="293"/>
      <c r="CE184" s="293"/>
      <c r="CF184" s="293"/>
      <c r="CG184" s="293"/>
      <c r="CH184" s="293"/>
      <c r="CI184" s="293"/>
      <c r="CJ184" s="293"/>
      <c r="CK184" s="293"/>
      <c r="CL184" s="293"/>
      <c r="CM184" s="293"/>
      <c r="CN184" s="293"/>
      <c r="CO184" s="293"/>
      <c r="CP184" s="293"/>
      <c r="CQ184" s="293"/>
      <c r="CR184" s="293"/>
      <c r="CS184" s="293"/>
      <c r="CT184" s="293"/>
      <c r="CU184" s="293"/>
      <c r="CV184" s="293"/>
      <c r="CW184" s="293"/>
      <c r="CX184" s="293"/>
      <c r="CY184" s="293"/>
      <c r="CZ184" s="293"/>
      <c r="DA184" s="293"/>
      <c r="DB184" s="293"/>
      <c r="DC184" s="293"/>
      <c r="DD184" s="293"/>
      <c r="DE184" s="293"/>
      <c r="DF184" s="293"/>
      <c r="DG184" s="293"/>
      <c r="DH184" s="293"/>
      <c r="DI184" s="293"/>
      <c r="DJ184" s="293"/>
      <c r="DK184" s="293"/>
      <c r="DL184" s="293"/>
      <c r="DM184" s="293"/>
      <c r="DN184" s="293"/>
      <c r="DO184" s="293"/>
      <c r="DP184" s="293"/>
      <c r="DQ184" s="293"/>
      <c r="DR184" s="293"/>
      <c r="DS184" s="288"/>
      <c r="DT184" s="288"/>
      <c r="DU184" s="288"/>
      <c r="DV184" s="288"/>
      <c r="DW184" s="288"/>
      <c r="DX184" s="288"/>
      <c r="DY184" s="288"/>
      <c r="DZ184" s="288"/>
      <c r="EA184" s="288"/>
      <c r="EB184" s="288"/>
      <c r="EC184" s="288"/>
      <c r="ED184" s="288"/>
      <c r="EE184" s="288"/>
      <c r="EF184" s="288"/>
      <c r="EG184" s="288"/>
      <c r="EH184" s="288"/>
      <c r="EI184" s="288"/>
      <c r="EJ184" s="288"/>
      <c r="EK184" s="288"/>
      <c r="EL184" s="288"/>
      <c r="EM184" s="288"/>
      <c r="EN184" s="288"/>
      <c r="EO184" s="288"/>
      <c r="EP184" s="288"/>
      <c r="EQ184" s="288"/>
      <c r="ER184" s="288"/>
      <c r="ES184" s="288"/>
      <c r="ET184" s="288"/>
      <c r="EU184" s="288"/>
      <c r="EV184" s="288"/>
      <c r="EW184" s="288"/>
      <c r="EX184" s="288"/>
      <c r="EY184" s="288"/>
      <c r="EZ184" s="288"/>
      <c r="FA184" s="288"/>
      <c r="FB184" s="288"/>
      <c r="FC184" s="288"/>
      <c r="FD184" s="288"/>
      <c r="FE184" s="288"/>
      <c r="FF184" s="288"/>
      <c r="FG184" s="288"/>
      <c r="FH184" s="288"/>
    </row>
    <row r="185" ht="14.25" customHeight="1">
      <c r="A185" s="293"/>
      <c r="B185" s="293"/>
      <c r="C185" s="293"/>
      <c r="D185" s="293"/>
      <c r="E185" s="293"/>
      <c r="F185" s="293"/>
      <c r="G185" s="293"/>
      <c r="H185" s="293"/>
      <c r="I185" s="293"/>
      <c r="J185" s="293"/>
      <c r="K185" s="293"/>
      <c r="L185" s="293"/>
      <c r="M185" s="293"/>
      <c r="N185" s="293"/>
      <c r="O185" s="293"/>
      <c r="P185" s="293"/>
      <c r="Q185" s="293"/>
      <c r="R185" s="293"/>
      <c r="S185" s="293"/>
      <c r="T185" s="293"/>
      <c r="U185" s="293"/>
      <c r="V185" s="293"/>
      <c r="W185" s="293"/>
      <c r="X185" s="293"/>
      <c r="Y185" s="293"/>
      <c r="Z185" s="293"/>
      <c r="AA185" s="293"/>
      <c r="AB185" s="293"/>
      <c r="AC185" s="293"/>
      <c r="AD185" s="293"/>
      <c r="AE185" s="293"/>
      <c r="AF185" s="293"/>
      <c r="AG185" s="293"/>
      <c r="AH185" s="293"/>
      <c r="AI185" s="293"/>
      <c r="AJ185" s="293"/>
      <c r="AK185" s="293"/>
      <c r="AL185" s="293"/>
      <c r="AM185" s="293"/>
      <c r="AN185" s="293"/>
      <c r="AO185" s="293"/>
      <c r="AP185" s="293"/>
      <c r="AQ185" s="293"/>
      <c r="AR185" s="293"/>
      <c r="AS185" s="293"/>
      <c r="AT185" s="293"/>
      <c r="AU185" s="293"/>
      <c r="AV185" s="293"/>
      <c r="AW185" s="293"/>
      <c r="AX185" s="293"/>
      <c r="AY185" s="293"/>
      <c r="AZ185" s="293"/>
      <c r="BA185" s="293"/>
      <c r="BB185" s="293"/>
      <c r="BC185" s="293"/>
      <c r="BD185" s="293"/>
      <c r="BE185" s="293"/>
      <c r="BF185" s="293"/>
      <c r="BG185" s="293"/>
      <c r="BH185" s="293"/>
      <c r="BI185" s="293"/>
      <c r="BJ185" s="293"/>
      <c r="BK185" s="293"/>
      <c r="BL185" s="293"/>
      <c r="BM185" s="293"/>
      <c r="BN185" s="293"/>
      <c r="BO185" s="293"/>
      <c r="BP185" s="293"/>
      <c r="BQ185" s="293"/>
      <c r="BR185" s="293"/>
      <c r="BS185" s="293"/>
      <c r="BT185" s="293"/>
      <c r="BU185" s="293"/>
      <c r="BV185" s="293"/>
      <c r="BW185" s="293"/>
      <c r="BX185" s="293"/>
      <c r="BY185" s="293"/>
      <c r="BZ185" s="293"/>
      <c r="CA185" s="293"/>
      <c r="CB185" s="293"/>
      <c r="CC185" s="293"/>
      <c r="CD185" s="293"/>
      <c r="CE185" s="293"/>
      <c r="CF185" s="293"/>
      <c r="CG185" s="293"/>
      <c r="CH185" s="293"/>
      <c r="CI185" s="293"/>
      <c r="CJ185" s="293"/>
      <c r="CK185" s="293"/>
      <c r="CL185" s="293"/>
      <c r="CM185" s="293"/>
      <c r="CN185" s="293"/>
      <c r="CO185" s="293"/>
      <c r="CP185" s="293"/>
      <c r="CQ185" s="293"/>
      <c r="CR185" s="293"/>
      <c r="CS185" s="293"/>
      <c r="CT185" s="293"/>
      <c r="CU185" s="293"/>
      <c r="CV185" s="293"/>
      <c r="CW185" s="293"/>
      <c r="CX185" s="293"/>
      <c r="CY185" s="293"/>
      <c r="CZ185" s="293"/>
      <c r="DA185" s="293"/>
      <c r="DB185" s="293"/>
      <c r="DC185" s="293"/>
      <c r="DD185" s="293"/>
      <c r="DE185" s="293"/>
      <c r="DF185" s="293"/>
      <c r="DG185" s="293"/>
      <c r="DH185" s="293"/>
      <c r="DI185" s="293"/>
      <c r="DJ185" s="293"/>
      <c r="DK185" s="293"/>
      <c r="DL185" s="293"/>
      <c r="DM185" s="293"/>
      <c r="DN185" s="293"/>
      <c r="DO185" s="293"/>
      <c r="DP185" s="293"/>
      <c r="DQ185" s="293"/>
      <c r="DR185" s="293"/>
      <c r="DS185" s="288"/>
      <c r="DT185" s="288"/>
      <c r="DU185" s="288"/>
      <c r="DV185" s="288"/>
      <c r="DW185" s="288"/>
      <c r="DX185" s="288"/>
      <c r="DY185" s="288"/>
      <c r="DZ185" s="288"/>
      <c r="EA185" s="288"/>
      <c r="EB185" s="288"/>
      <c r="EC185" s="288"/>
      <c r="ED185" s="288"/>
      <c r="EE185" s="288"/>
      <c r="EF185" s="288"/>
      <c r="EG185" s="288"/>
      <c r="EH185" s="288"/>
      <c r="EI185" s="288"/>
      <c r="EJ185" s="288"/>
      <c r="EK185" s="288"/>
      <c r="EL185" s="288"/>
      <c r="EM185" s="288"/>
      <c r="EN185" s="288"/>
      <c r="EO185" s="288"/>
      <c r="EP185" s="288"/>
      <c r="EQ185" s="288"/>
      <c r="ER185" s="288"/>
      <c r="ES185" s="288"/>
      <c r="ET185" s="288"/>
      <c r="EU185" s="288"/>
      <c r="EV185" s="288"/>
      <c r="EW185" s="288"/>
      <c r="EX185" s="288"/>
      <c r="EY185" s="288"/>
      <c r="EZ185" s="288"/>
      <c r="FA185" s="288"/>
      <c r="FB185" s="288"/>
      <c r="FC185" s="288"/>
      <c r="FD185" s="288"/>
      <c r="FE185" s="288"/>
      <c r="FF185" s="288"/>
      <c r="FG185" s="288"/>
      <c r="FH185" s="288"/>
    </row>
    <row r="186" ht="14.25" customHeight="1">
      <c r="A186" s="293"/>
      <c r="B186" s="293"/>
      <c r="C186" s="293"/>
      <c r="D186" s="293"/>
      <c r="E186" s="293"/>
      <c r="F186" s="293"/>
      <c r="G186" s="293"/>
      <c r="H186" s="293"/>
      <c r="I186" s="293"/>
      <c r="J186" s="293"/>
      <c r="K186" s="293"/>
      <c r="L186" s="293"/>
      <c r="M186" s="293"/>
      <c r="N186" s="293"/>
      <c r="O186" s="293"/>
      <c r="P186" s="293"/>
      <c r="Q186" s="293"/>
      <c r="R186" s="293"/>
      <c r="S186" s="293"/>
      <c r="T186" s="293"/>
      <c r="U186" s="293"/>
      <c r="V186" s="293"/>
      <c r="W186" s="293"/>
      <c r="X186" s="293"/>
      <c r="Y186" s="293"/>
      <c r="Z186" s="293"/>
      <c r="AA186" s="293"/>
      <c r="AB186" s="293"/>
      <c r="AC186" s="293"/>
      <c r="AD186" s="293"/>
      <c r="AE186" s="293"/>
      <c r="AF186" s="293"/>
      <c r="AG186" s="293"/>
      <c r="AH186" s="293"/>
      <c r="AI186" s="293"/>
      <c r="AJ186" s="293"/>
      <c r="AK186" s="293"/>
      <c r="AL186" s="293"/>
      <c r="AM186" s="293"/>
      <c r="AN186" s="293"/>
      <c r="AO186" s="293"/>
      <c r="AP186" s="293"/>
      <c r="AQ186" s="293"/>
      <c r="AR186" s="293"/>
      <c r="AS186" s="293"/>
      <c r="AT186" s="293"/>
      <c r="AU186" s="293"/>
      <c r="AV186" s="293"/>
      <c r="AW186" s="293"/>
      <c r="AX186" s="293"/>
      <c r="AY186" s="293"/>
      <c r="AZ186" s="293"/>
      <c r="BA186" s="293"/>
      <c r="BB186" s="293"/>
      <c r="BC186" s="293"/>
      <c r="BD186" s="293"/>
      <c r="BE186" s="293"/>
      <c r="BF186" s="293"/>
      <c r="BG186" s="293"/>
      <c r="BH186" s="293"/>
      <c r="BI186" s="293"/>
      <c r="BJ186" s="293"/>
      <c r="BK186" s="293"/>
      <c r="BL186" s="293"/>
      <c r="BM186" s="293"/>
      <c r="BN186" s="293"/>
      <c r="BO186" s="293"/>
      <c r="BP186" s="293"/>
      <c r="BQ186" s="293"/>
      <c r="BR186" s="293"/>
      <c r="BS186" s="293"/>
      <c r="BT186" s="293"/>
      <c r="BU186" s="293"/>
      <c r="BV186" s="293"/>
      <c r="BW186" s="293"/>
      <c r="BX186" s="293"/>
      <c r="BY186" s="293"/>
      <c r="BZ186" s="293"/>
      <c r="CA186" s="293"/>
      <c r="CB186" s="293"/>
      <c r="CC186" s="293"/>
      <c r="CD186" s="293"/>
      <c r="CE186" s="293"/>
      <c r="CF186" s="293"/>
      <c r="CG186" s="293"/>
      <c r="CH186" s="293"/>
      <c r="CI186" s="293"/>
      <c r="CJ186" s="293"/>
      <c r="CK186" s="293"/>
      <c r="CL186" s="293"/>
      <c r="CM186" s="293"/>
      <c r="CN186" s="293"/>
      <c r="CO186" s="293"/>
      <c r="CP186" s="293"/>
      <c r="CQ186" s="293"/>
      <c r="CR186" s="293"/>
      <c r="CS186" s="293"/>
      <c r="CT186" s="293"/>
      <c r="CU186" s="293"/>
      <c r="CV186" s="293"/>
      <c r="CW186" s="293"/>
      <c r="CX186" s="293"/>
      <c r="CY186" s="293"/>
      <c r="CZ186" s="293"/>
      <c r="DA186" s="293"/>
      <c r="DB186" s="293"/>
      <c r="DC186" s="293"/>
      <c r="DD186" s="293"/>
      <c r="DE186" s="293"/>
      <c r="DF186" s="293"/>
      <c r="DG186" s="293"/>
      <c r="DH186" s="293"/>
      <c r="DI186" s="293"/>
      <c r="DJ186" s="293"/>
      <c r="DK186" s="293"/>
      <c r="DL186" s="293"/>
      <c r="DM186" s="293"/>
      <c r="DN186" s="293"/>
      <c r="DO186" s="293"/>
      <c r="DP186" s="293"/>
      <c r="DQ186" s="293"/>
      <c r="DR186" s="293"/>
      <c r="DS186" s="288"/>
      <c r="DT186" s="288"/>
      <c r="DU186" s="288"/>
      <c r="DV186" s="288"/>
      <c r="DW186" s="288"/>
      <c r="DX186" s="288"/>
      <c r="DY186" s="288"/>
      <c r="DZ186" s="288"/>
      <c r="EA186" s="288"/>
      <c r="EB186" s="288"/>
      <c r="EC186" s="288"/>
      <c r="ED186" s="288"/>
      <c r="EE186" s="288"/>
      <c r="EF186" s="288"/>
      <c r="EG186" s="288"/>
      <c r="EH186" s="288"/>
      <c r="EI186" s="288"/>
      <c r="EJ186" s="288"/>
      <c r="EK186" s="288"/>
      <c r="EL186" s="288"/>
      <c r="EM186" s="288"/>
      <c r="EN186" s="288"/>
      <c r="EO186" s="288"/>
      <c r="EP186" s="288"/>
      <c r="EQ186" s="288"/>
      <c r="ER186" s="288"/>
      <c r="ES186" s="288"/>
      <c r="ET186" s="288"/>
      <c r="EU186" s="288"/>
      <c r="EV186" s="288"/>
      <c r="EW186" s="288"/>
      <c r="EX186" s="288"/>
      <c r="EY186" s="288"/>
      <c r="EZ186" s="288"/>
      <c r="FA186" s="288"/>
      <c r="FB186" s="288"/>
      <c r="FC186" s="288"/>
      <c r="FD186" s="288"/>
      <c r="FE186" s="288"/>
      <c r="FF186" s="288"/>
      <c r="FG186" s="288"/>
      <c r="FH186" s="288"/>
    </row>
    <row r="187" ht="14.25" customHeight="1">
      <c r="A187" s="293"/>
      <c r="B187" s="293"/>
      <c r="C187" s="293"/>
      <c r="D187" s="293"/>
      <c r="E187" s="293"/>
      <c r="F187" s="293"/>
      <c r="G187" s="293"/>
      <c r="H187" s="293"/>
      <c r="I187" s="293"/>
      <c r="J187" s="293"/>
      <c r="K187" s="293"/>
      <c r="L187" s="293"/>
      <c r="M187" s="293"/>
      <c r="N187" s="293"/>
      <c r="O187" s="293"/>
      <c r="P187" s="293"/>
      <c r="Q187" s="293"/>
      <c r="R187" s="293"/>
      <c r="S187" s="293"/>
      <c r="T187" s="293"/>
      <c r="U187" s="293"/>
      <c r="V187" s="293"/>
      <c r="W187" s="293"/>
      <c r="X187" s="293"/>
      <c r="Y187" s="293"/>
      <c r="Z187" s="293"/>
      <c r="AA187" s="293"/>
      <c r="AB187" s="293"/>
      <c r="AC187" s="293"/>
      <c r="AD187" s="293"/>
      <c r="AE187" s="293"/>
      <c r="AF187" s="293"/>
      <c r="AG187" s="293"/>
      <c r="AH187" s="293"/>
      <c r="AI187" s="293"/>
      <c r="AJ187" s="293"/>
      <c r="AK187" s="293"/>
      <c r="AL187" s="293"/>
      <c r="AM187" s="293"/>
      <c r="AN187" s="293"/>
      <c r="AO187" s="293"/>
      <c r="AP187" s="293"/>
      <c r="AQ187" s="293"/>
      <c r="AR187" s="293"/>
      <c r="AS187" s="293"/>
      <c r="AT187" s="293"/>
      <c r="AU187" s="293"/>
      <c r="AV187" s="293"/>
      <c r="AW187" s="293"/>
      <c r="AX187" s="293"/>
      <c r="AY187" s="293"/>
      <c r="AZ187" s="293"/>
      <c r="BA187" s="293"/>
      <c r="BB187" s="293"/>
      <c r="BC187" s="293"/>
      <c r="BD187" s="293"/>
      <c r="BE187" s="293"/>
      <c r="BF187" s="293"/>
      <c r="BG187" s="293"/>
      <c r="BH187" s="293"/>
      <c r="BI187" s="293"/>
      <c r="BJ187" s="293"/>
      <c r="BK187" s="293"/>
      <c r="BL187" s="293"/>
      <c r="BM187" s="293"/>
      <c r="BN187" s="293"/>
      <c r="BO187" s="293"/>
      <c r="BP187" s="293"/>
      <c r="BQ187" s="293"/>
      <c r="BR187" s="293"/>
      <c r="BS187" s="293"/>
      <c r="BT187" s="293"/>
      <c r="BU187" s="293"/>
      <c r="BV187" s="293"/>
      <c r="BW187" s="293"/>
      <c r="BX187" s="293"/>
      <c r="BY187" s="293"/>
      <c r="BZ187" s="293"/>
      <c r="CA187" s="293"/>
      <c r="CB187" s="293"/>
      <c r="CC187" s="293"/>
      <c r="CD187" s="293"/>
      <c r="CE187" s="293"/>
      <c r="CF187" s="293"/>
      <c r="CG187" s="293"/>
      <c r="CH187" s="293"/>
      <c r="CI187" s="293"/>
      <c r="CJ187" s="293"/>
      <c r="CK187" s="293"/>
      <c r="CL187" s="293"/>
      <c r="CM187" s="293"/>
      <c r="CN187" s="293"/>
      <c r="CO187" s="293"/>
      <c r="CP187" s="293"/>
      <c r="CQ187" s="293"/>
      <c r="CR187" s="293"/>
      <c r="CS187" s="293"/>
      <c r="CT187" s="293"/>
      <c r="CU187" s="293"/>
      <c r="CV187" s="293"/>
      <c r="CW187" s="293"/>
      <c r="CX187" s="293"/>
      <c r="CY187" s="293"/>
      <c r="CZ187" s="293"/>
      <c r="DA187" s="293"/>
      <c r="DB187" s="293"/>
      <c r="DC187" s="293"/>
      <c r="DD187" s="293"/>
      <c r="DE187" s="293"/>
      <c r="DF187" s="293"/>
      <c r="DG187" s="293"/>
      <c r="DH187" s="293"/>
      <c r="DI187" s="293"/>
      <c r="DJ187" s="293"/>
      <c r="DK187" s="293"/>
      <c r="DL187" s="293"/>
      <c r="DM187" s="293"/>
      <c r="DN187" s="293"/>
      <c r="DO187" s="293"/>
      <c r="DP187" s="293"/>
      <c r="DQ187" s="293"/>
      <c r="DR187" s="293"/>
      <c r="DS187" s="288"/>
      <c r="DT187" s="288"/>
      <c r="DU187" s="288"/>
      <c r="DV187" s="288"/>
      <c r="DW187" s="288"/>
      <c r="DX187" s="288"/>
      <c r="DY187" s="288"/>
      <c r="DZ187" s="288"/>
      <c r="EA187" s="288"/>
      <c r="EB187" s="288"/>
      <c r="EC187" s="288"/>
      <c r="ED187" s="288"/>
      <c r="EE187" s="288"/>
      <c r="EF187" s="288"/>
      <c r="EG187" s="288"/>
      <c r="EH187" s="288"/>
      <c r="EI187" s="288"/>
      <c r="EJ187" s="288"/>
      <c r="EK187" s="288"/>
      <c r="EL187" s="288"/>
      <c r="EM187" s="288"/>
      <c r="EN187" s="288"/>
      <c r="EO187" s="288"/>
      <c r="EP187" s="288"/>
      <c r="EQ187" s="288"/>
      <c r="ER187" s="288"/>
      <c r="ES187" s="288"/>
      <c r="ET187" s="288"/>
      <c r="EU187" s="288"/>
      <c r="EV187" s="288"/>
      <c r="EW187" s="288"/>
      <c r="EX187" s="288"/>
      <c r="EY187" s="288"/>
      <c r="EZ187" s="288"/>
      <c r="FA187" s="288"/>
      <c r="FB187" s="288"/>
      <c r="FC187" s="288"/>
      <c r="FD187" s="288"/>
      <c r="FE187" s="288"/>
      <c r="FF187" s="288"/>
      <c r="FG187" s="288"/>
      <c r="FH187" s="288"/>
    </row>
    <row r="188" ht="14.25" customHeight="1">
      <c r="A188" s="293"/>
      <c r="B188" s="293"/>
      <c r="C188" s="293"/>
      <c r="D188" s="293"/>
      <c r="E188" s="293"/>
      <c r="F188" s="293"/>
      <c r="G188" s="293"/>
      <c r="H188" s="293"/>
      <c r="I188" s="293"/>
      <c r="J188" s="293"/>
      <c r="K188" s="293"/>
      <c r="L188" s="293"/>
      <c r="M188" s="293"/>
      <c r="N188" s="293"/>
      <c r="O188" s="293"/>
      <c r="P188" s="293"/>
      <c r="Q188" s="293"/>
      <c r="R188" s="293"/>
      <c r="S188" s="293"/>
      <c r="T188" s="293"/>
      <c r="U188" s="293"/>
      <c r="V188" s="293"/>
      <c r="W188" s="293"/>
      <c r="X188" s="293"/>
      <c r="Y188" s="293"/>
      <c r="Z188" s="293"/>
      <c r="AA188" s="293"/>
      <c r="AB188" s="293"/>
      <c r="AC188" s="293"/>
      <c r="AD188" s="293"/>
      <c r="AE188" s="293"/>
      <c r="AF188" s="293"/>
      <c r="AG188" s="293"/>
      <c r="AH188" s="293"/>
      <c r="AI188" s="293"/>
      <c r="AJ188" s="293"/>
      <c r="AK188" s="293"/>
      <c r="AL188" s="293"/>
      <c r="AM188" s="293"/>
      <c r="AN188" s="293"/>
      <c r="AO188" s="293"/>
      <c r="AP188" s="293"/>
      <c r="AQ188" s="293"/>
      <c r="AR188" s="293"/>
      <c r="AS188" s="293"/>
      <c r="AT188" s="293"/>
      <c r="AU188" s="293"/>
      <c r="AV188" s="293"/>
      <c r="AW188" s="293"/>
      <c r="AX188" s="293"/>
      <c r="AY188" s="293"/>
      <c r="AZ188" s="293"/>
      <c r="BA188" s="293"/>
      <c r="BB188" s="293"/>
      <c r="BC188" s="293"/>
      <c r="BD188" s="293"/>
      <c r="BE188" s="293"/>
      <c r="BF188" s="293"/>
      <c r="BG188" s="293"/>
      <c r="BH188" s="293"/>
      <c r="BI188" s="293"/>
      <c r="BJ188" s="293"/>
      <c r="BK188" s="293"/>
      <c r="BL188" s="293"/>
      <c r="BM188" s="293"/>
      <c r="BN188" s="293"/>
      <c r="BO188" s="293"/>
      <c r="BP188" s="293"/>
      <c r="BQ188" s="293"/>
      <c r="BR188" s="293"/>
      <c r="BS188" s="293"/>
      <c r="BT188" s="293"/>
      <c r="BU188" s="293"/>
      <c r="BV188" s="293"/>
      <c r="BW188" s="293"/>
      <c r="BX188" s="293"/>
      <c r="BY188" s="293"/>
      <c r="BZ188" s="293"/>
      <c r="CA188" s="293"/>
      <c r="CB188" s="293"/>
      <c r="CC188" s="293"/>
      <c r="CD188" s="293"/>
      <c r="CE188" s="293"/>
      <c r="CF188" s="293"/>
      <c r="CG188" s="293"/>
      <c r="CH188" s="293"/>
      <c r="CI188" s="293"/>
      <c r="CJ188" s="293"/>
      <c r="CK188" s="293"/>
      <c r="CL188" s="293"/>
      <c r="CM188" s="293"/>
      <c r="CN188" s="293"/>
      <c r="CO188" s="293"/>
      <c r="CP188" s="293"/>
      <c r="CQ188" s="293"/>
      <c r="CR188" s="293"/>
      <c r="CS188" s="293"/>
      <c r="CT188" s="293"/>
      <c r="CU188" s="293"/>
      <c r="CV188" s="293"/>
      <c r="CW188" s="293"/>
      <c r="CX188" s="293"/>
      <c r="CY188" s="293"/>
      <c r="CZ188" s="293"/>
      <c r="DA188" s="293"/>
      <c r="DB188" s="293"/>
      <c r="DC188" s="293"/>
      <c r="DD188" s="293"/>
      <c r="DE188" s="293"/>
      <c r="DF188" s="293"/>
      <c r="DG188" s="293"/>
      <c r="DH188" s="293"/>
      <c r="DI188" s="293"/>
      <c r="DJ188" s="293"/>
      <c r="DK188" s="293"/>
      <c r="DL188" s="293"/>
      <c r="DM188" s="293"/>
      <c r="DN188" s="293"/>
      <c r="DO188" s="293"/>
      <c r="DP188" s="293"/>
      <c r="DQ188" s="293"/>
      <c r="DR188" s="293"/>
      <c r="DS188" s="288"/>
      <c r="DT188" s="288"/>
      <c r="DU188" s="288"/>
      <c r="DV188" s="288"/>
      <c r="DW188" s="288"/>
      <c r="DX188" s="288"/>
      <c r="DY188" s="288"/>
      <c r="DZ188" s="288"/>
      <c r="EA188" s="288"/>
      <c r="EB188" s="288"/>
      <c r="EC188" s="288"/>
      <c r="ED188" s="288"/>
      <c r="EE188" s="288"/>
      <c r="EF188" s="288"/>
      <c r="EG188" s="288"/>
      <c r="EH188" s="288"/>
      <c r="EI188" s="288"/>
      <c r="EJ188" s="288"/>
      <c r="EK188" s="288"/>
      <c r="EL188" s="288"/>
      <c r="EM188" s="288"/>
      <c r="EN188" s="288"/>
      <c r="EO188" s="288"/>
      <c r="EP188" s="288"/>
      <c r="EQ188" s="288"/>
      <c r="ER188" s="288"/>
      <c r="ES188" s="288"/>
      <c r="ET188" s="288"/>
      <c r="EU188" s="288"/>
      <c r="EV188" s="288"/>
      <c r="EW188" s="288"/>
      <c r="EX188" s="288"/>
      <c r="EY188" s="288"/>
      <c r="EZ188" s="288"/>
      <c r="FA188" s="288"/>
      <c r="FB188" s="288"/>
      <c r="FC188" s="288"/>
      <c r="FD188" s="288"/>
      <c r="FE188" s="288"/>
      <c r="FF188" s="288"/>
      <c r="FG188" s="288"/>
      <c r="FH188" s="288"/>
    </row>
    <row r="189" ht="14.25" customHeight="1">
      <c r="A189" s="293"/>
      <c r="B189" s="293"/>
      <c r="C189" s="293"/>
      <c r="D189" s="293"/>
      <c r="E189" s="293"/>
      <c r="F189" s="293"/>
      <c r="G189" s="293"/>
      <c r="H189" s="293"/>
      <c r="I189" s="293"/>
      <c r="J189" s="293"/>
      <c r="K189" s="293"/>
      <c r="L189" s="293"/>
      <c r="M189" s="293"/>
      <c r="N189" s="293"/>
      <c r="O189" s="293"/>
      <c r="P189" s="293"/>
      <c r="Q189" s="293"/>
      <c r="R189" s="293"/>
      <c r="S189" s="293"/>
      <c r="T189" s="293"/>
      <c r="U189" s="293"/>
      <c r="V189" s="293"/>
      <c r="W189" s="293"/>
      <c r="X189" s="293"/>
      <c r="Y189" s="293"/>
      <c r="Z189" s="293"/>
      <c r="AA189" s="293"/>
      <c r="AB189" s="293"/>
      <c r="AC189" s="293"/>
      <c r="AD189" s="293"/>
      <c r="AE189" s="293"/>
      <c r="AF189" s="293"/>
      <c r="AG189" s="293"/>
      <c r="AH189" s="293"/>
      <c r="AI189" s="293"/>
      <c r="AJ189" s="293"/>
      <c r="AK189" s="293"/>
      <c r="AL189" s="293"/>
      <c r="AM189" s="293"/>
      <c r="AN189" s="293"/>
      <c r="AO189" s="293"/>
      <c r="AP189" s="293"/>
      <c r="AQ189" s="293"/>
      <c r="AR189" s="293"/>
      <c r="AS189" s="293"/>
      <c r="AT189" s="293"/>
      <c r="AU189" s="293"/>
      <c r="AV189" s="293"/>
      <c r="AW189" s="293"/>
      <c r="AX189" s="293"/>
      <c r="AY189" s="293"/>
      <c r="AZ189" s="293"/>
      <c r="BA189" s="293"/>
      <c r="BB189" s="293"/>
      <c r="BC189" s="293"/>
      <c r="BD189" s="293"/>
      <c r="BE189" s="293"/>
      <c r="BF189" s="293"/>
      <c r="BG189" s="293"/>
      <c r="BH189" s="293"/>
      <c r="BI189" s="293"/>
      <c r="BJ189" s="293"/>
      <c r="BK189" s="293"/>
      <c r="BL189" s="293"/>
      <c r="BM189" s="293"/>
      <c r="BN189" s="293"/>
      <c r="BO189" s="293"/>
      <c r="BP189" s="293"/>
      <c r="BQ189" s="293"/>
      <c r="BR189" s="293"/>
      <c r="BS189" s="293"/>
      <c r="BT189" s="293"/>
      <c r="BU189" s="293"/>
      <c r="BV189" s="293"/>
      <c r="BW189" s="293"/>
      <c r="BX189" s="293"/>
      <c r="BY189" s="293"/>
      <c r="BZ189" s="293"/>
      <c r="CA189" s="293"/>
      <c r="CB189" s="293"/>
      <c r="CC189" s="293"/>
      <c r="CD189" s="293"/>
      <c r="CE189" s="293"/>
      <c r="CF189" s="293"/>
      <c r="CG189" s="293"/>
      <c r="CH189" s="293"/>
      <c r="CI189" s="293"/>
      <c r="CJ189" s="293"/>
      <c r="CK189" s="293"/>
      <c r="CL189" s="293"/>
      <c r="CM189" s="293"/>
      <c r="CN189" s="293"/>
      <c r="CO189" s="293"/>
      <c r="CP189" s="293"/>
      <c r="CQ189" s="293"/>
      <c r="CR189" s="293"/>
      <c r="CS189" s="293"/>
      <c r="CT189" s="293"/>
      <c r="CU189" s="293"/>
      <c r="CV189" s="293"/>
      <c r="CW189" s="293"/>
      <c r="CX189" s="293"/>
      <c r="CY189" s="293"/>
      <c r="CZ189" s="293"/>
      <c r="DA189" s="293"/>
      <c r="DB189" s="293"/>
      <c r="DC189" s="293"/>
      <c r="DD189" s="293"/>
      <c r="DE189" s="293"/>
      <c r="DF189" s="293"/>
      <c r="DG189" s="293"/>
      <c r="DH189" s="293"/>
      <c r="DI189" s="293"/>
      <c r="DJ189" s="293"/>
      <c r="DK189" s="293"/>
      <c r="DL189" s="293"/>
      <c r="DM189" s="293"/>
      <c r="DN189" s="293"/>
      <c r="DO189" s="293"/>
      <c r="DP189" s="293"/>
      <c r="DQ189" s="293"/>
      <c r="DR189" s="293"/>
      <c r="DS189" s="288"/>
      <c r="DT189" s="288"/>
      <c r="DU189" s="288"/>
      <c r="DV189" s="288"/>
      <c r="DW189" s="288"/>
      <c r="DX189" s="288"/>
      <c r="DY189" s="288"/>
      <c r="DZ189" s="288"/>
      <c r="EA189" s="288"/>
      <c r="EB189" s="288"/>
      <c r="EC189" s="288"/>
      <c r="ED189" s="288"/>
      <c r="EE189" s="288"/>
      <c r="EF189" s="288"/>
      <c r="EG189" s="288"/>
      <c r="EH189" s="288"/>
      <c r="EI189" s="288"/>
      <c r="EJ189" s="288"/>
      <c r="EK189" s="288"/>
      <c r="EL189" s="288"/>
      <c r="EM189" s="288"/>
      <c r="EN189" s="288"/>
      <c r="EO189" s="288"/>
      <c r="EP189" s="288"/>
      <c r="EQ189" s="288"/>
      <c r="ER189" s="288"/>
      <c r="ES189" s="288"/>
      <c r="ET189" s="288"/>
      <c r="EU189" s="288"/>
      <c r="EV189" s="288"/>
      <c r="EW189" s="288"/>
      <c r="EX189" s="288"/>
      <c r="EY189" s="288"/>
      <c r="EZ189" s="288"/>
      <c r="FA189" s="288"/>
      <c r="FB189" s="288"/>
      <c r="FC189" s="288"/>
      <c r="FD189" s="288"/>
      <c r="FE189" s="288"/>
      <c r="FF189" s="288"/>
      <c r="FG189" s="288"/>
      <c r="FH189" s="288"/>
    </row>
    <row r="190" ht="14.25" customHeight="1">
      <c r="A190" s="293"/>
      <c r="B190" s="293"/>
      <c r="C190" s="293"/>
      <c r="D190" s="293"/>
      <c r="E190" s="293"/>
      <c r="F190" s="293"/>
      <c r="G190" s="293"/>
      <c r="H190" s="293"/>
      <c r="I190" s="293"/>
      <c r="J190" s="293"/>
      <c r="K190" s="293"/>
      <c r="L190" s="293"/>
      <c r="M190" s="293"/>
      <c r="N190" s="293"/>
      <c r="O190" s="293"/>
      <c r="P190" s="293"/>
      <c r="Q190" s="293"/>
      <c r="R190" s="293"/>
      <c r="S190" s="293"/>
      <c r="T190" s="293"/>
      <c r="U190" s="293"/>
      <c r="V190" s="293"/>
      <c r="W190" s="293"/>
      <c r="X190" s="293"/>
      <c r="Y190" s="293"/>
      <c r="Z190" s="293"/>
      <c r="AA190" s="293"/>
      <c r="AB190" s="293"/>
      <c r="AC190" s="293"/>
      <c r="AD190" s="293"/>
      <c r="AE190" s="293"/>
      <c r="AF190" s="293"/>
      <c r="AG190" s="293"/>
      <c r="AH190" s="293"/>
      <c r="AI190" s="293"/>
      <c r="AJ190" s="293"/>
      <c r="AK190" s="293"/>
      <c r="AL190" s="293"/>
      <c r="AM190" s="293"/>
      <c r="AN190" s="293"/>
      <c r="AO190" s="293"/>
      <c r="AP190" s="293"/>
      <c r="AQ190" s="293"/>
      <c r="AR190" s="293"/>
      <c r="AS190" s="293"/>
      <c r="AT190" s="293"/>
      <c r="AU190" s="293"/>
      <c r="AV190" s="293"/>
      <c r="AW190" s="293"/>
      <c r="AX190" s="293"/>
      <c r="AY190" s="293"/>
      <c r="AZ190" s="293"/>
      <c r="BA190" s="293"/>
      <c r="BB190" s="293"/>
      <c r="BC190" s="293"/>
      <c r="BD190" s="293"/>
      <c r="BE190" s="293"/>
      <c r="BF190" s="293"/>
      <c r="BG190" s="293"/>
      <c r="BH190" s="293"/>
      <c r="BI190" s="293"/>
      <c r="BJ190" s="293"/>
      <c r="BK190" s="293"/>
      <c r="BL190" s="293"/>
      <c r="BM190" s="293"/>
      <c r="BN190" s="293"/>
      <c r="BO190" s="293"/>
      <c r="BP190" s="293"/>
      <c r="BQ190" s="293"/>
      <c r="BR190" s="293"/>
      <c r="BS190" s="293"/>
      <c r="BT190" s="293"/>
      <c r="BU190" s="293"/>
      <c r="BV190" s="293"/>
      <c r="BW190" s="293"/>
      <c r="BX190" s="293"/>
      <c r="BY190" s="293"/>
      <c r="BZ190" s="293"/>
      <c r="CA190" s="293"/>
      <c r="CB190" s="293"/>
      <c r="CC190" s="293"/>
      <c r="CD190" s="293"/>
      <c r="CE190" s="293"/>
      <c r="CF190" s="293"/>
      <c r="CG190" s="293"/>
      <c r="CH190" s="293"/>
      <c r="CI190" s="293"/>
      <c r="CJ190" s="293"/>
      <c r="CK190" s="293"/>
      <c r="CL190" s="293"/>
      <c r="CM190" s="293"/>
      <c r="CN190" s="293"/>
      <c r="CO190" s="293"/>
      <c r="CP190" s="293"/>
      <c r="CQ190" s="293"/>
      <c r="CR190" s="293"/>
      <c r="CS190" s="293"/>
      <c r="CT190" s="293"/>
      <c r="CU190" s="293"/>
      <c r="CV190" s="293"/>
      <c r="CW190" s="293"/>
      <c r="CX190" s="293"/>
      <c r="CY190" s="293"/>
      <c r="CZ190" s="293"/>
      <c r="DA190" s="293"/>
      <c r="DB190" s="293"/>
      <c r="DC190" s="293"/>
      <c r="DD190" s="293"/>
      <c r="DE190" s="293"/>
      <c r="DF190" s="293"/>
      <c r="DG190" s="293"/>
      <c r="DH190" s="293"/>
      <c r="DI190" s="293"/>
      <c r="DJ190" s="293"/>
      <c r="DK190" s="293"/>
      <c r="DL190" s="293"/>
      <c r="DM190" s="293"/>
      <c r="DN190" s="293"/>
      <c r="DO190" s="293"/>
      <c r="DP190" s="293"/>
      <c r="DQ190" s="293"/>
      <c r="DR190" s="293"/>
      <c r="DS190" s="288"/>
      <c r="DT190" s="288"/>
      <c r="DU190" s="288"/>
      <c r="DV190" s="288"/>
      <c r="DW190" s="288"/>
      <c r="DX190" s="288"/>
      <c r="DY190" s="288"/>
      <c r="DZ190" s="288"/>
      <c r="EA190" s="288"/>
      <c r="EB190" s="288"/>
      <c r="EC190" s="288"/>
      <c r="ED190" s="288"/>
      <c r="EE190" s="288"/>
      <c r="EF190" s="288"/>
      <c r="EG190" s="288"/>
      <c r="EH190" s="288"/>
      <c r="EI190" s="288"/>
      <c r="EJ190" s="288"/>
      <c r="EK190" s="288"/>
      <c r="EL190" s="288"/>
      <c r="EM190" s="288"/>
      <c r="EN190" s="288"/>
      <c r="EO190" s="288"/>
      <c r="EP190" s="288"/>
      <c r="EQ190" s="288"/>
      <c r="ER190" s="288"/>
      <c r="ES190" s="288"/>
      <c r="ET190" s="288"/>
      <c r="EU190" s="288"/>
      <c r="EV190" s="288"/>
      <c r="EW190" s="288"/>
      <c r="EX190" s="288"/>
      <c r="EY190" s="288"/>
      <c r="EZ190" s="288"/>
      <c r="FA190" s="288"/>
      <c r="FB190" s="288"/>
      <c r="FC190" s="288"/>
      <c r="FD190" s="288"/>
      <c r="FE190" s="288"/>
      <c r="FF190" s="288"/>
      <c r="FG190" s="288"/>
      <c r="FH190" s="288"/>
    </row>
    <row r="191" ht="14.25" customHeight="1">
      <c r="A191" s="293"/>
      <c r="B191" s="293"/>
      <c r="C191" s="293"/>
      <c r="D191" s="293"/>
      <c r="E191" s="293"/>
      <c r="F191" s="293"/>
      <c r="G191" s="293"/>
      <c r="H191" s="293"/>
      <c r="I191" s="293"/>
      <c r="J191" s="293"/>
      <c r="K191" s="293"/>
      <c r="L191" s="293"/>
      <c r="M191" s="293"/>
      <c r="N191" s="293"/>
      <c r="O191" s="293"/>
      <c r="P191" s="293"/>
      <c r="Q191" s="293"/>
      <c r="R191" s="293"/>
      <c r="S191" s="293"/>
      <c r="T191" s="293"/>
      <c r="U191" s="293"/>
      <c r="V191" s="293"/>
      <c r="W191" s="293"/>
      <c r="X191" s="293"/>
      <c r="Y191" s="293"/>
      <c r="Z191" s="293"/>
      <c r="AA191" s="293"/>
      <c r="AB191" s="293"/>
      <c r="AC191" s="293"/>
      <c r="AD191" s="293"/>
      <c r="AE191" s="293"/>
      <c r="AF191" s="293"/>
      <c r="AG191" s="293"/>
      <c r="AH191" s="293"/>
      <c r="AI191" s="293"/>
      <c r="AJ191" s="293"/>
      <c r="AK191" s="293"/>
      <c r="AL191" s="293"/>
      <c r="AM191" s="293"/>
      <c r="AN191" s="293"/>
      <c r="AO191" s="293"/>
      <c r="AP191" s="293"/>
      <c r="AQ191" s="293"/>
      <c r="AR191" s="293"/>
      <c r="AS191" s="293"/>
      <c r="AT191" s="293"/>
      <c r="AU191" s="293"/>
      <c r="AV191" s="293"/>
      <c r="AW191" s="293"/>
      <c r="AX191" s="293"/>
      <c r="AY191" s="293"/>
      <c r="AZ191" s="293"/>
      <c r="BA191" s="293"/>
      <c r="BB191" s="293"/>
      <c r="BC191" s="293"/>
      <c r="BD191" s="293"/>
      <c r="BE191" s="293"/>
      <c r="BF191" s="293"/>
      <c r="BG191" s="293"/>
      <c r="BH191" s="293"/>
      <c r="BI191" s="293"/>
      <c r="BJ191" s="293"/>
      <c r="BK191" s="293"/>
      <c r="BL191" s="293"/>
      <c r="BM191" s="293"/>
      <c r="BN191" s="293"/>
      <c r="BO191" s="293"/>
      <c r="BP191" s="293"/>
      <c r="BQ191" s="293"/>
      <c r="BR191" s="293"/>
      <c r="BS191" s="293"/>
      <c r="BT191" s="293"/>
      <c r="BU191" s="293"/>
      <c r="BV191" s="293"/>
      <c r="BW191" s="293"/>
      <c r="BX191" s="293"/>
      <c r="BY191" s="293"/>
      <c r="BZ191" s="293"/>
      <c r="CA191" s="293"/>
      <c r="CB191" s="293"/>
      <c r="CC191" s="293"/>
      <c r="CD191" s="293"/>
      <c r="CE191" s="293"/>
      <c r="CF191" s="293"/>
      <c r="CG191" s="293"/>
      <c r="CH191" s="293"/>
      <c r="CI191" s="293"/>
      <c r="CJ191" s="293"/>
      <c r="CK191" s="293"/>
      <c r="CL191" s="293"/>
      <c r="CM191" s="293"/>
      <c r="CN191" s="293"/>
      <c r="CO191" s="293"/>
      <c r="CP191" s="293"/>
      <c r="CQ191" s="293"/>
      <c r="CR191" s="293"/>
      <c r="CS191" s="293"/>
      <c r="CT191" s="293"/>
      <c r="CU191" s="293"/>
      <c r="CV191" s="293"/>
      <c r="CW191" s="293"/>
      <c r="CX191" s="293"/>
      <c r="CY191" s="293"/>
      <c r="CZ191" s="293"/>
      <c r="DA191" s="293"/>
      <c r="DB191" s="293"/>
      <c r="DC191" s="293"/>
      <c r="DD191" s="293"/>
      <c r="DE191" s="293"/>
      <c r="DF191" s="293"/>
      <c r="DG191" s="293"/>
      <c r="DH191" s="293"/>
      <c r="DI191" s="293"/>
      <c r="DJ191" s="293"/>
      <c r="DK191" s="293"/>
      <c r="DL191" s="293"/>
      <c r="DM191" s="293"/>
      <c r="DN191" s="293"/>
      <c r="DO191" s="293"/>
      <c r="DP191" s="293"/>
      <c r="DQ191" s="293"/>
      <c r="DR191" s="293"/>
      <c r="DS191" s="288"/>
      <c r="DT191" s="288"/>
      <c r="DU191" s="288"/>
      <c r="DV191" s="288"/>
      <c r="DW191" s="288"/>
      <c r="DX191" s="288"/>
      <c r="DY191" s="288"/>
      <c r="DZ191" s="288"/>
      <c r="EA191" s="288"/>
      <c r="EB191" s="288"/>
      <c r="EC191" s="288"/>
      <c r="ED191" s="288"/>
      <c r="EE191" s="288"/>
      <c r="EF191" s="288"/>
      <c r="EG191" s="288"/>
      <c r="EH191" s="288"/>
      <c r="EI191" s="288"/>
      <c r="EJ191" s="288"/>
      <c r="EK191" s="288"/>
      <c r="EL191" s="288"/>
      <c r="EM191" s="288"/>
      <c r="EN191" s="288"/>
      <c r="EO191" s="288"/>
      <c r="EP191" s="288"/>
      <c r="EQ191" s="288"/>
      <c r="ER191" s="288"/>
      <c r="ES191" s="288"/>
      <c r="ET191" s="288"/>
      <c r="EU191" s="288"/>
      <c r="EV191" s="288"/>
      <c r="EW191" s="288"/>
      <c r="EX191" s="288"/>
      <c r="EY191" s="288"/>
      <c r="EZ191" s="288"/>
      <c r="FA191" s="288"/>
      <c r="FB191" s="288"/>
      <c r="FC191" s="288"/>
      <c r="FD191" s="288"/>
      <c r="FE191" s="288"/>
      <c r="FF191" s="288"/>
      <c r="FG191" s="288"/>
      <c r="FH191" s="288"/>
    </row>
    <row r="192" ht="14.25" customHeight="1">
      <c r="A192" s="293"/>
      <c r="B192" s="293"/>
      <c r="C192" s="293"/>
      <c r="D192" s="293"/>
      <c r="E192" s="293"/>
      <c r="F192" s="293"/>
      <c r="G192" s="293"/>
      <c r="H192" s="293"/>
      <c r="I192" s="293"/>
      <c r="J192" s="293"/>
      <c r="K192" s="293"/>
      <c r="L192" s="293"/>
      <c r="M192" s="293"/>
      <c r="N192" s="293"/>
      <c r="O192" s="293"/>
      <c r="P192" s="293"/>
      <c r="Q192" s="293"/>
      <c r="R192" s="293"/>
      <c r="S192" s="293"/>
      <c r="T192" s="293"/>
      <c r="U192" s="293"/>
      <c r="V192" s="293"/>
      <c r="W192" s="293"/>
      <c r="X192" s="293"/>
      <c r="Y192" s="293"/>
      <c r="Z192" s="293"/>
      <c r="AA192" s="293"/>
      <c r="AB192" s="293"/>
      <c r="AC192" s="293"/>
      <c r="AD192" s="293"/>
      <c r="AE192" s="293"/>
      <c r="AF192" s="293"/>
      <c r="AG192" s="293"/>
      <c r="AH192" s="293"/>
      <c r="AI192" s="293"/>
      <c r="AJ192" s="293"/>
      <c r="AK192" s="293"/>
      <c r="AL192" s="293"/>
      <c r="AM192" s="293"/>
      <c r="AN192" s="293"/>
      <c r="AO192" s="293"/>
      <c r="AP192" s="293"/>
      <c r="AQ192" s="293"/>
      <c r="AR192" s="293"/>
      <c r="AS192" s="293"/>
      <c r="AT192" s="293"/>
      <c r="AU192" s="293"/>
      <c r="AV192" s="293"/>
      <c r="AW192" s="293"/>
      <c r="AX192" s="293"/>
      <c r="AY192" s="293"/>
      <c r="AZ192" s="293"/>
      <c r="BA192" s="293"/>
      <c r="BB192" s="293"/>
      <c r="BC192" s="293"/>
      <c r="BD192" s="293"/>
      <c r="BE192" s="293"/>
      <c r="BF192" s="293"/>
      <c r="BG192" s="293"/>
      <c r="BH192" s="293"/>
      <c r="BI192" s="293"/>
      <c r="BJ192" s="293"/>
      <c r="BK192" s="293"/>
      <c r="BL192" s="293"/>
      <c r="BM192" s="293"/>
      <c r="BN192" s="293"/>
      <c r="BO192" s="293"/>
      <c r="BP192" s="293"/>
      <c r="BQ192" s="293"/>
      <c r="BR192" s="293"/>
      <c r="BS192" s="293"/>
      <c r="BT192" s="293"/>
      <c r="BU192" s="293"/>
      <c r="BV192" s="293"/>
      <c r="BW192" s="293"/>
      <c r="BX192" s="293"/>
      <c r="BY192" s="293"/>
      <c r="BZ192" s="293"/>
      <c r="CA192" s="293"/>
      <c r="CB192" s="293"/>
      <c r="CC192" s="293"/>
      <c r="CD192" s="293"/>
      <c r="CE192" s="293"/>
      <c r="CF192" s="293"/>
      <c r="CG192" s="293"/>
      <c r="CH192" s="293"/>
      <c r="CI192" s="293"/>
      <c r="CJ192" s="293"/>
      <c r="CK192" s="293"/>
      <c r="CL192" s="293"/>
      <c r="CM192" s="293"/>
      <c r="CN192" s="293"/>
      <c r="CO192" s="293"/>
      <c r="CP192" s="293"/>
      <c r="CQ192" s="293"/>
      <c r="CR192" s="293"/>
      <c r="CS192" s="293"/>
      <c r="CT192" s="293"/>
      <c r="CU192" s="293"/>
      <c r="CV192" s="293"/>
      <c r="CW192" s="293"/>
      <c r="CX192" s="293"/>
      <c r="CY192" s="293"/>
      <c r="CZ192" s="293"/>
      <c r="DA192" s="293"/>
      <c r="DB192" s="293"/>
      <c r="DC192" s="293"/>
      <c r="DD192" s="293"/>
      <c r="DE192" s="293"/>
      <c r="DF192" s="293"/>
      <c r="DG192" s="293"/>
      <c r="DH192" s="293"/>
      <c r="DI192" s="293"/>
      <c r="DJ192" s="293"/>
      <c r="DK192" s="293"/>
      <c r="DL192" s="293"/>
      <c r="DM192" s="293"/>
      <c r="DN192" s="293"/>
      <c r="DO192" s="293"/>
      <c r="DP192" s="293"/>
      <c r="DQ192" s="293"/>
      <c r="DR192" s="293"/>
      <c r="DS192" s="288"/>
      <c r="DT192" s="288"/>
      <c r="DU192" s="288"/>
      <c r="DV192" s="288"/>
      <c r="DW192" s="288"/>
      <c r="DX192" s="288"/>
      <c r="DY192" s="288"/>
      <c r="DZ192" s="288"/>
      <c r="EA192" s="288"/>
      <c r="EB192" s="288"/>
      <c r="EC192" s="288"/>
      <c r="ED192" s="288"/>
      <c r="EE192" s="288"/>
      <c r="EF192" s="288"/>
      <c r="EG192" s="288"/>
      <c r="EH192" s="288"/>
      <c r="EI192" s="288"/>
      <c r="EJ192" s="288"/>
      <c r="EK192" s="288"/>
      <c r="EL192" s="288"/>
      <c r="EM192" s="288"/>
      <c r="EN192" s="288"/>
      <c r="EO192" s="288"/>
      <c r="EP192" s="288"/>
      <c r="EQ192" s="288"/>
      <c r="ER192" s="288"/>
      <c r="ES192" s="288"/>
      <c r="ET192" s="288"/>
      <c r="EU192" s="288"/>
      <c r="EV192" s="288"/>
      <c r="EW192" s="288"/>
      <c r="EX192" s="288"/>
      <c r="EY192" s="288"/>
      <c r="EZ192" s="288"/>
      <c r="FA192" s="288"/>
      <c r="FB192" s="288"/>
      <c r="FC192" s="288"/>
      <c r="FD192" s="288"/>
      <c r="FE192" s="288"/>
      <c r="FF192" s="288"/>
      <c r="FG192" s="288"/>
      <c r="FH192" s="288"/>
    </row>
    <row r="193" ht="14.25" customHeight="1">
      <c r="A193" s="293"/>
      <c r="B193" s="293"/>
      <c r="C193" s="293"/>
      <c r="D193" s="293"/>
      <c r="E193" s="293"/>
      <c r="F193" s="293"/>
      <c r="G193" s="293"/>
      <c r="H193" s="293"/>
      <c r="I193" s="293"/>
      <c r="J193" s="293"/>
      <c r="K193" s="293"/>
      <c r="L193" s="293"/>
      <c r="M193" s="293"/>
      <c r="N193" s="293"/>
      <c r="O193" s="293"/>
      <c r="P193" s="293"/>
      <c r="Q193" s="293"/>
      <c r="R193" s="293"/>
      <c r="S193" s="293"/>
      <c r="T193" s="293"/>
      <c r="U193" s="293"/>
      <c r="V193" s="293"/>
      <c r="W193" s="293"/>
      <c r="X193" s="293"/>
      <c r="Y193" s="293"/>
      <c r="Z193" s="293"/>
      <c r="AA193" s="293"/>
      <c r="AB193" s="293"/>
      <c r="AC193" s="293"/>
      <c r="AD193" s="293"/>
      <c r="AE193" s="293"/>
      <c r="AF193" s="293"/>
      <c r="AG193" s="293"/>
      <c r="AH193" s="293"/>
      <c r="AI193" s="293"/>
      <c r="AJ193" s="293"/>
      <c r="AK193" s="293"/>
      <c r="AL193" s="293"/>
      <c r="AM193" s="293"/>
      <c r="AN193" s="293"/>
      <c r="AO193" s="293"/>
      <c r="AP193" s="293"/>
      <c r="AQ193" s="293"/>
      <c r="AR193" s="293"/>
      <c r="AS193" s="293"/>
      <c r="AT193" s="293"/>
      <c r="AU193" s="293"/>
      <c r="AV193" s="293"/>
      <c r="AW193" s="293"/>
      <c r="AX193" s="293"/>
      <c r="AY193" s="293"/>
      <c r="AZ193" s="293"/>
      <c r="BA193" s="293"/>
      <c r="BB193" s="293"/>
      <c r="BC193" s="293"/>
      <c r="BD193" s="293"/>
      <c r="BE193" s="293"/>
      <c r="BF193" s="293"/>
      <c r="BG193" s="293"/>
      <c r="BH193" s="293"/>
      <c r="BI193" s="293"/>
      <c r="BJ193" s="293"/>
      <c r="BK193" s="293"/>
      <c r="BL193" s="293"/>
      <c r="BM193" s="293"/>
      <c r="BN193" s="293"/>
      <c r="BO193" s="293"/>
      <c r="BP193" s="293"/>
      <c r="BQ193" s="293"/>
      <c r="BR193" s="293"/>
      <c r="BS193" s="293"/>
      <c r="BT193" s="293"/>
      <c r="BU193" s="293"/>
      <c r="BV193" s="293"/>
      <c r="BW193" s="293"/>
      <c r="BX193" s="293"/>
      <c r="BY193" s="293"/>
      <c r="BZ193" s="293"/>
      <c r="CA193" s="293"/>
      <c r="CB193" s="293"/>
      <c r="CC193" s="293"/>
      <c r="CD193" s="293"/>
      <c r="CE193" s="293"/>
      <c r="CF193" s="293"/>
      <c r="CG193" s="293"/>
      <c r="CH193" s="293"/>
      <c r="CI193" s="293"/>
      <c r="CJ193" s="293"/>
      <c r="CK193" s="293"/>
      <c r="CL193" s="293"/>
      <c r="CM193" s="293"/>
      <c r="CN193" s="293"/>
      <c r="CO193" s="293"/>
      <c r="CP193" s="293"/>
      <c r="CQ193" s="293"/>
      <c r="CR193" s="293"/>
      <c r="CS193" s="293"/>
      <c r="CT193" s="293"/>
      <c r="CU193" s="293"/>
      <c r="CV193" s="293"/>
      <c r="CW193" s="293"/>
      <c r="CX193" s="293"/>
      <c r="CY193" s="293"/>
      <c r="CZ193" s="293"/>
      <c r="DA193" s="293"/>
      <c r="DB193" s="293"/>
      <c r="DC193" s="293"/>
      <c r="DD193" s="293"/>
      <c r="DE193" s="293"/>
      <c r="DF193" s="293"/>
      <c r="DG193" s="293"/>
      <c r="DH193" s="293"/>
      <c r="DI193" s="293"/>
      <c r="DJ193" s="293"/>
      <c r="DK193" s="293"/>
      <c r="DL193" s="293"/>
      <c r="DM193" s="293"/>
      <c r="DN193" s="293"/>
      <c r="DO193" s="293"/>
      <c r="DP193" s="293"/>
      <c r="DQ193" s="293"/>
      <c r="DR193" s="293"/>
      <c r="DS193" s="288"/>
      <c r="DT193" s="288"/>
      <c r="DU193" s="288"/>
      <c r="DV193" s="288"/>
      <c r="DW193" s="288"/>
      <c r="DX193" s="288"/>
      <c r="DY193" s="288"/>
      <c r="DZ193" s="288"/>
      <c r="EA193" s="288"/>
      <c r="EB193" s="288"/>
      <c r="EC193" s="288"/>
      <c r="ED193" s="288"/>
      <c r="EE193" s="288"/>
      <c r="EF193" s="288"/>
      <c r="EG193" s="288"/>
      <c r="EH193" s="288"/>
      <c r="EI193" s="288"/>
      <c r="EJ193" s="288"/>
      <c r="EK193" s="288"/>
      <c r="EL193" s="288"/>
      <c r="EM193" s="288"/>
      <c r="EN193" s="288"/>
      <c r="EO193" s="288"/>
      <c r="EP193" s="288"/>
      <c r="EQ193" s="288"/>
      <c r="ER193" s="288"/>
      <c r="ES193" s="288"/>
      <c r="ET193" s="288"/>
      <c r="EU193" s="288"/>
      <c r="EV193" s="288"/>
      <c r="EW193" s="288"/>
      <c r="EX193" s="288"/>
      <c r="EY193" s="288"/>
      <c r="EZ193" s="288"/>
      <c r="FA193" s="288"/>
      <c r="FB193" s="288"/>
      <c r="FC193" s="288"/>
      <c r="FD193" s="288"/>
      <c r="FE193" s="288"/>
      <c r="FF193" s="288"/>
      <c r="FG193" s="288"/>
      <c r="FH193" s="288"/>
    </row>
    <row r="194" ht="14.25" customHeight="1">
      <c r="A194" s="293"/>
      <c r="B194" s="293"/>
      <c r="C194" s="293"/>
      <c r="D194" s="293"/>
      <c r="E194" s="293"/>
      <c r="F194" s="293"/>
      <c r="G194" s="293"/>
      <c r="H194" s="293"/>
      <c r="I194" s="293"/>
      <c r="J194" s="293"/>
      <c r="K194" s="293"/>
      <c r="L194" s="293"/>
      <c r="M194" s="293"/>
      <c r="N194" s="293"/>
      <c r="O194" s="293"/>
      <c r="P194" s="293"/>
      <c r="Q194" s="293"/>
      <c r="R194" s="293"/>
      <c r="S194" s="293"/>
      <c r="T194" s="293"/>
      <c r="U194" s="293"/>
      <c r="V194" s="293"/>
      <c r="W194" s="293"/>
      <c r="X194" s="293"/>
      <c r="Y194" s="293"/>
      <c r="Z194" s="293"/>
      <c r="AA194" s="293"/>
      <c r="AB194" s="293"/>
      <c r="AC194" s="293"/>
      <c r="AD194" s="293"/>
      <c r="AE194" s="293"/>
      <c r="AF194" s="293"/>
      <c r="AG194" s="293"/>
      <c r="AH194" s="293"/>
      <c r="AI194" s="293"/>
      <c r="AJ194" s="293"/>
      <c r="AK194" s="293"/>
      <c r="AL194" s="293"/>
      <c r="AM194" s="293"/>
      <c r="AN194" s="293"/>
      <c r="AO194" s="293"/>
      <c r="AP194" s="293"/>
      <c r="AQ194" s="293"/>
      <c r="AR194" s="293"/>
      <c r="AS194" s="293"/>
      <c r="AT194" s="293"/>
      <c r="AU194" s="293"/>
      <c r="AV194" s="293"/>
      <c r="AW194" s="293"/>
      <c r="AX194" s="293"/>
      <c r="AY194" s="293"/>
      <c r="AZ194" s="293"/>
      <c r="BA194" s="293"/>
      <c r="BB194" s="293"/>
      <c r="BC194" s="293"/>
      <c r="BD194" s="293"/>
      <c r="BE194" s="293"/>
      <c r="BF194" s="293"/>
      <c r="BG194" s="293"/>
      <c r="BH194" s="293"/>
      <c r="BI194" s="293"/>
      <c r="BJ194" s="293"/>
      <c r="BK194" s="293"/>
      <c r="BL194" s="293"/>
      <c r="BM194" s="293"/>
      <c r="BN194" s="293"/>
      <c r="BO194" s="293"/>
      <c r="BP194" s="293"/>
      <c r="BQ194" s="293"/>
      <c r="BR194" s="293"/>
      <c r="BS194" s="293"/>
      <c r="BT194" s="293"/>
      <c r="BU194" s="293"/>
      <c r="BV194" s="293"/>
      <c r="BW194" s="293"/>
      <c r="BX194" s="293"/>
      <c r="BY194" s="293"/>
      <c r="BZ194" s="293"/>
      <c r="CA194" s="293"/>
      <c r="CB194" s="293"/>
      <c r="CC194" s="293"/>
      <c r="CD194" s="293"/>
      <c r="CE194" s="293"/>
      <c r="CF194" s="293"/>
      <c r="CG194" s="293"/>
      <c r="CH194" s="293"/>
      <c r="CI194" s="293"/>
      <c r="CJ194" s="293"/>
      <c r="CK194" s="293"/>
      <c r="CL194" s="293"/>
      <c r="CM194" s="293"/>
      <c r="CN194" s="293"/>
      <c r="CO194" s="293"/>
      <c r="CP194" s="293"/>
      <c r="CQ194" s="293"/>
      <c r="CR194" s="293"/>
      <c r="CS194" s="293"/>
      <c r="CT194" s="293"/>
      <c r="CU194" s="293"/>
      <c r="CV194" s="293"/>
      <c r="CW194" s="293"/>
      <c r="CX194" s="293"/>
      <c r="CY194" s="293"/>
      <c r="CZ194" s="293"/>
      <c r="DA194" s="293"/>
      <c r="DB194" s="293"/>
      <c r="DC194" s="293"/>
      <c r="DD194" s="293"/>
      <c r="DE194" s="293"/>
      <c r="DF194" s="293"/>
      <c r="DG194" s="293"/>
      <c r="DH194" s="293"/>
      <c r="DI194" s="293"/>
      <c r="DJ194" s="293"/>
      <c r="DK194" s="293"/>
      <c r="DL194" s="293"/>
      <c r="DM194" s="293"/>
      <c r="DN194" s="293"/>
      <c r="DO194" s="293"/>
      <c r="DP194" s="293"/>
      <c r="DQ194" s="293"/>
      <c r="DR194" s="293"/>
      <c r="DS194" s="288"/>
      <c r="DT194" s="288"/>
      <c r="DU194" s="288"/>
      <c r="DV194" s="288"/>
      <c r="DW194" s="288"/>
      <c r="DX194" s="288"/>
      <c r="DY194" s="288"/>
      <c r="DZ194" s="288"/>
      <c r="EA194" s="288"/>
      <c r="EB194" s="288"/>
      <c r="EC194" s="288"/>
      <c r="ED194" s="288"/>
      <c r="EE194" s="288"/>
      <c r="EF194" s="288"/>
      <c r="EG194" s="288"/>
      <c r="EH194" s="288"/>
      <c r="EI194" s="288"/>
      <c r="EJ194" s="288"/>
      <c r="EK194" s="288"/>
      <c r="EL194" s="288"/>
      <c r="EM194" s="288"/>
      <c r="EN194" s="288"/>
      <c r="EO194" s="288"/>
      <c r="EP194" s="288"/>
      <c r="EQ194" s="288"/>
      <c r="ER194" s="288"/>
      <c r="ES194" s="288"/>
      <c r="ET194" s="288"/>
      <c r="EU194" s="288"/>
      <c r="EV194" s="288"/>
      <c r="EW194" s="288"/>
      <c r="EX194" s="288"/>
      <c r="EY194" s="288"/>
      <c r="EZ194" s="288"/>
      <c r="FA194" s="288"/>
      <c r="FB194" s="288"/>
      <c r="FC194" s="288"/>
      <c r="FD194" s="288"/>
      <c r="FE194" s="288"/>
      <c r="FF194" s="288"/>
      <c r="FG194" s="288"/>
      <c r="FH194" s="288"/>
    </row>
    <row r="195" ht="14.25" customHeight="1">
      <c r="A195" s="293"/>
      <c r="B195" s="293"/>
      <c r="C195" s="293"/>
      <c r="D195" s="293"/>
      <c r="E195" s="293"/>
      <c r="F195" s="293"/>
      <c r="G195" s="293"/>
      <c r="H195" s="293"/>
      <c r="I195" s="293"/>
      <c r="J195" s="293"/>
      <c r="K195" s="293"/>
      <c r="L195" s="293"/>
      <c r="M195" s="293"/>
      <c r="N195" s="293"/>
      <c r="O195" s="293"/>
      <c r="P195" s="293"/>
      <c r="Q195" s="293"/>
      <c r="R195" s="293"/>
      <c r="S195" s="293"/>
      <c r="T195" s="293"/>
      <c r="U195" s="293"/>
      <c r="V195" s="293"/>
      <c r="W195" s="293"/>
      <c r="X195" s="293"/>
      <c r="Y195" s="293"/>
      <c r="Z195" s="293"/>
      <c r="AA195" s="293"/>
      <c r="AB195" s="293"/>
      <c r="AC195" s="293"/>
      <c r="AD195" s="293"/>
      <c r="AE195" s="293"/>
      <c r="AF195" s="293"/>
      <c r="AG195" s="293"/>
      <c r="AH195" s="293"/>
      <c r="AI195" s="293"/>
      <c r="AJ195" s="293"/>
      <c r="AK195" s="293"/>
      <c r="AL195" s="293"/>
      <c r="AM195" s="293"/>
      <c r="AN195" s="293"/>
      <c r="AO195" s="293"/>
      <c r="AP195" s="293"/>
      <c r="AQ195" s="293"/>
      <c r="AR195" s="293"/>
      <c r="AS195" s="293"/>
      <c r="AT195" s="293"/>
      <c r="AU195" s="293"/>
      <c r="AV195" s="293"/>
      <c r="AW195" s="293"/>
      <c r="AX195" s="293"/>
      <c r="AY195" s="293"/>
      <c r="AZ195" s="293"/>
      <c r="BA195" s="293"/>
      <c r="BB195" s="293"/>
      <c r="BC195" s="293"/>
      <c r="BD195" s="293"/>
      <c r="BE195" s="293"/>
      <c r="BF195" s="293"/>
      <c r="BG195" s="293"/>
      <c r="BH195" s="293"/>
      <c r="BI195" s="293"/>
      <c r="BJ195" s="293"/>
      <c r="BK195" s="293"/>
      <c r="BL195" s="293"/>
      <c r="BM195" s="293"/>
      <c r="BN195" s="293"/>
      <c r="BO195" s="293"/>
      <c r="BP195" s="293"/>
      <c r="BQ195" s="293"/>
      <c r="BR195" s="293"/>
      <c r="BS195" s="293"/>
      <c r="BT195" s="293"/>
      <c r="BU195" s="293"/>
      <c r="BV195" s="293"/>
      <c r="BW195" s="293"/>
      <c r="BX195" s="293"/>
      <c r="BY195" s="293"/>
      <c r="BZ195" s="293"/>
      <c r="CA195" s="293"/>
      <c r="CB195" s="293"/>
      <c r="CC195" s="293"/>
      <c r="CD195" s="293"/>
      <c r="CE195" s="293"/>
      <c r="CF195" s="293"/>
      <c r="CG195" s="293"/>
      <c r="CH195" s="293"/>
      <c r="CI195" s="293"/>
      <c r="CJ195" s="293"/>
      <c r="CK195" s="293"/>
      <c r="CL195" s="293"/>
      <c r="CM195" s="293"/>
      <c r="CN195" s="293"/>
      <c r="CO195" s="293"/>
      <c r="CP195" s="293"/>
      <c r="CQ195" s="293"/>
      <c r="CR195" s="293"/>
      <c r="CS195" s="293"/>
      <c r="CT195" s="293"/>
      <c r="CU195" s="293"/>
      <c r="CV195" s="293"/>
      <c r="CW195" s="293"/>
      <c r="CX195" s="293"/>
      <c r="CY195" s="293"/>
      <c r="CZ195" s="293"/>
      <c r="DA195" s="293"/>
      <c r="DB195" s="293"/>
      <c r="DC195" s="293"/>
      <c r="DD195" s="293"/>
      <c r="DE195" s="293"/>
      <c r="DF195" s="293"/>
      <c r="DG195" s="293"/>
      <c r="DH195" s="293"/>
      <c r="DI195" s="293"/>
      <c r="DJ195" s="293"/>
      <c r="DK195" s="293"/>
      <c r="DL195" s="293"/>
      <c r="DM195" s="293"/>
      <c r="DN195" s="293"/>
      <c r="DO195" s="293"/>
      <c r="DP195" s="293"/>
      <c r="DQ195" s="293"/>
      <c r="DR195" s="293"/>
      <c r="DS195" s="288"/>
      <c r="DT195" s="288"/>
      <c r="DU195" s="288"/>
      <c r="DV195" s="288"/>
      <c r="DW195" s="288"/>
      <c r="DX195" s="288"/>
      <c r="DY195" s="288"/>
      <c r="DZ195" s="288"/>
      <c r="EA195" s="288"/>
      <c r="EB195" s="288"/>
      <c r="EC195" s="288"/>
      <c r="ED195" s="288"/>
      <c r="EE195" s="288"/>
      <c r="EF195" s="288"/>
      <c r="EG195" s="288"/>
      <c r="EH195" s="288"/>
      <c r="EI195" s="288"/>
      <c r="EJ195" s="288"/>
      <c r="EK195" s="288"/>
      <c r="EL195" s="288"/>
      <c r="EM195" s="288"/>
      <c r="EN195" s="288"/>
      <c r="EO195" s="288"/>
      <c r="EP195" s="288"/>
      <c r="EQ195" s="288"/>
      <c r="ER195" s="288"/>
      <c r="ES195" s="288"/>
      <c r="ET195" s="288"/>
      <c r="EU195" s="288"/>
      <c r="EV195" s="288"/>
      <c r="EW195" s="288"/>
      <c r="EX195" s="288"/>
      <c r="EY195" s="288"/>
      <c r="EZ195" s="288"/>
      <c r="FA195" s="288"/>
      <c r="FB195" s="288"/>
      <c r="FC195" s="288"/>
      <c r="FD195" s="288"/>
      <c r="FE195" s="288"/>
      <c r="FF195" s="288"/>
      <c r="FG195" s="288"/>
      <c r="FH195" s="288"/>
    </row>
    <row r="196" ht="14.25" customHeight="1">
      <c r="A196" s="293"/>
      <c r="B196" s="293"/>
      <c r="C196" s="293"/>
      <c r="D196" s="293"/>
      <c r="E196" s="293"/>
      <c r="F196" s="293"/>
      <c r="G196" s="293"/>
      <c r="H196" s="293"/>
      <c r="I196" s="293"/>
      <c r="J196" s="293"/>
      <c r="K196" s="293"/>
      <c r="L196" s="293"/>
      <c r="M196" s="293"/>
      <c r="N196" s="293"/>
      <c r="O196" s="293"/>
      <c r="P196" s="293"/>
      <c r="Q196" s="293"/>
      <c r="R196" s="293"/>
      <c r="S196" s="293"/>
      <c r="T196" s="293"/>
      <c r="U196" s="293"/>
      <c r="V196" s="293"/>
      <c r="W196" s="293"/>
      <c r="X196" s="293"/>
      <c r="Y196" s="293"/>
      <c r="Z196" s="293"/>
      <c r="AA196" s="293"/>
      <c r="AB196" s="293"/>
      <c r="AC196" s="293"/>
      <c r="AD196" s="293"/>
      <c r="AE196" s="293"/>
      <c r="AF196" s="293"/>
      <c r="AG196" s="293"/>
      <c r="AH196" s="293"/>
      <c r="AI196" s="293"/>
      <c r="AJ196" s="293"/>
      <c r="AK196" s="293"/>
      <c r="AL196" s="293"/>
      <c r="AM196" s="293"/>
      <c r="AN196" s="293"/>
      <c r="AO196" s="293"/>
      <c r="AP196" s="293"/>
      <c r="AQ196" s="293"/>
      <c r="AR196" s="293"/>
      <c r="AS196" s="293"/>
      <c r="AT196" s="293"/>
      <c r="AU196" s="293"/>
      <c r="AV196" s="293"/>
      <c r="AW196" s="293"/>
      <c r="AX196" s="293"/>
      <c r="AY196" s="293"/>
      <c r="AZ196" s="293"/>
      <c r="BA196" s="293"/>
      <c r="BB196" s="293"/>
      <c r="BC196" s="293"/>
      <c r="BD196" s="293"/>
      <c r="BE196" s="293"/>
      <c r="BF196" s="293"/>
      <c r="BG196" s="293"/>
      <c r="BH196" s="293"/>
      <c r="BI196" s="293"/>
      <c r="BJ196" s="293"/>
      <c r="BK196" s="293"/>
      <c r="BL196" s="293"/>
      <c r="BM196" s="293"/>
      <c r="BN196" s="293"/>
      <c r="BO196" s="293"/>
      <c r="BP196" s="293"/>
      <c r="BQ196" s="293"/>
      <c r="BR196" s="293"/>
      <c r="BS196" s="293"/>
      <c r="BT196" s="293"/>
      <c r="BU196" s="293"/>
      <c r="BV196" s="293"/>
      <c r="BW196" s="293"/>
      <c r="BX196" s="293"/>
      <c r="BY196" s="293"/>
      <c r="BZ196" s="293"/>
      <c r="CA196" s="293"/>
      <c r="CB196" s="293"/>
      <c r="CC196" s="293"/>
      <c r="CD196" s="293"/>
      <c r="CE196" s="293"/>
      <c r="CF196" s="293"/>
      <c r="CG196" s="293"/>
      <c r="CH196" s="293"/>
      <c r="CI196" s="293"/>
      <c r="CJ196" s="293"/>
      <c r="CK196" s="293"/>
      <c r="CL196" s="293"/>
      <c r="CM196" s="293"/>
      <c r="CN196" s="293"/>
      <c r="CO196" s="293"/>
      <c r="CP196" s="293"/>
      <c r="CQ196" s="293"/>
      <c r="CR196" s="293"/>
      <c r="CS196" s="293"/>
      <c r="CT196" s="293"/>
      <c r="CU196" s="293"/>
      <c r="CV196" s="293"/>
      <c r="CW196" s="293"/>
      <c r="CX196" s="293"/>
      <c r="CY196" s="293"/>
      <c r="CZ196" s="293"/>
      <c r="DA196" s="293"/>
      <c r="DB196" s="293"/>
      <c r="DC196" s="293"/>
      <c r="DD196" s="293"/>
      <c r="DE196" s="293"/>
      <c r="DF196" s="293"/>
      <c r="DG196" s="293"/>
      <c r="DH196" s="293"/>
      <c r="DI196" s="293"/>
      <c r="DJ196" s="293"/>
      <c r="DK196" s="293"/>
      <c r="DL196" s="293"/>
      <c r="DM196" s="293"/>
      <c r="DN196" s="293"/>
      <c r="DO196" s="293"/>
      <c r="DP196" s="293"/>
      <c r="DQ196" s="293"/>
      <c r="DR196" s="293"/>
      <c r="DS196" s="288"/>
      <c r="DT196" s="288"/>
      <c r="DU196" s="288"/>
      <c r="DV196" s="288"/>
      <c r="DW196" s="288"/>
      <c r="DX196" s="288"/>
      <c r="DY196" s="288"/>
      <c r="DZ196" s="288"/>
      <c r="EA196" s="288"/>
      <c r="EB196" s="288"/>
      <c r="EC196" s="288"/>
      <c r="ED196" s="288"/>
      <c r="EE196" s="288"/>
      <c r="EF196" s="288"/>
      <c r="EG196" s="288"/>
      <c r="EH196" s="288"/>
      <c r="EI196" s="288"/>
      <c r="EJ196" s="288"/>
      <c r="EK196" s="288"/>
      <c r="EL196" s="288"/>
      <c r="EM196" s="288"/>
      <c r="EN196" s="288"/>
      <c r="EO196" s="288"/>
      <c r="EP196" s="288"/>
      <c r="EQ196" s="288"/>
      <c r="ER196" s="288"/>
      <c r="ES196" s="288"/>
      <c r="ET196" s="288"/>
      <c r="EU196" s="288"/>
      <c r="EV196" s="288"/>
      <c r="EW196" s="288"/>
      <c r="EX196" s="288"/>
      <c r="EY196" s="288"/>
      <c r="EZ196" s="288"/>
      <c r="FA196" s="288"/>
      <c r="FB196" s="288"/>
      <c r="FC196" s="288"/>
      <c r="FD196" s="288"/>
      <c r="FE196" s="288"/>
      <c r="FF196" s="288"/>
      <c r="FG196" s="288"/>
      <c r="FH196" s="288"/>
    </row>
    <row r="197" ht="14.25" customHeight="1">
      <c r="A197" s="293"/>
      <c r="B197" s="293"/>
      <c r="C197" s="293"/>
      <c r="D197" s="293"/>
      <c r="E197" s="293"/>
      <c r="F197" s="293"/>
      <c r="G197" s="293"/>
      <c r="H197" s="293"/>
      <c r="I197" s="293"/>
      <c r="J197" s="293"/>
      <c r="K197" s="293"/>
      <c r="L197" s="293"/>
      <c r="M197" s="293"/>
      <c r="N197" s="293"/>
      <c r="O197" s="293"/>
      <c r="P197" s="293"/>
      <c r="Q197" s="293"/>
      <c r="R197" s="293"/>
      <c r="S197" s="293"/>
      <c r="T197" s="293"/>
      <c r="U197" s="293"/>
      <c r="V197" s="293"/>
      <c r="W197" s="293"/>
      <c r="X197" s="293"/>
      <c r="Y197" s="293"/>
      <c r="Z197" s="293"/>
      <c r="AA197" s="293"/>
      <c r="AB197" s="293"/>
      <c r="AC197" s="293"/>
      <c r="AD197" s="293"/>
      <c r="AE197" s="293"/>
      <c r="AF197" s="293"/>
      <c r="AG197" s="293"/>
      <c r="AH197" s="293"/>
      <c r="AI197" s="293"/>
      <c r="AJ197" s="293"/>
      <c r="AK197" s="293"/>
      <c r="AL197" s="293"/>
      <c r="AM197" s="293"/>
      <c r="AN197" s="293"/>
      <c r="AO197" s="293"/>
      <c r="AP197" s="293"/>
      <c r="AQ197" s="293"/>
      <c r="AR197" s="293"/>
      <c r="AS197" s="293"/>
      <c r="AT197" s="293"/>
      <c r="AU197" s="293"/>
      <c r="AV197" s="293"/>
      <c r="AW197" s="293"/>
      <c r="AX197" s="293"/>
      <c r="AY197" s="293"/>
      <c r="AZ197" s="293"/>
      <c r="BA197" s="293"/>
      <c r="BB197" s="293"/>
      <c r="BC197" s="293"/>
      <c r="BD197" s="293"/>
      <c r="BE197" s="293"/>
      <c r="BF197" s="293"/>
      <c r="BG197" s="293"/>
      <c r="BH197" s="293"/>
      <c r="BI197" s="293"/>
      <c r="BJ197" s="293"/>
      <c r="BK197" s="293"/>
      <c r="BL197" s="293"/>
      <c r="BM197" s="293"/>
      <c r="BN197" s="293"/>
      <c r="BO197" s="293"/>
      <c r="BP197" s="293"/>
      <c r="BQ197" s="293"/>
      <c r="BR197" s="293"/>
      <c r="BS197" s="293"/>
      <c r="BT197" s="293"/>
      <c r="BU197" s="293"/>
      <c r="BV197" s="293"/>
      <c r="BW197" s="293"/>
      <c r="BX197" s="293"/>
      <c r="BY197" s="293"/>
      <c r="BZ197" s="293"/>
      <c r="CA197" s="293"/>
      <c r="CB197" s="293"/>
      <c r="CC197" s="293"/>
      <c r="CD197" s="293"/>
      <c r="CE197" s="293"/>
      <c r="CF197" s="293"/>
      <c r="CG197" s="293"/>
      <c r="CH197" s="293"/>
      <c r="CI197" s="293"/>
      <c r="CJ197" s="293"/>
      <c r="CK197" s="293"/>
      <c r="CL197" s="293"/>
      <c r="CM197" s="293"/>
      <c r="CN197" s="293"/>
      <c r="CO197" s="293"/>
      <c r="CP197" s="293"/>
      <c r="CQ197" s="293"/>
      <c r="CR197" s="293"/>
      <c r="CS197" s="293"/>
      <c r="CT197" s="293"/>
      <c r="CU197" s="293"/>
      <c r="CV197" s="293"/>
      <c r="CW197" s="293"/>
      <c r="CX197" s="293"/>
      <c r="CY197" s="293"/>
      <c r="CZ197" s="293"/>
      <c r="DA197" s="293"/>
      <c r="DB197" s="293"/>
      <c r="DC197" s="293"/>
      <c r="DD197" s="293"/>
      <c r="DE197" s="293"/>
      <c r="DF197" s="293"/>
      <c r="DG197" s="293"/>
      <c r="DH197" s="293"/>
      <c r="DI197" s="293"/>
      <c r="DJ197" s="293"/>
      <c r="DK197" s="293"/>
      <c r="DL197" s="293"/>
      <c r="DM197" s="293"/>
      <c r="DN197" s="293"/>
      <c r="DO197" s="293"/>
      <c r="DP197" s="293"/>
      <c r="DQ197" s="293"/>
      <c r="DR197" s="293"/>
      <c r="DS197" s="288"/>
      <c r="DT197" s="288"/>
      <c r="DU197" s="288"/>
      <c r="DV197" s="288"/>
      <c r="DW197" s="288"/>
      <c r="DX197" s="288"/>
      <c r="DY197" s="288"/>
      <c r="DZ197" s="288"/>
      <c r="EA197" s="288"/>
      <c r="EB197" s="288"/>
      <c r="EC197" s="288"/>
      <c r="ED197" s="288"/>
      <c r="EE197" s="288"/>
      <c r="EF197" s="288"/>
      <c r="EG197" s="288"/>
      <c r="EH197" s="288"/>
      <c r="EI197" s="288"/>
      <c r="EJ197" s="288"/>
      <c r="EK197" s="288"/>
      <c r="EL197" s="288"/>
      <c r="EM197" s="288"/>
      <c r="EN197" s="288"/>
      <c r="EO197" s="288"/>
      <c r="EP197" s="288"/>
      <c r="EQ197" s="288"/>
      <c r="ER197" s="288"/>
      <c r="ES197" s="288"/>
      <c r="ET197" s="288"/>
      <c r="EU197" s="288"/>
      <c r="EV197" s="288"/>
      <c r="EW197" s="288"/>
      <c r="EX197" s="288"/>
      <c r="EY197" s="288"/>
      <c r="EZ197" s="288"/>
      <c r="FA197" s="288"/>
      <c r="FB197" s="288"/>
      <c r="FC197" s="288"/>
      <c r="FD197" s="288"/>
      <c r="FE197" s="288"/>
      <c r="FF197" s="288"/>
      <c r="FG197" s="288"/>
      <c r="FH197" s="288"/>
    </row>
    <row r="198" ht="14.25" customHeight="1">
      <c r="A198" s="293"/>
      <c r="B198" s="293"/>
      <c r="C198" s="293"/>
      <c r="D198" s="293"/>
      <c r="E198" s="293"/>
      <c r="F198" s="293"/>
      <c r="G198" s="293"/>
      <c r="H198" s="293"/>
      <c r="I198" s="293"/>
      <c r="J198" s="293"/>
      <c r="K198" s="293"/>
      <c r="L198" s="293"/>
      <c r="M198" s="293"/>
      <c r="N198" s="293"/>
      <c r="O198" s="293"/>
      <c r="P198" s="293"/>
      <c r="Q198" s="293"/>
      <c r="R198" s="293"/>
      <c r="S198" s="293"/>
      <c r="T198" s="293"/>
      <c r="U198" s="293"/>
      <c r="V198" s="293"/>
      <c r="W198" s="293"/>
      <c r="X198" s="293"/>
      <c r="Y198" s="293"/>
      <c r="Z198" s="293"/>
      <c r="AA198" s="293"/>
      <c r="AB198" s="293"/>
      <c r="AC198" s="293"/>
      <c r="AD198" s="293"/>
      <c r="AE198" s="293"/>
      <c r="AF198" s="293"/>
      <c r="AG198" s="293"/>
      <c r="AH198" s="293"/>
      <c r="AI198" s="293"/>
      <c r="AJ198" s="293"/>
      <c r="AK198" s="293"/>
      <c r="AL198" s="293"/>
      <c r="AM198" s="293"/>
      <c r="AN198" s="293"/>
      <c r="AO198" s="293"/>
      <c r="AP198" s="293"/>
      <c r="AQ198" s="293"/>
      <c r="AR198" s="293"/>
      <c r="AS198" s="293"/>
      <c r="AT198" s="293"/>
      <c r="AU198" s="293"/>
      <c r="AV198" s="293"/>
      <c r="AW198" s="293"/>
      <c r="AX198" s="293"/>
      <c r="AY198" s="293"/>
      <c r="AZ198" s="293"/>
      <c r="BA198" s="293"/>
      <c r="BB198" s="293"/>
      <c r="BC198" s="293"/>
      <c r="BD198" s="293"/>
      <c r="BE198" s="293"/>
      <c r="BF198" s="293"/>
      <c r="BG198" s="293"/>
      <c r="BH198" s="293"/>
      <c r="BI198" s="293"/>
      <c r="BJ198" s="293"/>
      <c r="BK198" s="293"/>
      <c r="BL198" s="293"/>
      <c r="BM198" s="293"/>
      <c r="BN198" s="293"/>
      <c r="BO198" s="293"/>
      <c r="BP198" s="293"/>
      <c r="BQ198" s="293"/>
      <c r="BR198" s="293"/>
      <c r="BS198" s="293"/>
      <c r="BT198" s="293"/>
      <c r="BU198" s="293"/>
      <c r="BV198" s="293"/>
      <c r="BW198" s="293"/>
      <c r="BX198" s="293"/>
      <c r="BY198" s="293"/>
      <c r="BZ198" s="293"/>
      <c r="CA198" s="293"/>
      <c r="CB198" s="293"/>
      <c r="CC198" s="293"/>
      <c r="CD198" s="293"/>
      <c r="CE198" s="293"/>
      <c r="CF198" s="293"/>
      <c r="CG198" s="293"/>
      <c r="CH198" s="293"/>
      <c r="CI198" s="293"/>
      <c r="CJ198" s="293"/>
      <c r="CK198" s="293"/>
      <c r="CL198" s="293"/>
      <c r="CM198" s="293"/>
      <c r="CN198" s="293"/>
      <c r="CO198" s="293"/>
      <c r="CP198" s="293"/>
      <c r="CQ198" s="293"/>
      <c r="CR198" s="293"/>
      <c r="CS198" s="293"/>
      <c r="CT198" s="293"/>
      <c r="CU198" s="293"/>
      <c r="CV198" s="293"/>
      <c r="CW198" s="293"/>
      <c r="CX198" s="293"/>
      <c r="CY198" s="293"/>
      <c r="CZ198" s="293"/>
      <c r="DA198" s="293"/>
      <c r="DB198" s="293"/>
      <c r="DC198" s="293"/>
      <c r="DD198" s="293"/>
      <c r="DE198" s="293"/>
      <c r="DF198" s="293"/>
      <c r="DG198" s="293"/>
      <c r="DH198" s="293"/>
      <c r="DI198" s="293"/>
      <c r="DJ198" s="293"/>
      <c r="DK198" s="293"/>
      <c r="DL198" s="293"/>
      <c r="DM198" s="293"/>
      <c r="DN198" s="293"/>
      <c r="DO198" s="293"/>
      <c r="DP198" s="293"/>
      <c r="DQ198" s="293"/>
      <c r="DR198" s="293"/>
      <c r="DS198" s="288"/>
      <c r="DT198" s="288"/>
      <c r="DU198" s="288"/>
      <c r="DV198" s="288"/>
      <c r="DW198" s="288"/>
      <c r="DX198" s="288"/>
      <c r="DY198" s="288"/>
      <c r="DZ198" s="288"/>
      <c r="EA198" s="288"/>
      <c r="EB198" s="288"/>
      <c r="EC198" s="288"/>
      <c r="ED198" s="288"/>
      <c r="EE198" s="288"/>
      <c r="EF198" s="288"/>
      <c r="EG198" s="288"/>
      <c r="EH198" s="288"/>
      <c r="EI198" s="288"/>
      <c r="EJ198" s="288"/>
      <c r="EK198" s="288"/>
      <c r="EL198" s="288"/>
      <c r="EM198" s="288"/>
      <c r="EN198" s="288"/>
      <c r="EO198" s="288"/>
      <c r="EP198" s="288"/>
      <c r="EQ198" s="288"/>
      <c r="ER198" s="288"/>
      <c r="ES198" s="288"/>
      <c r="ET198" s="288"/>
      <c r="EU198" s="288"/>
      <c r="EV198" s="288"/>
      <c r="EW198" s="288"/>
      <c r="EX198" s="288"/>
      <c r="EY198" s="288"/>
      <c r="EZ198" s="288"/>
      <c r="FA198" s="288"/>
      <c r="FB198" s="288"/>
      <c r="FC198" s="288"/>
      <c r="FD198" s="288"/>
      <c r="FE198" s="288"/>
      <c r="FF198" s="288"/>
      <c r="FG198" s="288"/>
      <c r="FH198" s="288"/>
    </row>
    <row r="199" ht="14.25" customHeight="1">
      <c r="A199" s="293"/>
      <c r="B199" s="293"/>
      <c r="C199" s="293"/>
      <c r="D199" s="293"/>
      <c r="E199" s="293"/>
      <c r="F199" s="293"/>
      <c r="G199" s="293"/>
      <c r="H199" s="293"/>
      <c r="I199" s="293"/>
      <c r="J199" s="293"/>
      <c r="K199" s="293"/>
      <c r="L199" s="293"/>
      <c r="M199" s="293"/>
      <c r="N199" s="293"/>
      <c r="O199" s="293"/>
      <c r="P199" s="293"/>
      <c r="Q199" s="293"/>
      <c r="R199" s="293"/>
      <c r="S199" s="293"/>
      <c r="T199" s="293"/>
      <c r="U199" s="293"/>
      <c r="V199" s="293"/>
      <c r="W199" s="293"/>
      <c r="X199" s="293"/>
      <c r="Y199" s="293"/>
      <c r="Z199" s="293"/>
      <c r="AA199" s="293"/>
      <c r="AB199" s="293"/>
      <c r="AC199" s="293"/>
      <c r="AD199" s="293"/>
      <c r="AE199" s="293"/>
      <c r="AF199" s="293"/>
      <c r="AG199" s="293"/>
      <c r="AH199" s="293"/>
      <c r="AI199" s="293"/>
      <c r="AJ199" s="293"/>
      <c r="AK199" s="293"/>
      <c r="AL199" s="293"/>
      <c r="AM199" s="293"/>
      <c r="AN199" s="293"/>
      <c r="AO199" s="293"/>
      <c r="AP199" s="293"/>
      <c r="AQ199" s="293"/>
      <c r="AR199" s="293"/>
      <c r="AS199" s="293"/>
      <c r="AT199" s="293"/>
      <c r="AU199" s="293"/>
      <c r="AV199" s="293"/>
      <c r="AW199" s="293"/>
      <c r="AX199" s="293"/>
      <c r="AY199" s="293"/>
      <c r="AZ199" s="293"/>
      <c r="BA199" s="293"/>
      <c r="BB199" s="293"/>
      <c r="BC199" s="293"/>
      <c r="BD199" s="293"/>
      <c r="BE199" s="293"/>
      <c r="BF199" s="293"/>
      <c r="BG199" s="293"/>
      <c r="BH199" s="293"/>
      <c r="BI199" s="293"/>
      <c r="BJ199" s="293"/>
      <c r="BK199" s="293"/>
      <c r="BL199" s="293"/>
      <c r="BM199" s="293"/>
      <c r="BN199" s="293"/>
      <c r="BO199" s="293"/>
      <c r="BP199" s="293"/>
      <c r="BQ199" s="293"/>
      <c r="BR199" s="293"/>
      <c r="BS199" s="293"/>
      <c r="BT199" s="293"/>
      <c r="BU199" s="293"/>
      <c r="BV199" s="293"/>
      <c r="BW199" s="293"/>
      <c r="BX199" s="293"/>
      <c r="BY199" s="293"/>
      <c r="BZ199" s="293"/>
      <c r="CA199" s="293"/>
      <c r="CB199" s="293"/>
      <c r="CC199" s="293"/>
      <c r="CD199" s="293"/>
      <c r="CE199" s="293"/>
      <c r="CF199" s="293"/>
      <c r="CG199" s="293"/>
      <c r="CH199" s="293"/>
      <c r="CI199" s="293"/>
      <c r="CJ199" s="293"/>
      <c r="CK199" s="293"/>
      <c r="CL199" s="293"/>
      <c r="CM199" s="293"/>
      <c r="CN199" s="293"/>
      <c r="CO199" s="293"/>
      <c r="CP199" s="293"/>
      <c r="CQ199" s="293"/>
      <c r="CR199" s="293"/>
      <c r="CS199" s="293"/>
      <c r="CT199" s="293"/>
      <c r="CU199" s="293"/>
      <c r="CV199" s="293"/>
      <c r="CW199" s="293"/>
      <c r="CX199" s="293"/>
      <c r="CY199" s="293"/>
      <c r="CZ199" s="293"/>
      <c r="DA199" s="293"/>
      <c r="DB199" s="293"/>
      <c r="DC199" s="293"/>
      <c r="DD199" s="293"/>
      <c r="DE199" s="293"/>
      <c r="DF199" s="293"/>
      <c r="DG199" s="293"/>
      <c r="DH199" s="293"/>
      <c r="DI199" s="293"/>
      <c r="DJ199" s="293"/>
      <c r="DK199" s="293"/>
      <c r="DL199" s="293"/>
      <c r="DM199" s="293"/>
      <c r="DN199" s="293"/>
      <c r="DO199" s="293"/>
      <c r="DP199" s="293"/>
      <c r="DQ199" s="293"/>
      <c r="DR199" s="293"/>
      <c r="DS199" s="288"/>
      <c r="DT199" s="288"/>
      <c r="DU199" s="288"/>
      <c r="DV199" s="288"/>
      <c r="DW199" s="288"/>
      <c r="DX199" s="288"/>
      <c r="DY199" s="288"/>
      <c r="DZ199" s="288"/>
      <c r="EA199" s="288"/>
      <c r="EB199" s="288"/>
      <c r="EC199" s="288"/>
      <c r="ED199" s="288"/>
      <c r="EE199" s="288"/>
      <c r="EF199" s="288"/>
      <c r="EG199" s="288"/>
      <c r="EH199" s="288"/>
      <c r="EI199" s="288"/>
      <c r="EJ199" s="288"/>
      <c r="EK199" s="288"/>
      <c r="EL199" s="288"/>
      <c r="EM199" s="288"/>
      <c r="EN199" s="288"/>
      <c r="EO199" s="288"/>
      <c r="EP199" s="288"/>
      <c r="EQ199" s="288"/>
      <c r="ER199" s="288"/>
      <c r="ES199" s="288"/>
      <c r="ET199" s="288"/>
      <c r="EU199" s="288"/>
      <c r="EV199" s="288"/>
      <c r="EW199" s="288"/>
      <c r="EX199" s="288"/>
      <c r="EY199" s="288"/>
      <c r="EZ199" s="288"/>
      <c r="FA199" s="288"/>
      <c r="FB199" s="288"/>
      <c r="FC199" s="288"/>
      <c r="FD199" s="288"/>
      <c r="FE199" s="288"/>
      <c r="FF199" s="288"/>
      <c r="FG199" s="288"/>
      <c r="FH199" s="288"/>
    </row>
    <row r="200" ht="14.25" customHeight="1">
      <c r="A200" s="293"/>
      <c r="B200" s="293"/>
      <c r="C200" s="293"/>
      <c r="D200" s="293"/>
      <c r="E200" s="293"/>
      <c r="F200" s="293"/>
      <c r="G200" s="293"/>
      <c r="H200" s="293"/>
      <c r="I200" s="293"/>
      <c r="J200" s="293"/>
      <c r="K200" s="293"/>
      <c r="L200" s="293"/>
      <c r="M200" s="293"/>
      <c r="N200" s="293"/>
      <c r="O200" s="293"/>
      <c r="P200" s="293"/>
      <c r="Q200" s="293"/>
      <c r="R200" s="293"/>
      <c r="S200" s="293"/>
      <c r="T200" s="293"/>
      <c r="U200" s="293"/>
      <c r="V200" s="293"/>
      <c r="W200" s="293"/>
      <c r="X200" s="293"/>
      <c r="Y200" s="293"/>
      <c r="Z200" s="293"/>
      <c r="AA200" s="293"/>
      <c r="AB200" s="293"/>
      <c r="AC200" s="293"/>
      <c r="AD200" s="293"/>
      <c r="AE200" s="293"/>
      <c r="AF200" s="293"/>
      <c r="AG200" s="293"/>
      <c r="AH200" s="293"/>
      <c r="AI200" s="293"/>
      <c r="AJ200" s="293"/>
      <c r="AK200" s="293"/>
      <c r="AL200" s="293"/>
      <c r="AM200" s="293"/>
      <c r="AN200" s="293"/>
      <c r="AO200" s="293"/>
      <c r="AP200" s="293"/>
      <c r="AQ200" s="293"/>
      <c r="AR200" s="293"/>
      <c r="AS200" s="293"/>
      <c r="AT200" s="293"/>
      <c r="AU200" s="293"/>
      <c r="AV200" s="293"/>
      <c r="AW200" s="293"/>
      <c r="AX200" s="293"/>
      <c r="AY200" s="293"/>
      <c r="AZ200" s="293"/>
      <c r="BA200" s="293"/>
      <c r="BB200" s="293"/>
      <c r="BC200" s="293"/>
      <c r="BD200" s="293"/>
      <c r="BE200" s="293"/>
      <c r="BF200" s="293"/>
      <c r="BG200" s="293"/>
      <c r="BH200" s="293"/>
      <c r="BI200" s="293"/>
      <c r="BJ200" s="293"/>
      <c r="BK200" s="293"/>
      <c r="BL200" s="293"/>
      <c r="BM200" s="293"/>
      <c r="BN200" s="293"/>
      <c r="BO200" s="293"/>
      <c r="BP200" s="293"/>
      <c r="BQ200" s="293"/>
      <c r="BR200" s="293"/>
      <c r="BS200" s="293"/>
      <c r="BT200" s="293"/>
      <c r="BU200" s="293"/>
      <c r="BV200" s="293"/>
      <c r="BW200" s="293"/>
      <c r="BX200" s="293"/>
      <c r="BY200" s="293"/>
      <c r="BZ200" s="293"/>
      <c r="CA200" s="293"/>
      <c r="CB200" s="293"/>
      <c r="CC200" s="293"/>
      <c r="CD200" s="293"/>
      <c r="CE200" s="293"/>
      <c r="CF200" s="293"/>
      <c r="CG200" s="293"/>
      <c r="CH200" s="293"/>
      <c r="CI200" s="293"/>
      <c r="CJ200" s="293"/>
      <c r="CK200" s="293"/>
      <c r="CL200" s="293"/>
      <c r="CM200" s="293"/>
      <c r="CN200" s="293"/>
      <c r="CO200" s="293"/>
      <c r="CP200" s="293"/>
      <c r="CQ200" s="293"/>
      <c r="CR200" s="293"/>
      <c r="CS200" s="293"/>
      <c r="CT200" s="293"/>
      <c r="CU200" s="293"/>
      <c r="CV200" s="293"/>
      <c r="CW200" s="293"/>
      <c r="CX200" s="293"/>
      <c r="CY200" s="293"/>
      <c r="CZ200" s="293"/>
      <c r="DA200" s="293"/>
      <c r="DB200" s="293"/>
      <c r="DC200" s="293"/>
      <c r="DD200" s="293"/>
      <c r="DE200" s="293"/>
      <c r="DF200" s="293"/>
      <c r="DG200" s="293"/>
      <c r="DH200" s="293"/>
      <c r="DI200" s="293"/>
      <c r="DJ200" s="293"/>
      <c r="DK200" s="293"/>
      <c r="DL200" s="293"/>
      <c r="DM200" s="293"/>
      <c r="DN200" s="293"/>
      <c r="DO200" s="293"/>
      <c r="DP200" s="293"/>
      <c r="DQ200" s="293"/>
      <c r="DR200" s="293"/>
      <c r="DS200" s="288"/>
      <c r="DT200" s="288"/>
      <c r="DU200" s="288"/>
      <c r="DV200" s="288"/>
      <c r="DW200" s="288"/>
      <c r="DX200" s="288"/>
      <c r="DY200" s="288"/>
      <c r="DZ200" s="288"/>
      <c r="EA200" s="288"/>
      <c r="EB200" s="288"/>
      <c r="EC200" s="288"/>
      <c r="ED200" s="288"/>
      <c r="EE200" s="288"/>
      <c r="EF200" s="288"/>
      <c r="EG200" s="288"/>
      <c r="EH200" s="288"/>
      <c r="EI200" s="288"/>
      <c r="EJ200" s="288"/>
      <c r="EK200" s="288"/>
      <c r="EL200" s="288"/>
      <c r="EM200" s="288"/>
      <c r="EN200" s="288"/>
      <c r="EO200" s="288"/>
      <c r="EP200" s="288"/>
      <c r="EQ200" s="288"/>
      <c r="ER200" s="288"/>
      <c r="ES200" s="288"/>
      <c r="ET200" s="288"/>
      <c r="EU200" s="288"/>
      <c r="EV200" s="288"/>
      <c r="EW200" s="288"/>
      <c r="EX200" s="288"/>
      <c r="EY200" s="288"/>
      <c r="EZ200" s="288"/>
      <c r="FA200" s="288"/>
      <c r="FB200" s="288"/>
      <c r="FC200" s="288"/>
      <c r="FD200" s="288"/>
      <c r="FE200" s="288"/>
      <c r="FF200" s="288"/>
      <c r="FG200" s="288"/>
      <c r="FH200" s="288"/>
    </row>
    <row r="201" ht="14.25" customHeight="1">
      <c r="A201" s="293"/>
      <c r="B201" s="293"/>
      <c r="C201" s="293"/>
      <c r="D201" s="293"/>
      <c r="E201" s="293"/>
      <c r="F201" s="293"/>
      <c r="G201" s="293"/>
      <c r="H201" s="293"/>
      <c r="I201" s="293"/>
      <c r="J201" s="293"/>
      <c r="K201" s="293"/>
      <c r="L201" s="293"/>
      <c r="M201" s="293"/>
      <c r="N201" s="293"/>
      <c r="O201" s="293"/>
      <c r="P201" s="293"/>
      <c r="Q201" s="293"/>
      <c r="R201" s="293"/>
      <c r="S201" s="293"/>
      <c r="T201" s="293"/>
      <c r="U201" s="293"/>
      <c r="V201" s="293"/>
      <c r="W201" s="293"/>
      <c r="X201" s="293"/>
      <c r="Y201" s="293"/>
      <c r="Z201" s="293"/>
      <c r="AA201" s="293"/>
      <c r="AB201" s="293"/>
      <c r="AC201" s="293"/>
      <c r="AD201" s="293"/>
      <c r="AE201" s="293"/>
      <c r="AF201" s="293"/>
      <c r="AG201" s="293"/>
      <c r="AH201" s="293"/>
      <c r="AI201" s="293"/>
      <c r="AJ201" s="293"/>
      <c r="AK201" s="293"/>
      <c r="AL201" s="293"/>
      <c r="AM201" s="293"/>
      <c r="AN201" s="293"/>
      <c r="AO201" s="293"/>
      <c r="AP201" s="293"/>
      <c r="AQ201" s="293"/>
      <c r="AR201" s="293"/>
      <c r="AS201" s="293"/>
      <c r="AT201" s="293"/>
      <c r="AU201" s="293"/>
      <c r="AV201" s="293"/>
      <c r="AW201" s="293"/>
      <c r="AX201" s="293"/>
      <c r="AY201" s="293"/>
      <c r="AZ201" s="293"/>
      <c r="BA201" s="293"/>
      <c r="BB201" s="293"/>
      <c r="BC201" s="293"/>
      <c r="BD201" s="293"/>
      <c r="BE201" s="293"/>
      <c r="BF201" s="293"/>
      <c r="BG201" s="293"/>
      <c r="BH201" s="293"/>
      <c r="BI201" s="293"/>
      <c r="BJ201" s="293"/>
      <c r="BK201" s="293"/>
      <c r="BL201" s="293"/>
      <c r="BM201" s="293"/>
      <c r="BN201" s="293"/>
      <c r="BO201" s="293"/>
      <c r="BP201" s="293"/>
      <c r="BQ201" s="293"/>
      <c r="BR201" s="293"/>
      <c r="BS201" s="293"/>
      <c r="BT201" s="293"/>
      <c r="BU201" s="293"/>
      <c r="BV201" s="293"/>
      <c r="BW201" s="293"/>
      <c r="BX201" s="293"/>
      <c r="BY201" s="293"/>
      <c r="BZ201" s="293"/>
      <c r="CA201" s="293"/>
      <c r="CB201" s="293"/>
      <c r="CC201" s="293"/>
      <c r="CD201" s="293"/>
      <c r="CE201" s="293"/>
      <c r="CF201" s="293"/>
      <c r="CG201" s="293"/>
      <c r="CH201" s="293"/>
      <c r="CI201" s="293"/>
      <c r="CJ201" s="293"/>
      <c r="CK201" s="293"/>
      <c r="CL201" s="293"/>
      <c r="CM201" s="293"/>
      <c r="CN201" s="293"/>
      <c r="CO201" s="293"/>
      <c r="CP201" s="293"/>
      <c r="CQ201" s="293"/>
      <c r="CR201" s="293"/>
      <c r="CS201" s="293"/>
      <c r="CT201" s="293"/>
      <c r="CU201" s="293"/>
      <c r="CV201" s="293"/>
      <c r="CW201" s="293"/>
      <c r="CX201" s="293"/>
      <c r="CY201" s="293"/>
      <c r="CZ201" s="293"/>
      <c r="DA201" s="293"/>
      <c r="DB201" s="293"/>
      <c r="DC201" s="293"/>
      <c r="DD201" s="293"/>
      <c r="DE201" s="293"/>
      <c r="DF201" s="293"/>
      <c r="DG201" s="293"/>
      <c r="DH201" s="293"/>
      <c r="DI201" s="293"/>
      <c r="DJ201" s="293"/>
      <c r="DK201" s="293"/>
      <c r="DL201" s="293"/>
      <c r="DM201" s="293"/>
      <c r="DN201" s="293"/>
      <c r="DO201" s="293"/>
      <c r="DP201" s="293"/>
      <c r="DQ201" s="293"/>
      <c r="DR201" s="293"/>
      <c r="DS201" s="288"/>
      <c r="DT201" s="288"/>
      <c r="DU201" s="288"/>
      <c r="DV201" s="288"/>
      <c r="DW201" s="288"/>
      <c r="DX201" s="288"/>
      <c r="DY201" s="288"/>
      <c r="DZ201" s="288"/>
      <c r="EA201" s="288"/>
      <c r="EB201" s="288"/>
      <c r="EC201" s="288"/>
      <c r="ED201" s="288"/>
      <c r="EE201" s="288"/>
      <c r="EF201" s="288"/>
      <c r="EG201" s="288"/>
      <c r="EH201" s="288"/>
      <c r="EI201" s="288"/>
      <c r="EJ201" s="288"/>
      <c r="EK201" s="288"/>
      <c r="EL201" s="288"/>
      <c r="EM201" s="288"/>
      <c r="EN201" s="288"/>
      <c r="EO201" s="288"/>
      <c r="EP201" s="288"/>
      <c r="EQ201" s="288"/>
      <c r="ER201" s="288"/>
      <c r="ES201" s="288"/>
      <c r="ET201" s="288"/>
      <c r="EU201" s="288"/>
      <c r="EV201" s="288"/>
      <c r="EW201" s="288"/>
      <c r="EX201" s="288"/>
      <c r="EY201" s="288"/>
      <c r="EZ201" s="288"/>
      <c r="FA201" s="288"/>
      <c r="FB201" s="288"/>
      <c r="FC201" s="288"/>
      <c r="FD201" s="288"/>
      <c r="FE201" s="288"/>
      <c r="FF201" s="288"/>
      <c r="FG201" s="288"/>
      <c r="FH201" s="288"/>
    </row>
    <row r="202" ht="14.25" customHeight="1">
      <c r="A202" s="293"/>
      <c r="B202" s="293"/>
      <c r="C202" s="293"/>
      <c r="D202" s="293"/>
      <c r="E202" s="293"/>
      <c r="F202" s="293"/>
      <c r="G202" s="293"/>
      <c r="H202" s="293"/>
      <c r="I202" s="293"/>
      <c r="J202" s="293"/>
      <c r="K202" s="293"/>
      <c r="L202" s="293"/>
      <c r="M202" s="293"/>
      <c r="N202" s="293"/>
      <c r="O202" s="293"/>
      <c r="P202" s="293"/>
      <c r="Q202" s="293"/>
      <c r="R202" s="293"/>
      <c r="S202" s="293"/>
      <c r="T202" s="293"/>
      <c r="U202" s="293"/>
      <c r="V202" s="293"/>
      <c r="W202" s="293"/>
      <c r="X202" s="293"/>
      <c r="Y202" s="293"/>
      <c r="Z202" s="293"/>
      <c r="AA202" s="293"/>
      <c r="AB202" s="293"/>
      <c r="AC202" s="293"/>
      <c r="AD202" s="293"/>
      <c r="AE202" s="293"/>
      <c r="AF202" s="293"/>
      <c r="AG202" s="293"/>
      <c r="AH202" s="293"/>
      <c r="AI202" s="293"/>
      <c r="AJ202" s="293"/>
      <c r="AK202" s="293"/>
      <c r="AL202" s="293"/>
      <c r="AM202" s="293"/>
      <c r="AN202" s="293"/>
      <c r="AO202" s="293"/>
      <c r="AP202" s="293"/>
      <c r="AQ202" s="293"/>
      <c r="AR202" s="293"/>
      <c r="AS202" s="293"/>
      <c r="AT202" s="293"/>
      <c r="AU202" s="293"/>
      <c r="AV202" s="293"/>
      <c r="AW202" s="293"/>
      <c r="AX202" s="293"/>
      <c r="AY202" s="293"/>
      <c r="AZ202" s="293"/>
      <c r="BA202" s="293"/>
      <c r="BB202" s="293"/>
      <c r="BC202" s="293"/>
      <c r="BD202" s="293"/>
      <c r="BE202" s="293"/>
      <c r="BF202" s="293"/>
      <c r="BG202" s="293"/>
      <c r="BH202" s="293"/>
      <c r="BI202" s="293"/>
      <c r="BJ202" s="293"/>
      <c r="BK202" s="293"/>
      <c r="BL202" s="293"/>
      <c r="BM202" s="293"/>
      <c r="BN202" s="293"/>
      <c r="BO202" s="293"/>
      <c r="BP202" s="293"/>
      <c r="BQ202" s="293"/>
      <c r="BR202" s="293"/>
      <c r="BS202" s="293"/>
      <c r="BT202" s="293"/>
      <c r="BU202" s="293"/>
      <c r="BV202" s="293"/>
      <c r="BW202" s="293"/>
      <c r="BX202" s="293"/>
      <c r="BY202" s="293"/>
      <c r="BZ202" s="293"/>
      <c r="CA202" s="293"/>
      <c r="CB202" s="293"/>
      <c r="CC202" s="293"/>
      <c r="CD202" s="293"/>
      <c r="CE202" s="293"/>
      <c r="CF202" s="293"/>
      <c r="CG202" s="293"/>
      <c r="CH202" s="293"/>
      <c r="CI202" s="293"/>
      <c r="CJ202" s="293"/>
      <c r="CK202" s="293"/>
      <c r="CL202" s="293"/>
      <c r="CM202" s="293"/>
      <c r="CN202" s="293"/>
      <c r="CO202" s="293"/>
      <c r="CP202" s="293"/>
      <c r="CQ202" s="293"/>
      <c r="CR202" s="293"/>
      <c r="CS202" s="293"/>
      <c r="CT202" s="293"/>
      <c r="CU202" s="293"/>
      <c r="CV202" s="293"/>
      <c r="CW202" s="293"/>
      <c r="CX202" s="293"/>
      <c r="CY202" s="293"/>
      <c r="CZ202" s="293"/>
      <c r="DA202" s="293"/>
      <c r="DB202" s="293"/>
      <c r="DC202" s="293"/>
      <c r="DD202" s="293"/>
      <c r="DE202" s="293"/>
      <c r="DF202" s="293"/>
      <c r="DG202" s="293"/>
      <c r="DH202" s="293"/>
      <c r="DI202" s="293"/>
      <c r="DJ202" s="293"/>
      <c r="DK202" s="293"/>
      <c r="DL202" s="293"/>
      <c r="DM202" s="293"/>
      <c r="DN202" s="293"/>
      <c r="DO202" s="293"/>
      <c r="DP202" s="293"/>
      <c r="DQ202" s="293"/>
      <c r="DR202" s="293"/>
      <c r="DS202" s="288"/>
      <c r="DT202" s="288"/>
      <c r="DU202" s="288"/>
      <c r="DV202" s="288"/>
      <c r="DW202" s="288"/>
      <c r="DX202" s="288"/>
      <c r="DY202" s="288"/>
      <c r="DZ202" s="288"/>
      <c r="EA202" s="288"/>
      <c r="EB202" s="288"/>
      <c r="EC202" s="288"/>
      <c r="ED202" s="288"/>
      <c r="EE202" s="288"/>
      <c r="EF202" s="288"/>
      <c r="EG202" s="288"/>
      <c r="EH202" s="288"/>
      <c r="EI202" s="288"/>
      <c r="EJ202" s="288"/>
      <c r="EK202" s="288"/>
      <c r="EL202" s="288"/>
      <c r="EM202" s="288"/>
      <c r="EN202" s="288"/>
      <c r="EO202" s="288"/>
      <c r="EP202" s="288"/>
      <c r="EQ202" s="288"/>
      <c r="ER202" s="288"/>
      <c r="ES202" s="288"/>
      <c r="ET202" s="288"/>
      <c r="EU202" s="288"/>
      <c r="EV202" s="288"/>
      <c r="EW202" s="288"/>
      <c r="EX202" s="288"/>
      <c r="EY202" s="288"/>
      <c r="EZ202" s="288"/>
      <c r="FA202" s="288"/>
      <c r="FB202" s="288"/>
      <c r="FC202" s="288"/>
      <c r="FD202" s="288"/>
      <c r="FE202" s="288"/>
      <c r="FF202" s="288"/>
      <c r="FG202" s="288"/>
      <c r="FH202" s="288"/>
    </row>
    <row r="203" ht="14.25" customHeight="1">
      <c r="A203" s="293"/>
      <c r="B203" s="293"/>
      <c r="C203" s="293"/>
      <c r="D203" s="293"/>
      <c r="E203" s="293"/>
      <c r="F203" s="293"/>
      <c r="G203" s="293"/>
      <c r="H203" s="293"/>
      <c r="I203" s="293"/>
      <c r="J203" s="293"/>
      <c r="K203" s="293"/>
      <c r="L203" s="293"/>
      <c r="M203" s="293"/>
      <c r="N203" s="293"/>
      <c r="O203" s="293"/>
      <c r="P203" s="293"/>
      <c r="Q203" s="293"/>
      <c r="R203" s="293"/>
      <c r="S203" s="293"/>
      <c r="T203" s="293"/>
      <c r="U203" s="293"/>
      <c r="V203" s="293"/>
      <c r="W203" s="293"/>
      <c r="X203" s="293"/>
      <c r="Y203" s="293"/>
      <c r="Z203" s="293"/>
      <c r="AA203" s="293"/>
      <c r="AB203" s="293"/>
      <c r="AC203" s="293"/>
      <c r="AD203" s="293"/>
      <c r="AE203" s="293"/>
      <c r="AF203" s="293"/>
      <c r="AG203" s="293"/>
      <c r="AH203" s="293"/>
      <c r="AI203" s="293"/>
      <c r="AJ203" s="293"/>
      <c r="AK203" s="293"/>
      <c r="AL203" s="293"/>
      <c r="AM203" s="293"/>
      <c r="AN203" s="293"/>
      <c r="AO203" s="293"/>
      <c r="AP203" s="293"/>
      <c r="AQ203" s="293"/>
      <c r="AR203" s="293"/>
      <c r="AS203" s="293"/>
      <c r="AT203" s="293"/>
      <c r="AU203" s="293"/>
      <c r="AV203" s="293"/>
      <c r="AW203" s="293"/>
      <c r="AX203" s="293"/>
      <c r="AY203" s="293"/>
      <c r="AZ203" s="293"/>
      <c r="BA203" s="293"/>
      <c r="BB203" s="293"/>
      <c r="BC203" s="293"/>
      <c r="BD203" s="293"/>
      <c r="BE203" s="293"/>
      <c r="BF203" s="293"/>
      <c r="BG203" s="293"/>
      <c r="BH203" s="293"/>
      <c r="BI203" s="293"/>
      <c r="BJ203" s="293"/>
      <c r="BK203" s="293"/>
      <c r="BL203" s="293"/>
      <c r="BM203" s="293"/>
      <c r="BN203" s="293"/>
      <c r="BO203" s="293"/>
      <c r="BP203" s="293"/>
      <c r="BQ203" s="293"/>
      <c r="BR203" s="293"/>
      <c r="BS203" s="293"/>
      <c r="BT203" s="293"/>
      <c r="BU203" s="293"/>
      <c r="BV203" s="293"/>
      <c r="BW203" s="293"/>
      <c r="BX203" s="293"/>
      <c r="BY203" s="293"/>
      <c r="BZ203" s="293"/>
      <c r="CA203" s="293"/>
      <c r="CB203" s="293"/>
      <c r="CC203" s="293"/>
      <c r="CD203" s="293"/>
      <c r="CE203" s="293"/>
      <c r="CF203" s="293"/>
      <c r="CG203" s="293"/>
      <c r="CH203" s="293"/>
      <c r="CI203" s="293"/>
      <c r="CJ203" s="293"/>
      <c r="CK203" s="293"/>
      <c r="CL203" s="293"/>
      <c r="CM203" s="293"/>
      <c r="CN203" s="293"/>
      <c r="CO203" s="293"/>
      <c r="CP203" s="293"/>
      <c r="CQ203" s="293"/>
      <c r="CR203" s="293"/>
      <c r="CS203" s="293"/>
      <c r="CT203" s="293"/>
      <c r="CU203" s="293"/>
      <c r="CV203" s="293"/>
      <c r="CW203" s="293"/>
      <c r="CX203" s="293"/>
      <c r="CY203" s="293"/>
      <c r="CZ203" s="293"/>
      <c r="DA203" s="293"/>
      <c r="DB203" s="293"/>
      <c r="DC203" s="293"/>
      <c r="DD203" s="293"/>
      <c r="DE203" s="293"/>
      <c r="DF203" s="293"/>
      <c r="DG203" s="293"/>
      <c r="DH203" s="293"/>
      <c r="DI203" s="293"/>
      <c r="DJ203" s="293"/>
      <c r="DK203" s="293"/>
      <c r="DL203" s="293"/>
      <c r="DM203" s="293"/>
      <c r="DN203" s="293"/>
      <c r="DO203" s="293"/>
      <c r="DP203" s="293"/>
      <c r="DQ203" s="293"/>
      <c r="DR203" s="293"/>
      <c r="DS203" s="288"/>
      <c r="DT203" s="288"/>
      <c r="DU203" s="288"/>
      <c r="DV203" s="288"/>
      <c r="DW203" s="288"/>
      <c r="DX203" s="288"/>
      <c r="DY203" s="288"/>
      <c r="DZ203" s="288"/>
      <c r="EA203" s="288"/>
      <c r="EB203" s="288"/>
      <c r="EC203" s="288"/>
      <c r="ED203" s="288"/>
      <c r="EE203" s="288"/>
      <c r="EF203" s="288"/>
      <c r="EG203" s="288"/>
      <c r="EH203" s="288"/>
      <c r="EI203" s="288"/>
      <c r="EJ203" s="288"/>
      <c r="EK203" s="288"/>
      <c r="EL203" s="288"/>
      <c r="EM203" s="288"/>
      <c r="EN203" s="288"/>
      <c r="EO203" s="288"/>
      <c r="EP203" s="288"/>
      <c r="EQ203" s="288"/>
      <c r="ER203" s="288"/>
      <c r="ES203" s="288"/>
      <c r="ET203" s="288"/>
      <c r="EU203" s="288"/>
      <c r="EV203" s="288"/>
      <c r="EW203" s="288"/>
      <c r="EX203" s="288"/>
      <c r="EY203" s="288"/>
      <c r="EZ203" s="288"/>
      <c r="FA203" s="288"/>
      <c r="FB203" s="288"/>
      <c r="FC203" s="288"/>
      <c r="FD203" s="288"/>
      <c r="FE203" s="288"/>
      <c r="FF203" s="288"/>
      <c r="FG203" s="288"/>
      <c r="FH203" s="288"/>
    </row>
    <row r="204" ht="14.25" customHeight="1">
      <c r="A204" s="293"/>
      <c r="B204" s="293"/>
      <c r="C204" s="293"/>
      <c r="D204" s="293"/>
      <c r="E204" s="293"/>
      <c r="F204" s="293"/>
      <c r="G204" s="293"/>
      <c r="H204" s="293"/>
      <c r="I204" s="293"/>
      <c r="J204" s="293"/>
      <c r="K204" s="293"/>
      <c r="L204" s="293"/>
      <c r="M204" s="293"/>
      <c r="N204" s="293"/>
      <c r="O204" s="293"/>
      <c r="P204" s="293"/>
      <c r="Q204" s="293"/>
      <c r="R204" s="293"/>
      <c r="S204" s="293"/>
      <c r="T204" s="293"/>
      <c r="U204" s="293"/>
      <c r="V204" s="293"/>
      <c r="W204" s="293"/>
      <c r="X204" s="293"/>
      <c r="Y204" s="293"/>
      <c r="Z204" s="293"/>
      <c r="AA204" s="293"/>
      <c r="AB204" s="293"/>
      <c r="AC204" s="293"/>
      <c r="AD204" s="293"/>
      <c r="AE204" s="293"/>
      <c r="AF204" s="293"/>
      <c r="AG204" s="293"/>
      <c r="AH204" s="293"/>
      <c r="AI204" s="293"/>
      <c r="AJ204" s="293"/>
      <c r="AK204" s="293"/>
      <c r="AL204" s="293"/>
      <c r="AM204" s="293"/>
      <c r="AN204" s="293"/>
      <c r="AO204" s="293"/>
      <c r="AP204" s="293"/>
      <c r="AQ204" s="293"/>
      <c r="AR204" s="293"/>
      <c r="AS204" s="293"/>
      <c r="AT204" s="293"/>
      <c r="AU204" s="293"/>
      <c r="AV204" s="293"/>
      <c r="AW204" s="293"/>
      <c r="AX204" s="293"/>
      <c r="AY204" s="293"/>
      <c r="AZ204" s="293"/>
      <c r="BA204" s="293"/>
      <c r="BB204" s="293"/>
      <c r="BC204" s="293"/>
      <c r="BD204" s="293"/>
      <c r="BE204" s="293"/>
      <c r="BF204" s="293"/>
      <c r="BG204" s="293"/>
      <c r="BH204" s="293"/>
      <c r="BI204" s="293"/>
      <c r="BJ204" s="293"/>
      <c r="BK204" s="293"/>
      <c r="BL204" s="293"/>
      <c r="BM204" s="293"/>
      <c r="BN204" s="293"/>
      <c r="BO204" s="293"/>
      <c r="BP204" s="293"/>
      <c r="BQ204" s="293"/>
      <c r="BR204" s="293"/>
      <c r="BS204" s="293"/>
      <c r="BT204" s="293"/>
      <c r="BU204" s="293"/>
      <c r="BV204" s="293"/>
      <c r="BW204" s="293"/>
      <c r="BX204" s="293"/>
      <c r="BY204" s="293"/>
      <c r="BZ204" s="293"/>
      <c r="CA204" s="293"/>
      <c r="CB204" s="293"/>
      <c r="CC204" s="293"/>
      <c r="CD204" s="293"/>
      <c r="CE204" s="293"/>
      <c r="CF204" s="293"/>
      <c r="CG204" s="293"/>
      <c r="CH204" s="293"/>
      <c r="CI204" s="293"/>
      <c r="CJ204" s="293"/>
      <c r="CK204" s="293"/>
      <c r="CL204" s="293"/>
      <c r="CM204" s="293"/>
      <c r="CN204" s="293"/>
      <c r="CO204" s="293"/>
      <c r="CP204" s="293"/>
      <c r="CQ204" s="293"/>
      <c r="CR204" s="293"/>
      <c r="CS204" s="293"/>
      <c r="CT204" s="293"/>
      <c r="CU204" s="293"/>
      <c r="CV204" s="293"/>
      <c r="CW204" s="293"/>
      <c r="CX204" s="293"/>
      <c r="CY204" s="293"/>
      <c r="CZ204" s="293"/>
      <c r="DA204" s="293"/>
      <c r="DB204" s="293"/>
      <c r="DC204" s="293"/>
      <c r="DD204" s="293"/>
      <c r="DE204" s="293"/>
      <c r="DF204" s="293"/>
      <c r="DG204" s="293"/>
      <c r="DH204" s="293"/>
      <c r="DI204" s="293"/>
      <c r="DJ204" s="293"/>
      <c r="DK204" s="293"/>
      <c r="DL204" s="293"/>
      <c r="DM204" s="293"/>
      <c r="DN204" s="293"/>
      <c r="DO204" s="293"/>
      <c r="DP204" s="293"/>
      <c r="DQ204" s="293"/>
      <c r="DR204" s="293"/>
      <c r="DS204" s="288"/>
      <c r="DT204" s="288"/>
      <c r="DU204" s="288"/>
      <c r="DV204" s="288"/>
      <c r="DW204" s="288"/>
      <c r="DX204" s="288"/>
      <c r="DY204" s="288"/>
      <c r="DZ204" s="288"/>
      <c r="EA204" s="288"/>
      <c r="EB204" s="288"/>
      <c r="EC204" s="288"/>
      <c r="ED204" s="288"/>
      <c r="EE204" s="288"/>
      <c r="EF204" s="288"/>
      <c r="EG204" s="288"/>
      <c r="EH204" s="288"/>
      <c r="EI204" s="288"/>
      <c r="EJ204" s="288"/>
      <c r="EK204" s="288"/>
      <c r="EL204" s="288"/>
      <c r="EM204" s="288"/>
      <c r="EN204" s="288"/>
      <c r="EO204" s="288"/>
      <c r="EP204" s="288"/>
      <c r="EQ204" s="288"/>
      <c r="ER204" s="288"/>
      <c r="ES204" s="288"/>
      <c r="ET204" s="288"/>
      <c r="EU204" s="288"/>
      <c r="EV204" s="288"/>
      <c r="EW204" s="288"/>
      <c r="EX204" s="288"/>
      <c r="EY204" s="288"/>
      <c r="EZ204" s="288"/>
      <c r="FA204" s="288"/>
      <c r="FB204" s="288"/>
      <c r="FC204" s="288"/>
      <c r="FD204" s="288"/>
      <c r="FE204" s="288"/>
      <c r="FF204" s="288"/>
      <c r="FG204" s="288"/>
      <c r="FH204" s="288"/>
    </row>
    <row r="205" ht="14.25" customHeight="1">
      <c r="A205" s="293"/>
      <c r="B205" s="293"/>
      <c r="C205" s="293"/>
      <c r="D205" s="293"/>
      <c r="E205" s="293"/>
      <c r="F205" s="293"/>
      <c r="G205" s="293"/>
      <c r="H205" s="293"/>
      <c r="I205" s="293"/>
      <c r="J205" s="293"/>
      <c r="K205" s="293"/>
      <c r="L205" s="293"/>
      <c r="M205" s="293"/>
      <c r="N205" s="293"/>
      <c r="O205" s="293"/>
      <c r="P205" s="293"/>
      <c r="Q205" s="293"/>
      <c r="R205" s="293"/>
      <c r="S205" s="293"/>
      <c r="T205" s="293"/>
      <c r="U205" s="293"/>
      <c r="V205" s="293"/>
      <c r="W205" s="293"/>
      <c r="X205" s="293"/>
      <c r="Y205" s="293"/>
      <c r="Z205" s="293"/>
      <c r="AA205" s="293"/>
      <c r="AB205" s="293"/>
      <c r="AC205" s="293"/>
      <c r="AD205" s="293"/>
      <c r="AE205" s="293"/>
      <c r="AF205" s="293"/>
      <c r="AG205" s="293"/>
      <c r="AH205" s="293"/>
      <c r="AI205" s="293"/>
      <c r="AJ205" s="293"/>
      <c r="AK205" s="293"/>
      <c r="AL205" s="293"/>
      <c r="AM205" s="293"/>
      <c r="AN205" s="293"/>
      <c r="AO205" s="293"/>
      <c r="AP205" s="293"/>
      <c r="AQ205" s="293"/>
      <c r="AR205" s="293"/>
      <c r="AS205" s="293"/>
      <c r="AT205" s="293"/>
      <c r="AU205" s="293"/>
      <c r="AV205" s="293"/>
      <c r="AW205" s="293"/>
      <c r="AX205" s="293"/>
      <c r="AY205" s="293"/>
      <c r="AZ205" s="293"/>
      <c r="BA205" s="293"/>
      <c r="BB205" s="293"/>
      <c r="BC205" s="293"/>
      <c r="BD205" s="293"/>
      <c r="BE205" s="293"/>
      <c r="BF205" s="293"/>
      <c r="BG205" s="293"/>
      <c r="BH205" s="293"/>
      <c r="BI205" s="293"/>
      <c r="BJ205" s="293"/>
      <c r="BK205" s="293"/>
      <c r="BL205" s="293"/>
      <c r="BM205" s="293"/>
      <c r="BN205" s="293"/>
      <c r="BO205" s="293"/>
      <c r="BP205" s="293"/>
      <c r="BQ205" s="293"/>
      <c r="BR205" s="293"/>
      <c r="BS205" s="293"/>
      <c r="BT205" s="293"/>
      <c r="BU205" s="293"/>
      <c r="BV205" s="293"/>
      <c r="BW205" s="293"/>
      <c r="BX205" s="293"/>
      <c r="BY205" s="293"/>
      <c r="BZ205" s="293"/>
      <c r="CA205" s="293"/>
      <c r="CB205" s="293"/>
      <c r="CC205" s="293"/>
      <c r="CD205" s="293"/>
      <c r="CE205" s="293"/>
      <c r="CF205" s="293"/>
      <c r="CG205" s="293"/>
      <c r="CH205" s="293"/>
      <c r="CI205" s="293"/>
      <c r="CJ205" s="293"/>
      <c r="CK205" s="293"/>
      <c r="CL205" s="293"/>
      <c r="CM205" s="293"/>
      <c r="CN205" s="293"/>
      <c r="CO205" s="293"/>
      <c r="CP205" s="293"/>
      <c r="CQ205" s="293"/>
      <c r="CR205" s="293"/>
      <c r="CS205" s="293"/>
      <c r="CT205" s="293"/>
      <c r="CU205" s="293"/>
      <c r="CV205" s="293"/>
      <c r="CW205" s="293"/>
      <c r="CX205" s="293"/>
      <c r="CY205" s="293"/>
      <c r="CZ205" s="293"/>
      <c r="DA205" s="293"/>
      <c r="DB205" s="293"/>
      <c r="DC205" s="293"/>
      <c r="DD205" s="293"/>
      <c r="DE205" s="293"/>
      <c r="DF205" s="293"/>
      <c r="DG205" s="293"/>
      <c r="DH205" s="293"/>
      <c r="DI205" s="293"/>
      <c r="DJ205" s="293"/>
      <c r="DK205" s="293"/>
      <c r="DL205" s="293"/>
      <c r="DM205" s="293"/>
      <c r="DN205" s="293"/>
      <c r="DO205" s="293"/>
      <c r="DP205" s="293"/>
      <c r="DQ205" s="293"/>
      <c r="DR205" s="293"/>
      <c r="DS205" s="288"/>
      <c r="DT205" s="288"/>
      <c r="DU205" s="288"/>
      <c r="DV205" s="288"/>
      <c r="DW205" s="288"/>
      <c r="DX205" s="288"/>
      <c r="DY205" s="288"/>
      <c r="DZ205" s="288"/>
      <c r="EA205" s="288"/>
      <c r="EB205" s="288"/>
      <c r="EC205" s="288"/>
      <c r="ED205" s="288"/>
      <c r="EE205" s="288"/>
      <c r="EF205" s="288"/>
      <c r="EG205" s="288"/>
      <c r="EH205" s="288"/>
      <c r="EI205" s="288"/>
      <c r="EJ205" s="288"/>
      <c r="EK205" s="288"/>
      <c r="EL205" s="288"/>
      <c r="EM205" s="288"/>
      <c r="EN205" s="288"/>
      <c r="EO205" s="288"/>
      <c r="EP205" s="288"/>
      <c r="EQ205" s="288"/>
      <c r="ER205" s="288"/>
      <c r="ES205" s="288"/>
      <c r="ET205" s="288"/>
      <c r="EU205" s="288"/>
      <c r="EV205" s="288"/>
      <c r="EW205" s="288"/>
      <c r="EX205" s="288"/>
      <c r="EY205" s="288"/>
      <c r="EZ205" s="288"/>
      <c r="FA205" s="288"/>
      <c r="FB205" s="288"/>
      <c r="FC205" s="288"/>
      <c r="FD205" s="288"/>
      <c r="FE205" s="288"/>
      <c r="FF205" s="288"/>
      <c r="FG205" s="288"/>
      <c r="FH205" s="288"/>
    </row>
    <row r="206" ht="14.25" customHeight="1">
      <c r="A206" s="293"/>
      <c r="B206" s="293"/>
      <c r="C206" s="293"/>
      <c r="D206" s="293"/>
      <c r="E206" s="293"/>
      <c r="F206" s="293"/>
      <c r="G206" s="293"/>
      <c r="H206" s="293"/>
      <c r="I206" s="293"/>
      <c r="J206" s="293"/>
      <c r="K206" s="293"/>
      <c r="L206" s="293"/>
      <c r="M206" s="293"/>
      <c r="N206" s="293"/>
      <c r="O206" s="293"/>
      <c r="P206" s="293"/>
      <c r="Q206" s="293"/>
      <c r="R206" s="293"/>
      <c r="S206" s="293"/>
      <c r="T206" s="293"/>
      <c r="U206" s="293"/>
      <c r="V206" s="293"/>
      <c r="W206" s="293"/>
      <c r="X206" s="293"/>
      <c r="Y206" s="293"/>
      <c r="Z206" s="293"/>
      <c r="AA206" s="293"/>
      <c r="AB206" s="293"/>
      <c r="AC206" s="293"/>
      <c r="AD206" s="293"/>
      <c r="AE206" s="293"/>
      <c r="AF206" s="293"/>
      <c r="AG206" s="293"/>
      <c r="AH206" s="293"/>
      <c r="AI206" s="293"/>
      <c r="AJ206" s="293"/>
      <c r="AK206" s="293"/>
      <c r="AL206" s="293"/>
      <c r="AM206" s="293"/>
      <c r="AN206" s="293"/>
      <c r="AO206" s="293"/>
      <c r="AP206" s="293"/>
      <c r="AQ206" s="293"/>
      <c r="AR206" s="293"/>
      <c r="AS206" s="293"/>
      <c r="AT206" s="293"/>
      <c r="AU206" s="293"/>
      <c r="AV206" s="293"/>
      <c r="AW206" s="293"/>
      <c r="AX206" s="293"/>
      <c r="AY206" s="293"/>
      <c r="AZ206" s="293"/>
      <c r="BA206" s="293"/>
      <c r="BB206" s="293"/>
      <c r="BC206" s="293"/>
      <c r="BD206" s="293"/>
      <c r="BE206" s="293"/>
      <c r="BF206" s="293"/>
      <c r="BG206" s="293"/>
      <c r="BH206" s="293"/>
      <c r="BI206" s="293"/>
      <c r="BJ206" s="293"/>
      <c r="BK206" s="293"/>
      <c r="BL206" s="293"/>
      <c r="BM206" s="293"/>
      <c r="BN206" s="293"/>
      <c r="BO206" s="293"/>
      <c r="BP206" s="293"/>
      <c r="BQ206" s="293"/>
      <c r="BR206" s="293"/>
      <c r="BS206" s="293"/>
      <c r="BT206" s="293"/>
      <c r="BU206" s="293"/>
      <c r="BV206" s="293"/>
      <c r="BW206" s="293"/>
      <c r="BX206" s="293"/>
      <c r="BY206" s="293"/>
      <c r="BZ206" s="293"/>
      <c r="CA206" s="293"/>
      <c r="CB206" s="293"/>
      <c r="CC206" s="293"/>
      <c r="CD206" s="293"/>
      <c r="CE206" s="293"/>
      <c r="CF206" s="293"/>
      <c r="CG206" s="293"/>
      <c r="CH206" s="293"/>
      <c r="CI206" s="293"/>
      <c r="CJ206" s="293"/>
      <c r="CK206" s="293"/>
      <c r="CL206" s="293"/>
      <c r="CM206" s="293"/>
      <c r="CN206" s="293"/>
      <c r="CO206" s="293"/>
      <c r="CP206" s="293"/>
      <c r="CQ206" s="293"/>
      <c r="CR206" s="293"/>
      <c r="CS206" s="293"/>
      <c r="CT206" s="293"/>
      <c r="CU206" s="293"/>
      <c r="CV206" s="293"/>
      <c r="CW206" s="293"/>
      <c r="CX206" s="293"/>
      <c r="CY206" s="293"/>
      <c r="CZ206" s="293"/>
      <c r="DA206" s="293"/>
      <c r="DB206" s="293"/>
      <c r="DC206" s="293"/>
      <c r="DD206" s="293"/>
      <c r="DE206" s="293"/>
      <c r="DF206" s="293"/>
      <c r="DG206" s="293"/>
      <c r="DH206" s="293"/>
      <c r="DI206" s="293"/>
      <c r="DJ206" s="293"/>
      <c r="DK206" s="293"/>
      <c r="DL206" s="293"/>
      <c r="DM206" s="293"/>
      <c r="DN206" s="293"/>
      <c r="DO206" s="293"/>
      <c r="DP206" s="293"/>
      <c r="DQ206" s="293"/>
      <c r="DR206" s="293"/>
      <c r="DS206" s="288"/>
      <c r="DT206" s="288"/>
      <c r="DU206" s="288"/>
      <c r="DV206" s="288"/>
      <c r="DW206" s="288"/>
      <c r="DX206" s="288"/>
      <c r="DY206" s="288"/>
      <c r="DZ206" s="288"/>
      <c r="EA206" s="288"/>
      <c r="EB206" s="288"/>
      <c r="EC206" s="288"/>
      <c r="ED206" s="288"/>
      <c r="EE206" s="288"/>
      <c r="EF206" s="288"/>
      <c r="EG206" s="288"/>
      <c r="EH206" s="288"/>
      <c r="EI206" s="288"/>
      <c r="EJ206" s="288"/>
      <c r="EK206" s="288"/>
      <c r="EL206" s="288"/>
      <c r="EM206" s="288"/>
      <c r="EN206" s="288"/>
      <c r="EO206" s="288"/>
      <c r="EP206" s="288"/>
      <c r="EQ206" s="288"/>
      <c r="ER206" s="288"/>
      <c r="ES206" s="288"/>
      <c r="ET206" s="288"/>
      <c r="EU206" s="288"/>
      <c r="EV206" s="288"/>
      <c r="EW206" s="288"/>
      <c r="EX206" s="288"/>
      <c r="EY206" s="288"/>
      <c r="EZ206" s="288"/>
      <c r="FA206" s="288"/>
      <c r="FB206" s="288"/>
      <c r="FC206" s="288"/>
      <c r="FD206" s="288"/>
      <c r="FE206" s="288"/>
      <c r="FF206" s="288"/>
      <c r="FG206" s="288"/>
      <c r="FH206" s="288"/>
    </row>
    <row r="207" ht="14.25" customHeight="1">
      <c r="A207" s="293"/>
      <c r="B207" s="293"/>
      <c r="C207" s="293"/>
      <c r="D207" s="293"/>
      <c r="E207" s="293"/>
      <c r="F207" s="293"/>
      <c r="G207" s="293"/>
      <c r="H207" s="293"/>
      <c r="I207" s="293"/>
      <c r="J207" s="293"/>
      <c r="K207" s="293"/>
      <c r="L207" s="293"/>
      <c r="M207" s="293"/>
      <c r="N207" s="293"/>
      <c r="O207" s="293"/>
      <c r="P207" s="293"/>
      <c r="Q207" s="293"/>
      <c r="R207" s="293"/>
      <c r="S207" s="293"/>
      <c r="T207" s="293"/>
      <c r="U207" s="293"/>
      <c r="V207" s="293"/>
      <c r="W207" s="293"/>
      <c r="X207" s="293"/>
      <c r="Y207" s="293"/>
      <c r="Z207" s="293"/>
      <c r="AA207" s="293"/>
      <c r="AB207" s="293"/>
      <c r="AC207" s="293"/>
      <c r="AD207" s="293"/>
      <c r="AE207" s="293"/>
      <c r="AF207" s="293"/>
      <c r="AG207" s="293"/>
      <c r="AH207" s="293"/>
      <c r="AI207" s="293"/>
      <c r="AJ207" s="293"/>
      <c r="AK207" s="293"/>
      <c r="AL207" s="293"/>
      <c r="AM207" s="293"/>
      <c r="AN207" s="293"/>
      <c r="AO207" s="293"/>
      <c r="AP207" s="293"/>
      <c r="AQ207" s="293"/>
      <c r="AR207" s="293"/>
      <c r="AS207" s="293"/>
      <c r="AT207" s="293"/>
      <c r="AU207" s="293"/>
      <c r="AV207" s="293"/>
      <c r="AW207" s="293"/>
      <c r="AX207" s="293"/>
      <c r="AY207" s="293"/>
      <c r="AZ207" s="293"/>
      <c r="BA207" s="293"/>
      <c r="BB207" s="293"/>
      <c r="BC207" s="293"/>
      <c r="BD207" s="293"/>
      <c r="BE207" s="293"/>
      <c r="BF207" s="293"/>
      <c r="BG207" s="293"/>
      <c r="BH207" s="293"/>
      <c r="BI207" s="293"/>
      <c r="BJ207" s="293"/>
      <c r="BK207" s="293"/>
      <c r="BL207" s="293"/>
      <c r="BM207" s="293"/>
      <c r="BN207" s="293"/>
      <c r="BO207" s="293"/>
      <c r="BP207" s="293"/>
      <c r="BQ207" s="293"/>
      <c r="BR207" s="293"/>
      <c r="BS207" s="293"/>
      <c r="BT207" s="293"/>
      <c r="BU207" s="293"/>
      <c r="BV207" s="293"/>
      <c r="BW207" s="293"/>
      <c r="BX207" s="293"/>
      <c r="BY207" s="293"/>
      <c r="BZ207" s="293"/>
      <c r="CA207" s="293"/>
      <c r="CB207" s="293"/>
      <c r="CC207" s="293"/>
      <c r="CD207" s="293"/>
      <c r="CE207" s="293"/>
      <c r="CF207" s="293"/>
      <c r="CG207" s="293"/>
      <c r="CH207" s="293"/>
      <c r="CI207" s="293"/>
      <c r="CJ207" s="293"/>
      <c r="CK207" s="293"/>
      <c r="CL207" s="293"/>
      <c r="CM207" s="293"/>
      <c r="CN207" s="293"/>
      <c r="CO207" s="293"/>
      <c r="CP207" s="293"/>
      <c r="CQ207" s="293"/>
      <c r="CR207" s="293"/>
      <c r="CS207" s="293"/>
      <c r="CT207" s="293"/>
      <c r="CU207" s="293"/>
      <c r="CV207" s="293"/>
      <c r="CW207" s="293"/>
      <c r="CX207" s="293"/>
      <c r="CY207" s="293"/>
      <c r="CZ207" s="293"/>
      <c r="DA207" s="293"/>
      <c r="DB207" s="293"/>
      <c r="DC207" s="293"/>
      <c r="DD207" s="293"/>
      <c r="DE207" s="293"/>
      <c r="DF207" s="293"/>
      <c r="DG207" s="293"/>
      <c r="DH207" s="293"/>
      <c r="DI207" s="293"/>
      <c r="DJ207" s="293"/>
      <c r="DK207" s="293"/>
      <c r="DL207" s="293"/>
      <c r="DM207" s="293"/>
      <c r="DN207" s="293"/>
      <c r="DO207" s="293"/>
      <c r="DP207" s="293"/>
      <c r="DQ207" s="293"/>
      <c r="DR207" s="293"/>
      <c r="DS207" s="288"/>
      <c r="DT207" s="288"/>
      <c r="DU207" s="288"/>
      <c r="DV207" s="288"/>
      <c r="DW207" s="288"/>
      <c r="DX207" s="288"/>
      <c r="DY207" s="288"/>
      <c r="DZ207" s="288"/>
      <c r="EA207" s="288"/>
      <c r="EB207" s="288"/>
      <c r="EC207" s="288"/>
      <c r="ED207" s="288"/>
      <c r="EE207" s="288"/>
      <c r="EF207" s="288"/>
      <c r="EG207" s="288"/>
      <c r="EH207" s="288"/>
      <c r="EI207" s="288"/>
      <c r="EJ207" s="288"/>
      <c r="EK207" s="288"/>
      <c r="EL207" s="288"/>
      <c r="EM207" s="288"/>
      <c r="EN207" s="288"/>
      <c r="EO207" s="288"/>
      <c r="EP207" s="288"/>
      <c r="EQ207" s="288"/>
      <c r="ER207" s="288"/>
      <c r="ES207" s="288"/>
      <c r="ET207" s="288"/>
      <c r="EU207" s="288"/>
      <c r="EV207" s="288"/>
      <c r="EW207" s="288"/>
      <c r="EX207" s="288"/>
      <c r="EY207" s="288"/>
      <c r="EZ207" s="288"/>
      <c r="FA207" s="288"/>
      <c r="FB207" s="288"/>
      <c r="FC207" s="288"/>
      <c r="FD207" s="288"/>
      <c r="FE207" s="288"/>
      <c r="FF207" s="288"/>
      <c r="FG207" s="288"/>
      <c r="FH207" s="288"/>
    </row>
    <row r="208" ht="14.25" customHeight="1">
      <c r="A208" s="293"/>
      <c r="B208" s="293"/>
      <c r="C208" s="293"/>
      <c r="D208" s="293"/>
      <c r="E208" s="293"/>
      <c r="F208" s="293"/>
      <c r="G208" s="293"/>
      <c r="H208" s="293"/>
      <c r="I208" s="293"/>
      <c r="J208" s="293"/>
      <c r="K208" s="293"/>
      <c r="L208" s="293"/>
      <c r="M208" s="293"/>
      <c r="N208" s="293"/>
      <c r="O208" s="293"/>
      <c r="P208" s="293"/>
      <c r="Q208" s="293"/>
      <c r="R208" s="293"/>
      <c r="S208" s="293"/>
      <c r="T208" s="293"/>
      <c r="U208" s="293"/>
      <c r="V208" s="293"/>
      <c r="W208" s="293"/>
      <c r="X208" s="293"/>
      <c r="Y208" s="293"/>
      <c r="Z208" s="293"/>
      <c r="AA208" s="293"/>
      <c r="AB208" s="293"/>
      <c r="AC208" s="293"/>
      <c r="AD208" s="293"/>
      <c r="AE208" s="293"/>
      <c r="AF208" s="293"/>
      <c r="AG208" s="293"/>
      <c r="AH208" s="293"/>
      <c r="AI208" s="293"/>
      <c r="AJ208" s="293"/>
      <c r="AK208" s="293"/>
      <c r="AL208" s="293"/>
      <c r="AM208" s="293"/>
      <c r="AN208" s="293"/>
      <c r="AO208" s="293"/>
      <c r="AP208" s="293"/>
      <c r="AQ208" s="293"/>
      <c r="AR208" s="293"/>
      <c r="AS208" s="293"/>
      <c r="AT208" s="293"/>
      <c r="AU208" s="293"/>
      <c r="AV208" s="293"/>
      <c r="AW208" s="293"/>
      <c r="AX208" s="293"/>
      <c r="AY208" s="293"/>
      <c r="AZ208" s="293"/>
      <c r="BA208" s="293"/>
      <c r="BB208" s="293"/>
      <c r="BC208" s="293"/>
      <c r="BD208" s="293"/>
      <c r="BE208" s="293"/>
      <c r="BF208" s="293"/>
      <c r="BG208" s="293"/>
      <c r="BH208" s="293"/>
      <c r="BI208" s="293"/>
      <c r="BJ208" s="293"/>
      <c r="BK208" s="293"/>
      <c r="BL208" s="293"/>
      <c r="BM208" s="293"/>
      <c r="BN208" s="293"/>
      <c r="BO208" s="293"/>
      <c r="BP208" s="293"/>
      <c r="BQ208" s="293"/>
      <c r="BR208" s="293"/>
      <c r="BS208" s="293"/>
      <c r="BT208" s="293"/>
      <c r="BU208" s="293"/>
      <c r="BV208" s="293"/>
      <c r="BW208" s="293"/>
      <c r="BX208" s="293"/>
      <c r="BY208" s="293"/>
      <c r="BZ208" s="293"/>
      <c r="CA208" s="293"/>
      <c r="CB208" s="293"/>
      <c r="CC208" s="293"/>
      <c r="CD208" s="293"/>
      <c r="CE208" s="293"/>
      <c r="CF208" s="293"/>
      <c r="CG208" s="293"/>
      <c r="CH208" s="293"/>
      <c r="CI208" s="293"/>
      <c r="CJ208" s="293"/>
      <c r="CK208" s="293"/>
      <c r="CL208" s="293"/>
      <c r="CM208" s="293"/>
      <c r="CN208" s="293"/>
      <c r="CO208" s="293"/>
      <c r="CP208" s="293"/>
      <c r="CQ208" s="293"/>
      <c r="CR208" s="293"/>
      <c r="CS208" s="293"/>
      <c r="CT208" s="293"/>
      <c r="CU208" s="293"/>
      <c r="CV208" s="293"/>
      <c r="CW208" s="293"/>
      <c r="CX208" s="293"/>
      <c r="CY208" s="293"/>
      <c r="CZ208" s="293"/>
      <c r="DA208" s="293"/>
      <c r="DB208" s="293"/>
      <c r="DC208" s="293"/>
      <c r="DD208" s="293"/>
      <c r="DE208" s="293"/>
      <c r="DF208" s="293"/>
      <c r="DG208" s="293"/>
      <c r="DH208" s="293"/>
      <c r="DI208" s="293"/>
      <c r="DJ208" s="293"/>
      <c r="DK208" s="293"/>
      <c r="DL208" s="293"/>
      <c r="DM208" s="293"/>
      <c r="DN208" s="293"/>
      <c r="DO208" s="293"/>
      <c r="DP208" s="293"/>
      <c r="DQ208" s="293"/>
      <c r="DR208" s="293"/>
      <c r="DS208" s="288"/>
      <c r="DT208" s="288"/>
      <c r="DU208" s="288"/>
      <c r="DV208" s="288"/>
      <c r="DW208" s="288"/>
      <c r="DX208" s="288"/>
      <c r="DY208" s="288"/>
      <c r="DZ208" s="288"/>
      <c r="EA208" s="288"/>
      <c r="EB208" s="288"/>
      <c r="EC208" s="288"/>
      <c r="ED208" s="288"/>
      <c r="EE208" s="288"/>
      <c r="EF208" s="288"/>
      <c r="EG208" s="288"/>
      <c r="EH208" s="288"/>
      <c r="EI208" s="288"/>
      <c r="EJ208" s="288"/>
      <c r="EK208" s="288"/>
      <c r="EL208" s="288"/>
      <c r="EM208" s="288"/>
      <c r="EN208" s="288"/>
      <c r="EO208" s="288"/>
      <c r="EP208" s="288"/>
      <c r="EQ208" s="288"/>
      <c r="ER208" s="288"/>
      <c r="ES208" s="288"/>
      <c r="ET208" s="288"/>
      <c r="EU208" s="288"/>
      <c r="EV208" s="288"/>
      <c r="EW208" s="288"/>
      <c r="EX208" s="288"/>
      <c r="EY208" s="288"/>
      <c r="EZ208" s="288"/>
      <c r="FA208" s="288"/>
      <c r="FB208" s="288"/>
      <c r="FC208" s="288"/>
      <c r="FD208" s="288"/>
      <c r="FE208" s="288"/>
      <c r="FF208" s="288"/>
      <c r="FG208" s="288"/>
      <c r="FH208" s="288"/>
    </row>
    <row r="209" ht="14.25" customHeight="1">
      <c r="A209" s="293"/>
      <c r="B209" s="293"/>
      <c r="C209" s="293"/>
      <c r="D209" s="293"/>
      <c r="E209" s="293"/>
      <c r="F209" s="293"/>
      <c r="G209" s="293"/>
      <c r="H209" s="293"/>
      <c r="I209" s="293"/>
      <c r="J209" s="293"/>
      <c r="K209" s="293"/>
      <c r="L209" s="293"/>
      <c r="M209" s="293"/>
      <c r="N209" s="293"/>
      <c r="O209" s="293"/>
      <c r="P209" s="293"/>
      <c r="Q209" s="293"/>
      <c r="R209" s="293"/>
      <c r="S209" s="293"/>
      <c r="T209" s="293"/>
      <c r="U209" s="293"/>
      <c r="V209" s="293"/>
      <c r="W209" s="293"/>
      <c r="X209" s="293"/>
      <c r="Y209" s="293"/>
      <c r="Z209" s="293"/>
      <c r="AA209" s="293"/>
      <c r="AB209" s="293"/>
      <c r="AC209" s="293"/>
      <c r="AD209" s="293"/>
      <c r="AE209" s="293"/>
      <c r="AF209" s="293"/>
      <c r="AG209" s="293"/>
      <c r="AH209" s="293"/>
      <c r="AI209" s="293"/>
      <c r="AJ209" s="293"/>
      <c r="AK209" s="293"/>
      <c r="AL209" s="293"/>
      <c r="AM209" s="293"/>
      <c r="AN209" s="293"/>
      <c r="AO209" s="293"/>
      <c r="AP209" s="293"/>
      <c r="AQ209" s="293"/>
      <c r="AR209" s="293"/>
      <c r="AS209" s="293"/>
      <c r="AT209" s="293"/>
      <c r="AU209" s="293"/>
      <c r="AV209" s="293"/>
      <c r="AW209" s="293"/>
      <c r="AX209" s="293"/>
      <c r="AY209" s="293"/>
      <c r="AZ209" s="293"/>
      <c r="BA209" s="293"/>
      <c r="BB209" s="293"/>
      <c r="BC209" s="293"/>
      <c r="BD209" s="293"/>
      <c r="BE209" s="293"/>
      <c r="BF209" s="293"/>
      <c r="BG209" s="293"/>
      <c r="BH209" s="293"/>
      <c r="BI209" s="293"/>
      <c r="BJ209" s="293"/>
      <c r="BK209" s="293"/>
      <c r="BL209" s="293"/>
      <c r="BM209" s="293"/>
      <c r="BN209" s="293"/>
      <c r="BO209" s="293"/>
      <c r="BP209" s="293"/>
      <c r="BQ209" s="293"/>
      <c r="BR209" s="293"/>
      <c r="BS209" s="293"/>
      <c r="BT209" s="293"/>
      <c r="BU209" s="293"/>
      <c r="BV209" s="293"/>
      <c r="BW209" s="293"/>
      <c r="BX209" s="293"/>
      <c r="BY209" s="293"/>
      <c r="BZ209" s="293"/>
      <c r="CA209" s="293"/>
      <c r="CB209" s="293"/>
      <c r="CC209" s="293"/>
      <c r="CD209" s="293"/>
      <c r="CE209" s="293"/>
      <c r="CF209" s="293"/>
      <c r="CG209" s="293"/>
      <c r="CH209" s="293"/>
      <c r="CI209" s="293"/>
      <c r="CJ209" s="293"/>
      <c r="CK209" s="293"/>
      <c r="CL209" s="293"/>
      <c r="CM209" s="293"/>
      <c r="CN209" s="293"/>
      <c r="CO209" s="293"/>
      <c r="CP209" s="293"/>
      <c r="CQ209" s="293"/>
      <c r="CR209" s="293"/>
      <c r="CS209" s="293"/>
      <c r="CT209" s="293"/>
      <c r="CU209" s="293"/>
      <c r="CV209" s="293"/>
      <c r="CW209" s="293"/>
      <c r="CX209" s="293"/>
      <c r="CY209" s="293"/>
      <c r="CZ209" s="293"/>
      <c r="DA209" s="293"/>
      <c r="DB209" s="293"/>
      <c r="DC209" s="293"/>
      <c r="DD209" s="293"/>
      <c r="DE209" s="293"/>
      <c r="DF209" s="293"/>
      <c r="DG209" s="293"/>
      <c r="DH209" s="293"/>
      <c r="DI209" s="293"/>
      <c r="DJ209" s="293"/>
      <c r="DK209" s="293"/>
      <c r="DL209" s="293"/>
      <c r="DM209" s="293"/>
      <c r="DN209" s="293"/>
      <c r="DO209" s="293"/>
      <c r="DP209" s="293"/>
      <c r="DQ209" s="293"/>
      <c r="DR209" s="293"/>
      <c r="DS209" s="288"/>
      <c r="DT209" s="288"/>
      <c r="DU209" s="288"/>
      <c r="DV209" s="288"/>
      <c r="DW209" s="288"/>
      <c r="DX209" s="288"/>
      <c r="DY209" s="288"/>
      <c r="DZ209" s="288"/>
      <c r="EA209" s="288"/>
      <c r="EB209" s="288"/>
      <c r="EC209" s="288"/>
      <c r="ED209" s="288"/>
      <c r="EE209" s="288"/>
      <c r="EF209" s="288"/>
      <c r="EG209" s="288"/>
      <c r="EH209" s="288"/>
      <c r="EI209" s="288"/>
      <c r="EJ209" s="288"/>
      <c r="EK209" s="288"/>
      <c r="EL209" s="288"/>
      <c r="EM209" s="288"/>
      <c r="EN209" s="288"/>
      <c r="EO209" s="288"/>
      <c r="EP209" s="288"/>
      <c r="EQ209" s="288"/>
      <c r="ER209" s="288"/>
      <c r="ES209" s="288"/>
      <c r="ET209" s="288"/>
      <c r="EU209" s="288"/>
      <c r="EV209" s="288"/>
      <c r="EW209" s="288"/>
      <c r="EX209" s="288"/>
      <c r="EY209" s="288"/>
      <c r="EZ209" s="288"/>
      <c r="FA209" s="288"/>
      <c r="FB209" s="288"/>
      <c r="FC209" s="288"/>
      <c r="FD209" s="288"/>
      <c r="FE209" s="288"/>
      <c r="FF209" s="288"/>
      <c r="FG209" s="288"/>
      <c r="FH209" s="288"/>
    </row>
    <row r="210" ht="14.25" customHeight="1">
      <c r="A210" s="293"/>
      <c r="B210" s="293"/>
      <c r="C210" s="293"/>
      <c r="D210" s="293"/>
      <c r="E210" s="293"/>
      <c r="F210" s="293"/>
      <c r="G210" s="293"/>
      <c r="H210" s="293"/>
      <c r="I210" s="293"/>
      <c r="J210" s="293"/>
      <c r="K210" s="293"/>
      <c r="L210" s="293"/>
      <c r="M210" s="293"/>
      <c r="N210" s="293"/>
      <c r="O210" s="293"/>
      <c r="P210" s="293"/>
      <c r="Q210" s="293"/>
      <c r="R210" s="293"/>
      <c r="S210" s="293"/>
      <c r="T210" s="293"/>
      <c r="U210" s="293"/>
      <c r="V210" s="293"/>
      <c r="W210" s="293"/>
      <c r="X210" s="293"/>
      <c r="Y210" s="293"/>
      <c r="Z210" s="293"/>
      <c r="AA210" s="293"/>
      <c r="AB210" s="293"/>
      <c r="AC210" s="293"/>
      <c r="AD210" s="293"/>
      <c r="AE210" s="293"/>
      <c r="AF210" s="293"/>
      <c r="AG210" s="293"/>
      <c r="AH210" s="293"/>
      <c r="AI210" s="293"/>
      <c r="AJ210" s="293"/>
      <c r="AK210" s="293"/>
      <c r="AL210" s="293"/>
      <c r="AM210" s="293"/>
      <c r="AN210" s="293"/>
      <c r="AO210" s="293"/>
      <c r="AP210" s="293"/>
      <c r="AQ210" s="293"/>
      <c r="AR210" s="293"/>
      <c r="AS210" s="293"/>
      <c r="AT210" s="293"/>
      <c r="AU210" s="293"/>
      <c r="AV210" s="293"/>
      <c r="AW210" s="293"/>
      <c r="AX210" s="293"/>
      <c r="AY210" s="293"/>
      <c r="AZ210" s="293"/>
      <c r="BA210" s="293"/>
      <c r="BB210" s="293"/>
      <c r="BC210" s="293"/>
      <c r="BD210" s="293"/>
      <c r="BE210" s="293"/>
      <c r="BF210" s="293"/>
      <c r="BG210" s="293"/>
      <c r="BH210" s="293"/>
      <c r="BI210" s="293"/>
      <c r="BJ210" s="293"/>
      <c r="BK210" s="293"/>
      <c r="BL210" s="293"/>
      <c r="BM210" s="293"/>
      <c r="BN210" s="293"/>
      <c r="BO210" s="293"/>
      <c r="BP210" s="293"/>
      <c r="BQ210" s="293"/>
      <c r="BR210" s="293"/>
      <c r="BS210" s="293"/>
      <c r="BT210" s="293"/>
      <c r="BU210" s="293"/>
      <c r="BV210" s="293"/>
      <c r="BW210" s="293"/>
      <c r="BX210" s="293"/>
      <c r="BY210" s="293"/>
      <c r="BZ210" s="293"/>
      <c r="CA210" s="293"/>
      <c r="CB210" s="293"/>
      <c r="CC210" s="293"/>
      <c r="CD210" s="293"/>
      <c r="CE210" s="293"/>
      <c r="CF210" s="293"/>
      <c r="CG210" s="293"/>
      <c r="CH210" s="293"/>
      <c r="CI210" s="293"/>
      <c r="CJ210" s="293"/>
      <c r="CK210" s="293"/>
      <c r="CL210" s="293"/>
      <c r="CM210" s="293"/>
      <c r="CN210" s="293"/>
      <c r="CO210" s="293"/>
      <c r="CP210" s="293"/>
      <c r="CQ210" s="293"/>
      <c r="CR210" s="293"/>
      <c r="CS210" s="293"/>
      <c r="CT210" s="293"/>
      <c r="CU210" s="293"/>
      <c r="CV210" s="293"/>
      <c r="CW210" s="293"/>
      <c r="CX210" s="293"/>
      <c r="CY210" s="293"/>
      <c r="CZ210" s="293"/>
      <c r="DA210" s="293"/>
      <c r="DB210" s="293"/>
      <c r="DC210" s="293"/>
      <c r="DD210" s="293"/>
      <c r="DE210" s="293"/>
      <c r="DF210" s="293"/>
      <c r="DG210" s="293"/>
      <c r="DH210" s="293"/>
      <c r="DI210" s="293"/>
      <c r="DJ210" s="293"/>
      <c r="DK210" s="293"/>
      <c r="DL210" s="293"/>
      <c r="DM210" s="293"/>
      <c r="DN210" s="293"/>
      <c r="DO210" s="293"/>
      <c r="DP210" s="293"/>
      <c r="DQ210" s="293"/>
      <c r="DR210" s="293"/>
      <c r="DS210" s="288"/>
      <c r="DT210" s="288"/>
      <c r="DU210" s="288"/>
      <c r="DV210" s="288"/>
      <c r="DW210" s="288"/>
      <c r="DX210" s="288"/>
      <c r="DY210" s="288"/>
      <c r="DZ210" s="288"/>
      <c r="EA210" s="288"/>
      <c r="EB210" s="288"/>
      <c r="EC210" s="288"/>
      <c r="ED210" s="288"/>
      <c r="EE210" s="288"/>
      <c r="EF210" s="288"/>
      <c r="EG210" s="288"/>
      <c r="EH210" s="288"/>
      <c r="EI210" s="288"/>
      <c r="EJ210" s="288"/>
      <c r="EK210" s="288"/>
      <c r="EL210" s="288"/>
      <c r="EM210" s="288"/>
      <c r="EN210" s="288"/>
      <c r="EO210" s="288"/>
      <c r="EP210" s="288"/>
      <c r="EQ210" s="288"/>
      <c r="ER210" s="288"/>
      <c r="ES210" s="288"/>
      <c r="ET210" s="288"/>
      <c r="EU210" s="288"/>
      <c r="EV210" s="288"/>
      <c r="EW210" s="288"/>
      <c r="EX210" s="288"/>
      <c r="EY210" s="288"/>
      <c r="EZ210" s="288"/>
      <c r="FA210" s="288"/>
      <c r="FB210" s="288"/>
      <c r="FC210" s="288"/>
      <c r="FD210" s="288"/>
      <c r="FE210" s="288"/>
      <c r="FF210" s="288"/>
      <c r="FG210" s="288"/>
      <c r="FH210" s="288"/>
    </row>
    <row r="211" ht="14.25" customHeight="1">
      <c r="A211" s="293"/>
      <c r="B211" s="293"/>
      <c r="C211" s="293"/>
      <c r="D211" s="293"/>
      <c r="E211" s="293"/>
      <c r="F211" s="293"/>
      <c r="G211" s="293"/>
      <c r="H211" s="293"/>
      <c r="I211" s="293"/>
      <c r="J211" s="293"/>
      <c r="K211" s="293"/>
      <c r="L211" s="293"/>
      <c r="M211" s="293"/>
      <c r="N211" s="293"/>
      <c r="O211" s="293"/>
      <c r="P211" s="293"/>
      <c r="Q211" s="293"/>
      <c r="R211" s="293"/>
      <c r="S211" s="293"/>
      <c r="T211" s="293"/>
      <c r="U211" s="293"/>
      <c r="V211" s="293"/>
      <c r="W211" s="293"/>
      <c r="X211" s="293"/>
      <c r="Y211" s="293"/>
      <c r="Z211" s="293"/>
      <c r="AA211" s="293"/>
      <c r="AB211" s="293"/>
      <c r="AC211" s="293"/>
      <c r="AD211" s="293"/>
      <c r="AE211" s="293"/>
      <c r="AF211" s="293"/>
      <c r="AG211" s="293"/>
      <c r="AH211" s="293"/>
      <c r="AI211" s="293"/>
      <c r="AJ211" s="293"/>
      <c r="AK211" s="293"/>
      <c r="AL211" s="293"/>
      <c r="AM211" s="293"/>
      <c r="AN211" s="293"/>
      <c r="AO211" s="293"/>
      <c r="AP211" s="293"/>
      <c r="AQ211" s="293"/>
      <c r="AR211" s="293"/>
      <c r="AS211" s="293"/>
      <c r="AT211" s="293"/>
      <c r="AU211" s="293"/>
      <c r="AV211" s="293"/>
      <c r="AW211" s="293"/>
      <c r="AX211" s="293"/>
      <c r="AY211" s="293"/>
      <c r="AZ211" s="293"/>
      <c r="BA211" s="293"/>
      <c r="BB211" s="293"/>
      <c r="BC211" s="293"/>
      <c r="BD211" s="293"/>
      <c r="BE211" s="293"/>
      <c r="BF211" s="293"/>
      <c r="BG211" s="293"/>
      <c r="BH211" s="293"/>
      <c r="BI211" s="293"/>
      <c r="BJ211" s="293"/>
      <c r="BK211" s="293"/>
      <c r="BL211" s="293"/>
      <c r="BM211" s="293"/>
      <c r="BN211" s="293"/>
      <c r="BO211" s="293"/>
      <c r="BP211" s="293"/>
      <c r="BQ211" s="293"/>
      <c r="BR211" s="293"/>
      <c r="BS211" s="293"/>
      <c r="BT211" s="293"/>
      <c r="BU211" s="293"/>
      <c r="BV211" s="293"/>
      <c r="BW211" s="293"/>
      <c r="BX211" s="293"/>
      <c r="BY211" s="293"/>
      <c r="BZ211" s="293"/>
      <c r="CA211" s="293"/>
      <c r="CB211" s="293"/>
      <c r="CC211" s="293"/>
      <c r="CD211" s="293"/>
      <c r="CE211" s="293"/>
      <c r="CF211" s="293"/>
      <c r="CG211" s="293"/>
      <c r="CH211" s="293"/>
      <c r="CI211" s="293"/>
      <c r="CJ211" s="293"/>
      <c r="CK211" s="293"/>
      <c r="CL211" s="293"/>
      <c r="CM211" s="293"/>
      <c r="CN211" s="293"/>
      <c r="CO211" s="293"/>
      <c r="CP211" s="293"/>
      <c r="CQ211" s="293"/>
      <c r="CR211" s="293"/>
      <c r="CS211" s="293"/>
      <c r="CT211" s="293"/>
      <c r="CU211" s="293"/>
      <c r="CV211" s="293"/>
      <c r="CW211" s="293"/>
      <c r="CX211" s="293"/>
      <c r="CY211" s="293"/>
      <c r="CZ211" s="293"/>
      <c r="DA211" s="293"/>
      <c r="DB211" s="293"/>
      <c r="DC211" s="293"/>
      <c r="DD211" s="293"/>
      <c r="DE211" s="293"/>
      <c r="DF211" s="293"/>
      <c r="DG211" s="293"/>
      <c r="DH211" s="293"/>
      <c r="DI211" s="293"/>
      <c r="DJ211" s="293"/>
      <c r="DK211" s="293"/>
      <c r="DL211" s="293"/>
      <c r="DM211" s="293"/>
      <c r="DN211" s="293"/>
      <c r="DO211" s="293"/>
      <c r="DP211" s="293"/>
      <c r="DQ211" s="293"/>
      <c r="DR211" s="293"/>
      <c r="DS211" s="288"/>
      <c r="DT211" s="288"/>
      <c r="DU211" s="288"/>
      <c r="DV211" s="288"/>
      <c r="DW211" s="288"/>
      <c r="DX211" s="288"/>
      <c r="DY211" s="288"/>
      <c r="DZ211" s="288"/>
      <c r="EA211" s="288"/>
      <c r="EB211" s="288"/>
      <c r="EC211" s="288"/>
      <c r="ED211" s="288"/>
      <c r="EE211" s="288"/>
      <c r="EF211" s="288"/>
      <c r="EG211" s="288"/>
      <c r="EH211" s="288"/>
      <c r="EI211" s="288"/>
      <c r="EJ211" s="288"/>
      <c r="EK211" s="288"/>
      <c r="EL211" s="288"/>
      <c r="EM211" s="288"/>
      <c r="EN211" s="288"/>
      <c r="EO211" s="288"/>
      <c r="EP211" s="288"/>
      <c r="EQ211" s="288"/>
      <c r="ER211" s="288"/>
      <c r="ES211" s="288"/>
      <c r="ET211" s="288"/>
      <c r="EU211" s="288"/>
      <c r="EV211" s="288"/>
      <c r="EW211" s="288"/>
      <c r="EX211" s="288"/>
      <c r="EY211" s="288"/>
      <c r="EZ211" s="288"/>
      <c r="FA211" s="288"/>
      <c r="FB211" s="288"/>
      <c r="FC211" s="288"/>
      <c r="FD211" s="288"/>
      <c r="FE211" s="288"/>
      <c r="FF211" s="288"/>
      <c r="FG211" s="288"/>
      <c r="FH211" s="288"/>
    </row>
    <row r="212" ht="14.25" customHeight="1">
      <c r="A212" s="293"/>
      <c r="B212" s="293"/>
      <c r="C212" s="293"/>
      <c r="D212" s="293"/>
      <c r="E212" s="293"/>
      <c r="F212" s="293"/>
      <c r="G212" s="293"/>
      <c r="H212" s="293"/>
      <c r="I212" s="293"/>
      <c r="J212" s="293"/>
      <c r="K212" s="293"/>
      <c r="L212" s="293"/>
      <c r="M212" s="293"/>
      <c r="N212" s="293"/>
      <c r="O212" s="293"/>
      <c r="P212" s="293"/>
      <c r="Q212" s="293"/>
      <c r="R212" s="293"/>
      <c r="S212" s="293"/>
      <c r="T212" s="293"/>
      <c r="U212" s="293"/>
      <c r="V212" s="293"/>
      <c r="W212" s="293"/>
      <c r="X212" s="293"/>
      <c r="Y212" s="293"/>
      <c r="Z212" s="293"/>
      <c r="AA212" s="293"/>
      <c r="AB212" s="293"/>
      <c r="AC212" s="293"/>
      <c r="AD212" s="293"/>
      <c r="AE212" s="293"/>
      <c r="AF212" s="293"/>
      <c r="AG212" s="293"/>
      <c r="AH212" s="293"/>
      <c r="AI212" s="293"/>
      <c r="AJ212" s="293"/>
      <c r="AK212" s="293"/>
      <c r="AL212" s="293"/>
      <c r="AM212" s="293"/>
      <c r="AN212" s="293"/>
      <c r="AO212" s="293"/>
      <c r="AP212" s="293"/>
      <c r="AQ212" s="293"/>
      <c r="AR212" s="293"/>
      <c r="AS212" s="293"/>
      <c r="AT212" s="293"/>
      <c r="AU212" s="293"/>
      <c r="AV212" s="293"/>
      <c r="AW212" s="293"/>
      <c r="AX212" s="293"/>
      <c r="AY212" s="293"/>
      <c r="AZ212" s="293"/>
      <c r="BA212" s="293"/>
      <c r="BB212" s="293"/>
      <c r="BC212" s="293"/>
      <c r="BD212" s="293"/>
      <c r="BE212" s="293"/>
      <c r="BF212" s="293"/>
      <c r="BG212" s="293"/>
      <c r="BH212" s="293"/>
      <c r="BI212" s="293"/>
      <c r="BJ212" s="293"/>
      <c r="BK212" s="293"/>
      <c r="BL212" s="293"/>
      <c r="BM212" s="293"/>
      <c r="BN212" s="293"/>
      <c r="BO212" s="293"/>
      <c r="BP212" s="293"/>
      <c r="BQ212" s="293"/>
      <c r="BR212" s="293"/>
      <c r="BS212" s="293"/>
      <c r="BT212" s="293"/>
      <c r="BU212" s="293"/>
      <c r="BV212" s="293"/>
      <c r="BW212" s="293"/>
      <c r="BX212" s="293"/>
      <c r="BY212" s="293"/>
      <c r="BZ212" s="293"/>
      <c r="CA212" s="293"/>
      <c r="CB212" s="293"/>
      <c r="CC212" s="293"/>
      <c r="CD212" s="293"/>
      <c r="CE212" s="293"/>
      <c r="CF212" s="293"/>
      <c r="CG212" s="293"/>
      <c r="CH212" s="293"/>
      <c r="CI212" s="293"/>
      <c r="CJ212" s="293"/>
      <c r="CK212" s="293"/>
      <c r="CL212" s="293"/>
      <c r="CM212" s="293"/>
      <c r="CN212" s="293"/>
      <c r="CO212" s="293"/>
      <c r="CP212" s="293"/>
      <c r="CQ212" s="293"/>
      <c r="CR212" s="293"/>
      <c r="CS212" s="293"/>
      <c r="CT212" s="293"/>
      <c r="CU212" s="293"/>
      <c r="CV212" s="293"/>
      <c r="CW212" s="293"/>
      <c r="CX212" s="293"/>
      <c r="CY212" s="293"/>
      <c r="CZ212" s="293"/>
      <c r="DA212" s="293"/>
      <c r="DB212" s="293"/>
      <c r="DC212" s="293"/>
      <c r="DD212" s="293"/>
      <c r="DE212" s="293"/>
      <c r="DF212" s="293"/>
      <c r="DG212" s="293"/>
      <c r="DH212" s="293"/>
      <c r="DI212" s="293"/>
      <c r="DJ212" s="293"/>
      <c r="DK212" s="293"/>
      <c r="DL212" s="293"/>
      <c r="DM212" s="293"/>
      <c r="DN212" s="293"/>
      <c r="DO212" s="293"/>
      <c r="DP212" s="293"/>
      <c r="DQ212" s="293"/>
      <c r="DR212" s="293"/>
      <c r="DS212" s="288"/>
      <c r="DT212" s="288"/>
      <c r="DU212" s="288"/>
      <c r="DV212" s="288"/>
      <c r="DW212" s="288"/>
      <c r="DX212" s="288"/>
      <c r="DY212" s="288"/>
      <c r="DZ212" s="288"/>
      <c r="EA212" s="288"/>
      <c r="EB212" s="288"/>
      <c r="EC212" s="288"/>
      <c r="ED212" s="288"/>
      <c r="EE212" s="288"/>
      <c r="EF212" s="288"/>
      <c r="EG212" s="288"/>
      <c r="EH212" s="288"/>
      <c r="EI212" s="288"/>
      <c r="EJ212" s="288"/>
      <c r="EK212" s="288"/>
      <c r="EL212" s="288"/>
      <c r="EM212" s="288"/>
      <c r="EN212" s="288"/>
      <c r="EO212" s="288"/>
      <c r="EP212" s="288"/>
      <c r="EQ212" s="288"/>
      <c r="ER212" s="288"/>
      <c r="ES212" s="288"/>
      <c r="ET212" s="288"/>
      <c r="EU212" s="288"/>
      <c r="EV212" s="288"/>
      <c r="EW212" s="288"/>
      <c r="EX212" s="288"/>
      <c r="EY212" s="288"/>
      <c r="EZ212" s="288"/>
      <c r="FA212" s="288"/>
      <c r="FB212" s="288"/>
      <c r="FC212" s="288"/>
      <c r="FD212" s="288"/>
      <c r="FE212" s="288"/>
      <c r="FF212" s="288"/>
      <c r="FG212" s="288"/>
      <c r="FH212" s="288"/>
    </row>
    <row r="213" ht="14.25" customHeight="1">
      <c r="A213" s="293"/>
      <c r="B213" s="293"/>
      <c r="C213" s="293"/>
      <c r="D213" s="293"/>
      <c r="E213" s="293"/>
      <c r="F213" s="293"/>
      <c r="G213" s="293"/>
      <c r="H213" s="293"/>
      <c r="I213" s="293"/>
      <c r="J213" s="293"/>
      <c r="K213" s="293"/>
      <c r="L213" s="293"/>
      <c r="M213" s="293"/>
      <c r="N213" s="293"/>
      <c r="O213" s="293"/>
      <c r="P213" s="293"/>
      <c r="Q213" s="293"/>
      <c r="R213" s="293"/>
      <c r="S213" s="293"/>
      <c r="T213" s="293"/>
      <c r="U213" s="293"/>
      <c r="V213" s="293"/>
      <c r="W213" s="293"/>
      <c r="X213" s="293"/>
      <c r="Y213" s="293"/>
      <c r="Z213" s="293"/>
      <c r="AA213" s="293"/>
      <c r="AB213" s="293"/>
      <c r="AC213" s="293"/>
      <c r="AD213" s="293"/>
      <c r="AE213" s="293"/>
      <c r="AF213" s="293"/>
      <c r="AG213" s="293"/>
      <c r="AH213" s="293"/>
      <c r="AI213" s="293"/>
      <c r="AJ213" s="293"/>
      <c r="AK213" s="293"/>
      <c r="AL213" s="293"/>
      <c r="AM213" s="293"/>
      <c r="AN213" s="293"/>
      <c r="AO213" s="293"/>
      <c r="AP213" s="293"/>
      <c r="AQ213" s="293"/>
      <c r="AR213" s="293"/>
      <c r="AS213" s="293"/>
      <c r="AT213" s="293"/>
      <c r="AU213" s="293"/>
      <c r="AV213" s="293"/>
      <c r="AW213" s="293"/>
      <c r="AX213" s="293"/>
      <c r="AY213" s="293"/>
      <c r="AZ213" s="293"/>
      <c r="BA213" s="293"/>
      <c r="BB213" s="293"/>
      <c r="BC213" s="293"/>
      <c r="BD213" s="293"/>
      <c r="BE213" s="293"/>
      <c r="BF213" s="293"/>
      <c r="BG213" s="293"/>
      <c r="BH213" s="293"/>
      <c r="BI213" s="293"/>
      <c r="BJ213" s="293"/>
      <c r="BK213" s="293"/>
      <c r="BL213" s="293"/>
      <c r="BM213" s="293"/>
      <c r="BN213" s="293"/>
      <c r="BO213" s="293"/>
      <c r="BP213" s="293"/>
      <c r="BQ213" s="293"/>
      <c r="BR213" s="293"/>
      <c r="BS213" s="293"/>
      <c r="BT213" s="293"/>
      <c r="BU213" s="293"/>
      <c r="BV213" s="293"/>
      <c r="BW213" s="293"/>
      <c r="BX213" s="293"/>
      <c r="BY213" s="293"/>
      <c r="BZ213" s="293"/>
      <c r="CA213" s="293"/>
      <c r="CB213" s="293"/>
      <c r="CC213" s="293"/>
      <c r="CD213" s="293"/>
      <c r="CE213" s="293"/>
      <c r="CF213" s="293"/>
      <c r="CG213" s="293"/>
      <c r="CH213" s="293"/>
      <c r="CI213" s="293"/>
      <c r="CJ213" s="293"/>
      <c r="CK213" s="293"/>
      <c r="CL213" s="293"/>
      <c r="CM213" s="293"/>
      <c r="CN213" s="293"/>
      <c r="CO213" s="293"/>
      <c r="CP213" s="293"/>
      <c r="CQ213" s="293"/>
      <c r="CR213" s="293"/>
      <c r="CS213" s="293"/>
      <c r="CT213" s="293"/>
      <c r="CU213" s="293"/>
      <c r="CV213" s="293"/>
      <c r="CW213" s="293"/>
      <c r="CX213" s="293"/>
      <c r="CY213" s="293"/>
      <c r="CZ213" s="293"/>
      <c r="DA213" s="293"/>
      <c r="DB213" s="293"/>
      <c r="DC213" s="293"/>
      <c r="DD213" s="293"/>
      <c r="DE213" s="293"/>
      <c r="DF213" s="293"/>
      <c r="DG213" s="293"/>
      <c r="DH213" s="293"/>
      <c r="DI213" s="293"/>
      <c r="DJ213" s="293"/>
      <c r="DK213" s="293"/>
      <c r="DL213" s="293"/>
      <c r="DM213" s="293"/>
      <c r="DN213" s="293"/>
      <c r="DO213" s="293"/>
      <c r="DP213" s="293"/>
      <c r="DQ213" s="293"/>
      <c r="DR213" s="293"/>
      <c r="DS213" s="288"/>
      <c r="DT213" s="288"/>
      <c r="DU213" s="288"/>
      <c r="DV213" s="288"/>
      <c r="DW213" s="288"/>
      <c r="DX213" s="288"/>
      <c r="DY213" s="288"/>
      <c r="DZ213" s="288"/>
      <c r="EA213" s="288"/>
      <c r="EB213" s="288"/>
      <c r="EC213" s="288"/>
      <c r="ED213" s="288"/>
      <c r="EE213" s="288"/>
      <c r="EF213" s="288"/>
      <c r="EG213" s="288"/>
      <c r="EH213" s="288"/>
      <c r="EI213" s="288"/>
      <c r="EJ213" s="288"/>
      <c r="EK213" s="288"/>
      <c r="EL213" s="288"/>
      <c r="EM213" s="288"/>
      <c r="EN213" s="288"/>
      <c r="EO213" s="288"/>
      <c r="EP213" s="288"/>
      <c r="EQ213" s="288"/>
      <c r="ER213" s="288"/>
      <c r="ES213" s="288"/>
      <c r="ET213" s="288"/>
      <c r="EU213" s="288"/>
      <c r="EV213" s="288"/>
      <c r="EW213" s="288"/>
      <c r="EX213" s="288"/>
      <c r="EY213" s="288"/>
      <c r="EZ213" s="288"/>
      <c r="FA213" s="288"/>
      <c r="FB213" s="288"/>
      <c r="FC213" s="288"/>
      <c r="FD213" s="288"/>
      <c r="FE213" s="288"/>
      <c r="FF213" s="288"/>
      <c r="FG213" s="288"/>
      <c r="FH213" s="288"/>
    </row>
    <row r="214" ht="14.25" customHeight="1">
      <c r="A214" s="293"/>
      <c r="B214" s="293"/>
      <c r="C214" s="293"/>
      <c r="D214" s="293"/>
      <c r="E214" s="293"/>
      <c r="F214" s="293"/>
      <c r="G214" s="293"/>
      <c r="H214" s="293"/>
      <c r="I214" s="293"/>
      <c r="J214" s="293"/>
      <c r="K214" s="293"/>
      <c r="L214" s="293"/>
      <c r="M214" s="293"/>
      <c r="N214" s="293"/>
      <c r="O214" s="293"/>
      <c r="P214" s="293"/>
      <c r="Q214" s="293"/>
      <c r="R214" s="293"/>
      <c r="S214" s="293"/>
      <c r="T214" s="293"/>
      <c r="U214" s="293"/>
      <c r="V214" s="293"/>
      <c r="W214" s="293"/>
      <c r="X214" s="293"/>
      <c r="Y214" s="293"/>
      <c r="Z214" s="293"/>
      <c r="AA214" s="293"/>
      <c r="AB214" s="293"/>
      <c r="AC214" s="293"/>
      <c r="AD214" s="293"/>
      <c r="AE214" s="293"/>
      <c r="AF214" s="293"/>
      <c r="AG214" s="293"/>
      <c r="AH214" s="293"/>
      <c r="AI214" s="293"/>
      <c r="AJ214" s="293"/>
      <c r="AK214" s="293"/>
      <c r="AL214" s="293"/>
      <c r="AM214" s="293"/>
      <c r="AN214" s="293"/>
      <c r="AO214" s="293"/>
      <c r="AP214" s="293"/>
      <c r="AQ214" s="293"/>
      <c r="AR214" s="293"/>
      <c r="AS214" s="293"/>
      <c r="AT214" s="293"/>
      <c r="AU214" s="293"/>
      <c r="AV214" s="293"/>
      <c r="AW214" s="293"/>
      <c r="AX214" s="293"/>
      <c r="AY214" s="293"/>
      <c r="AZ214" s="293"/>
      <c r="BA214" s="293"/>
      <c r="BB214" s="293"/>
      <c r="BC214" s="293"/>
      <c r="BD214" s="293"/>
      <c r="BE214" s="293"/>
      <c r="BF214" s="293"/>
      <c r="BG214" s="293"/>
      <c r="BH214" s="293"/>
      <c r="BI214" s="293"/>
      <c r="BJ214" s="293"/>
      <c r="BK214" s="293"/>
      <c r="BL214" s="293"/>
      <c r="BM214" s="293"/>
      <c r="BN214" s="293"/>
      <c r="BO214" s="293"/>
      <c r="BP214" s="293"/>
      <c r="BQ214" s="293"/>
      <c r="BR214" s="293"/>
      <c r="BS214" s="293"/>
      <c r="BT214" s="293"/>
      <c r="BU214" s="293"/>
      <c r="BV214" s="293"/>
      <c r="BW214" s="293"/>
      <c r="BX214" s="293"/>
      <c r="BY214" s="293"/>
      <c r="BZ214" s="293"/>
      <c r="CA214" s="293"/>
      <c r="CB214" s="293"/>
      <c r="CC214" s="293"/>
      <c r="CD214" s="293"/>
      <c r="CE214" s="293"/>
      <c r="CF214" s="293"/>
      <c r="CG214" s="293"/>
      <c r="CH214" s="293"/>
      <c r="CI214" s="293"/>
      <c r="CJ214" s="293"/>
      <c r="CK214" s="293"/>
      <c r="CL214" s="293"/>
      <c r="CM214" s="293"/>
      <c r="CN214" s="293"/>
      <c r="CO214" s="293"/>
      <c r="CP214" s="293"/>
      <c r="CQ214" s="293"/>
      <c r="CR214" s="293"/>
      <c r="CS214" s="293"/>
      <c r="CT214" s="293"/>
      <c r="CU214" s="293"/>
      <c r="CV214" s="293"/>
      <c r="CW214" s="293"/>
      <c r="CX214" s="293"/>
      <c r="CY214" s="293"/>
      <c r="CZ214" s="293"/>
      <c r="DA214" s="293"/>
      <c r="DB214" s="293"/>
      <c r="DC214" s="293"/>
      <c r="DD214" s="293"/>
      <c r="DE214" s="293"/>
      <c r="DF214" s="293"/>
      <c r="DG214" s="293"/>
      <c r="DH214" s="293"/>
      <c r="DI214" s="293"/>
      <c r="DJ214" s="293"/>
      <c r="DK214" s="293"/>
      <c r="DL214" s="293"/>
      <c r="DM214" s="293"/>
      <c r="DN214" s="293"/>
      <c r="DO214" s="293"/>
      <c r="DP214" s="293"/>
      <c r="DQ214" s="293"/>
      <c r="DR214" s="293"/>
      <c r="DS214" s="288"/>
      <c r="DT214" s="288"/>
      <c r="DU214" s="288"/>
      <c r="DV214" s="288"/>
      <c r="DW214" s="288"/>
      <c r="DX214" s="288"/>
      <c r="DY214" s="288"/>
      <c r="DZ214" s="288"/>
      <c r="EA214" s="288"/>
      <c r="EB214" s="288"/>
      <c r="EC214" s="288"/>
      <c r="ED214" s="288"/>
      <c r="EE214" s="288"/>
      <c r="EF214" s="288"/>
      <c r="EG214" s="288"/>
      <c r="EH214" s="288"/>
      <c r="EI214" s="288"/>
      <c r="EJ214" s="288"/>
      <c r="EK214" s="288"/>
      <c r="EL214" s="288"/>
      <c r="EM214" s="288"/>
      <c r="EN214" s="288"/>
      <c r="EO214" s="288"/>
      <c r="EP214" s="288"/>
      <c r="EQ214" s="288"/>
      <c r="ER214" s="288"/>
      <c r="ES214" s="288"/>
      <c r="ET214" s="288"/>
      <c r="EU214" s="288"/>
      <c r="EV214" s="288"/>
      <c r="EW214" s="288"/>
      <c r="EX214" s="288"/>
      <c r="EY214" s="288"/>
      <c r="EZ214" s="288"/>
      <c r="FA214" s="288"/>
      <c r="FB214" s="288"/>
      <c r="FC214" s="288"/>
      <c r="FD214" s="288"/>
      <c r="FE214" s="288"/>
      <c r="FF214" s="288"/>
      <c r="FG214" s="288"/>
      <c r="FH214" s="288"/>
    </row>
    <row r="215" ht="14.25" customHeight="1">
      <c r="A215" s="293"/>
      <c r="B215" s="293"/>
      <c r="C215" s="293"/>
      <c r="D215" s="293"/>
      <c r="E215" s="293"/>
      <c r="F215" s="293"/>
      <c r="G215" s="293"/>
      <c r="H215" s="293"/>
      <c r="I215" s="293"/>
      <c r="J215" s="293"/>
      <c r="K215" s="293"/>
      <c r="L215" s="293"/>
      <c r="M215" s="293"/>
      <c r="N215" s="293"/>
      <c r="O215" s="293"/>
      <c r="P215" s="293"/>
      <c r="Q215" s="293"/>
      <c r="R215" s="293"/>
      <c r="S215" s="293"/>
      <c r="T215" s="293"/>
      <c r="U215" s="293"/>
      <c r="V215" s="293"/>
      <c r="W215" s="293"/>
      <c r="X215" s="293"/>
      <c r="Y215" s="293"/>
      <c r="Z215" s="293"/>
      <c r="AA215" s="293"/>
      <c r="AB215" s="293"/>
      <c r="AC215" s="293"/>
      <c r="AD215" s="293"/>
      <c r="AE215" s="293"/>
      <c r="AF215" s="293"/>
      <c r="AG215" s="293"/>
      <c r="AH215" s="293"/>
      <c r="AI215" s="293"/>
      <c r="AJ215" s="293"/>
      <c r="AK215" s="293"/>
      <c r="AL215" s="293"/>
      <c r="AM215" s="293"/>
      <c r="AN215" s="293"/>
      <c r="AO215" s="293"/>
      <c r="AP215" s="293"/>
      <c r="AQ215" s="293"/>
      <c r="AR215" s="293"/>
      <c r="AS215" s="293"/>
      <c r="AT215" s="293"/>
      <c r="AU215" s="293"/>
      <c r="AV215" s="293"/>
      <c r="AW215" s="293"/>
      <c r="AX215" s="293"/>
      <c r="AY215" s="293"/>
      <c r="AZ215" s="293"/>
      <c r="BA215" s="293"/>
      <c r="BB215" s="293"/>
      <c r="BC215" s="293"/>
      <c r="BD215" s="293"/>
      <c r="BE215" s="293"/>
      <c r="BF215" s="293"/>
      <c r="BG215" s="293"/>
      <c r="BH215" s="293"/>
      <c r="BI215" s="293"/>
      <c r="BJ215" s="293"/>
      <c r="BK215" s="293"/>
      <c r="BL215" s="293"/>
      <c r="BM215" s="293"/>
      <c r="BN215" s="293"/>
      <c r="BO215" s="293"/>
      <c r="BP215" s="293"/>
      <c r="BQ215" s="293"/>
      <c r="BR215" s="293"/>
      <c r="BS215" s="293"/>
      <c r="BT215" s="293"/>
      <c r="BU215" s="293"/>
      <c r="BV215" s="293"/>
      <c r="BW215" s="293"/>
      <c r="BX215" s="293"/>
      <c r="BY215" s="293"/>
      <c r="BZ215" s="293"/>
      <c r="CA215" s="293"/>
      <c r="CB215" s="293"/>
      <c r="CC215" s="293"/>
      <c r="CD215" s="293"/>
      <c r="CE215" s="293"/>
      <c r="CF215" s="293"/>
      <c r="CG215" s="293"/>
      <c r="CH215" s="293"/>
      <c r="CI215" s="293"/>
      <c r="CJ215" s="293"/>
      <c r="CK215" s="293"/>
      <c r="CL215" s="293"/>
      <c r="CM215" s="293"/>
      <c r="CN215" s="293"/>
      <c r="CO215" s="293"/>
      <c r="CP215" s="293"/>
      <c r="CQ215" s="293"/>
      <c r="CR215" s="293"/>
      <c r="CS215" s="293"/>
      <c r="CT215" s="293"/>
      <c r="CU215" s="293"/>
      <c r="CV215" s="293"/>
      <c r="CW215" s="293"/>
      <c r="CX215" s="293"/>
      <c r="CY215" s="293"/>
      <c r="CZ215" s="293"/>
      <c r="DA215" s="293"/>
      <c r="DB215" s="293"/>
      <c r="DC215" s="293"/>
      <c r="DD215" s="293"/>
      <c r="DE215" s="293"/>
      <c r="DF215" s="293"/>
      <c r="DG215" s="293"/>
      <c r="DH215" s="293"/>
      <c r="DI215" s="293"/>
      <c r="DJ215" s="293"/>
      <c r="DK215" s="293"/>
      <c r="DL215" s="293"/>
      <c r="DM215" s="293"/>
      <c r="DN215" s="293"/>
      <c r="DO215" s="293"/>
      <c r="DP215" s="293"/>
      <c r="DQ215" s="293"/>
      <c r="DR215" s="293"/>
      <c r="DS215" s="288"/>
      <c r="DT215" s="288"/>
      <c r="DU215" s="288"/>
      <c r="DV215" s="288"/>
      <c r="DW215" s="288"/>
      <c r="DX215" s="288"/>
      <c r="DY215" s="288"/>
      <c r="DZ215" s="288"/>
      <c r="EA215" s="288"/>
      <c r="EB215" s="288"/>
      <c r="EC215" s="288"/>
      <c r="ED215" s="288"/>
      <c r="EE215" s="288"/>
      <c r="EF215" s="288"/>
      <c r="EG215" s="288"/>
      <c r="EH215" s="288"/>
      <c r="EI215" s="288"/>
      <c r="EJ215" s="288"/>
      <c r="EK215" s="288"/>
      <c r="EL215" s="288"/>
      <c r="EM215" s="288"/>
      <c r="EN215" s="288"/>
      <c r="EO215" s="288"/>
      <c r="EP215" s="288"/>
      <c r="EQ215" s="288"/>
      <c r="ER215" s="288"/>
      <c r="ES215" s="288"/>
      <c r="ET215" s="288"/>
      <c r="EU215" s="288"/>
      <c r="EV215" s="288"/>
      <c r="EW215" s="288"/>
      <c r="EX215" s="288"/>
      <c r="EY215" s="288"/>
      <c r="EZ215" s="288"/>
      <c r="FA215" s="288"/>
      <c r="FB215" s="288"/>
      <c r="FC215" s="288"/>
      <c r="FD215" s="288"/>
      <c r="FE215" s="288"/>
      <c r="FF215" s="288"/>
      <c r="FG215" s="288"/>
      <c r="FH215" s="288"/>
    </row>
    <row r="216" ht="14.25" customHeight="1">
      <c r="A216" s="293"/>
      <c r="B216" s="293"/>
      <c r="C216" s="293"/>
      <c r="D216" s="293"/>
      <c r="E216" s="293"/>
      <c r="F216" s="293"/>
      <c r="G216" s="293"/>
      <c r="H216" s="293"/>
      <c r="I216" s="293"/>
      <c r="J216" s="293"/>
      <c r="K216" s="293"/>
      <c r="L216" s="293"/>
      <c r="M216" s="293"/>
      <c r="N216" s="293"/>
      <c r="O216" s="293"/>
      <c r="P216" s="293"/>
      <c r="Q216" s="293"/>
      <c r="R216" s="293"/>
      <c r="S216" s="293"/>
      <c r="T216" s="293"/>
      <c r="U216" s="293"/>
      <c r="V216" s="293"/>
      <c r="W216" s="293"/>
      <c r="X216" s="293"/>
      <c r="Y216" s="293"/>
      <c r="Z216" s="293"/>
      <c r="AA216" s="293"/>
      <c r="AB216" s="293"/>
      <c r="AC216" s="293"/>
      <c r="AD216" s="293"/>
      <c r="AE216" s="293"/>
      <c r="AF216" s="293"/>
      <c r="AG216" s="293"/>
      <c r="AH216" s="293"/>
      <c r="AI216" s="293"/>
      <c r="AJ216" s="293"/>
      <c r="AK216" s="293"/>
      <c r="AL216" s="293"/>
      <c r="AM216" s="293"/>
      <c r="AN216" s="293"/>
      <c r="AO216" s="293"/>
      <c r="AP216" s="293"/>
      <c r="AQ216" s="293"/>
      <c r="AR216" s="293"/>
      <c r="AS216" s="293"/>
      <c r="AT216" s="293"/>
      <c r="AU216" s="293"/>
      <c r="AV216" s="293"/>
      <c r="AW216" s="293"/>
      <c r="AX216" s="293"/>
      <c r="AY216" s="293"/>
      <c r="AZ216" s="293"/>
      <c r="BA216" s="293"/>
      <c r="BB216" s="293"/>
      <c r="BC216" s="293"/>
      <c r="BD216" s="293"/>
      <c r="BE216" s="293"/>
      <c r="BF216" s="293"/>
      <c r="BG216" s="293"/>
      <c r="BH216" s="293"/>
      <c r="BI216" s="293"/>
      <c r="BJ216" s="293"/>
      <c r="BK216" s="293"/>
      <c r="BL216" s="293"/>
      <c r="BM216" s="293"/>
      <c r="BN216" s="293"/>
      <c r="BO216" s="293"/>
      <c r="BP216" s="293"/>
      <c r="BQ216" s="293"/>
      <c r="BR216" s="293"/>
      <c r="BS216" s="293"/>
      <c r="BT216" s="293"/>
      <c r="BU216" s="293"/>
      <c r="BV216" s="293"/>
      <c r="BW216" s="293"/>
      <c r="BX216" s="293"/>
      <c r="BY216" s="293"/>
      <c r="BZ216" s="293"/>
      <c r="CA216" s="293"/>
      <c r="CB216" s="293"/>
      <c r="CC216" s="293"/>
      <c r="CD216" s="293"/>
      <c r="CE216" s="293"/>
      <c r="CF216" s="293"/>
      <c r="CG216" s="293"/>
      <c r="CH216" s="293"/>
      <c r="CI216" s="293"/>
      <c r="CJ216" s="293"/>
      <c r="CK216" s="293"/>
      <c r="CL216" s="293"/>
      <c r="CM216" s="293"/>
      <c r="CN216" s="293"/>
      <c r="CO216" s="293"/>
      <c r="CP216" s="293"/>
      <c r="CQ216" s="293"/>
      <c r="CR216" s="293"/>
      <c r="CS216" s="293"/>
      <c r="CT216" s="293"/>
      <c r="CU216" s="293"/>
      <c r="CV216" s="293"/>
      <c r="CW216" s="293"/>
      <c r="CX216" s="293"/>
      <c r="CY216" s="293"/>
      <c r="CZ216" s="293"/>
      <c r="DA216" s="293"/>
      <c r="DB216" s="293"/>
      <c r="DC216" s="293"/>
      <c r="DD216" s="293"/>
      <c r="DE216" s="293"/>
      <c r="DF216" s="293"/>
      <c r="DG216" s="293"/>
      <c r="DH216" s="293"/>
      <c r="DI216" s="293"/>
      <c r="DJ216" s="293"/>
      <c r="DK216" s="293"/>
      <c r="DL216" s="293"/>
      <c r="DM216" s="293"/>
      <c r="DN216" s="293"/>
      <c r="DO216" s="293"/>
      <c r="DP216" s="293"/>
      <c r="DQ216" s="293"/>
      <c r="DR216" s="293"/>
      <c r="DS216" s="288"/>
      <c r="DT216" s="288"/>
      <c r="DU216" s="288"/>
      <c r="DV216" s="288"/>
      <c r="DW216" s="288"/>
      <c r="DX216" s="288"/>
      <c r="DY216" s="288"/>
      <c r="DZ216" s="288"/>
      <c r="EA216" s="288"/>
      <c r="EB216" s="288"/>
      <c r="EC216" s="288"/>
      <c r="ED216" s="288"/>
      <c r="EE216" s="288"/>
      <c r="EF216" s="288"/>
      <c r="EG216" s="288"/>
      <c r="EH216" s="288"/>
      <c r="EI216" s="288"/>
      <c r="EJ216" s="288"/>
      <c r="EK216" s="288"/>
      <c r="EL216" s="288"/>
      <c r="EM216" s="288"/>
      <c r="EN216" s="288"/>
      <c r="EO216" s="288"/>
      <c r="EP216" s="288"/>
      <c r="EQ216" s="288"/>
      <c r="ER216" s="288"/>
      <c r="ES216" s="288"/>
      <c r="ET216" s="288"/>
      <c r="EU216" s="288"/>
      <c r="EV216" s="288"/>
      <c r="EW216" s="288"/>
      <c r="EX216" s="288"/>
      <c r="EY216" s="288"/>
      <c r="EZ216" s="288"/>
      <c r="FA216" s="288"/>
      <c r="FB216" s="288"/>
      <c r="FC216" s="288"/>
      <c r="FD216" s="288"/>
      <c r="FE216" s="288"/>
      <c r="FF216" s="288"/>
      <c r="FG216" s="288"/>
      <c r="FH216" s="288"/>
    </row>
    <row r="217" ht="14.25" customHeight="1">
      <c r="A217" s="293"/>
      <c r="B217" s="293"/>
      <c r="C217" s="293"/>
      <c r="D217" s="293"/>
      <c r="E217" s="293"/>
      <c r="F217" s="293"/>
      <c r="G217" s="293"/>
      <c r="H217" s="293"/>
      <c r="I217" s="293"/>
      <c r="J217" s="293"/>
      <c r="K217" s="293"/>
      <c r="L217" s="293"/>
      <c r="M217" s="293"/>
      <c r="N217" s="293"/>
      <c r="O217" s="293"/>
      <c r="P217" s="293"/>
      <c r="Q217" s="293"/>
      <c r="R217" s="293"/>
      <c r="S217" s="293"/>
      <c r="T217" s="293"/>
      <c r="U217" s="293"/>
      <c r="V217" s="293"/>
      <c r="W217" s="293"/>
      <c r="X217" s="293"/>
      <c r="Y217" s="293"/>
      <c r="Z217" s="293"/>
      <c r="AA217" s="293"/>
      <c r="AB217" s="293"/>
      <c r="AC217" s="293"/>
      <c r="AD217" s="293"/>
      <c r="AE217" s="293"/>
      <c r="AF217" s="293"/>
      <c r="AG217" s="293"/>
      <c r="AH217" s="293"/>
      <c r="AI217" s="293"/>
      <c r="AJ217" s="293"/>
      <c r="AK217" s="293"/>
      <c r="AL217" s="293"/>
      <c r="AM217" s="293"/>
      <c r="AN217" s="293"/>
      <c r="AO217" s="293"/>
      <c r="AP217" s="293"/>
      <c r="AQ217" s="293"/>
      <c r="AR217" s="293"/>
      <c r="AS217" s="293"/>
      <c r="AT217" s="293"/>
      <c r="AU217" s="293"/>
      <c r="AV217" s="293"/>
      <c r="AW217" s="293"/>
      <c r="AX217" s="293"/>
      <c r="AY217" s="293"/>
      <c r="AZ217" s="293"/>
      <c r="BA217" s="293"/>
      <c r="BB217" s="293"/>
      <c r="BC217" s="293"/>
      <c r="BD217" s="293"/>
      <c r="BE217" s="293"/>
      <c r="BF217" s="293"/>
      <c r="BG217" s="293"/>
      <c r="BH217" s="293"/>
      <c r="BI217" s="293"/>
      <c r="BJ217" s="293"/>
      <c r="BK217" s="293"/>
      <c r="BL217" s="293"/>
      <c r="BM217" s="293"/>
      <c r="BN217" s="293"/>
      <c r="BO217" s="293"/>
      <c r="BP217" s="293"/>
      <c r="BQ217" s="293"/>
      <c r="BR217" s="293"/>
      <c r="BS217" s="293"/>
      <c r="BT217" s="293"/>
      <c r="BU217" s="293"/>
      <c r="BV217" s="293"/>
      <c r="BW217" s="293"/>
      <c r="BX217" s="293"/>
      <c r="BY217" s="293"/>
      <c r="BZ217" s="293"/>
      <c r="CA217" s="293"/>
      <c r="CB217" s="293"/>
      <c r="CC217" s="293"/>
      <c r="CD217" s="293"/>
      <c r="CE217" s="293"/>
      <c r="CF217" s="293"/>
      <c r="CG217" s="293"/>
      <c r="CH217" s="293"/>
      <c r="CI217" s="293"/>
      <c r="CJ217" s="293"/>
      <c r="CK217" s="293"/>
      <c r="CL217" s="293"/>
      <c r="CM217" s="293"/>
      <c r="CN217" s="293"/>
      <c r="CO217" s="293"/>
      <c r="CP217" s="293"/>
      <c r="CQ217" s="293"/>
      <c r="CR217" s="293"/>
      <c r="CS217" s="293"/>
      <c r="CT217" s="293"/>
      <c r="CU217" s="293"/>
      <c r="CV217" s="293"/>
      <c r="CW217" s="293"/>
      <c r="CX217" s="293"/>
      <c r="CY217" s="293"/>
      <c r="CZ217" s="293"/>
      <c r="DA217" s="293"/>
      <c r="DB217" s="293"/>
      <c r="DC217" s="293"/>
      <c r="DD217" s="293"/>
      <c r="DE217" s="293"/>
      <c r="DF217" s="293"/>
      <c r="DG217" s="293"/>
      <c r="DH217" s="293"/>
      <c r="DI217" s="293"/>
      <c r="DJ217" s="293"/>
      <c r="DK217" s="293"/>
      <c r="DL217" s="293"/>
      <c r="DM217" s="293"/>
      <c r="DN217" s="293"/>
      <c r="DO217" s="293"/>
      <c r="DP217" s="293"/>
      <c r="DQ217" s="293"/>
      <c r="DR217" s="293"/>
      <c r="DS217" s="288"/>
      <c r="DT217" s="288"/>
      <c r="DU217" s="288"/>
      <c r="DV217" s="288"/>
      <c r="DW217" s="288"/>
      <c r="DX217" s="288"/>
      <c r="DY217" s="288"/>
      <c r="DZ217" s="288"/>
      <c r="EA217" s="288"/>
      <c r="EB217" s="288"/>
      <c r="EC217" s="288"/>
      <c r="ED217" s="288"/>
      <c r="EE217" s="288"/>
      <c r="EF217" s="288"/>
      <c r="EG217" s="288"/>
      <c r="EH217" s="288"/>
      <c r="EI217" s="288"/>
      <c r="EJ217" s="288"/>
      <c r="EK217" s="288"/>
      <c r="EL217" s="288"/>
      <c r="EM217" s="288"/>
      <c r="EN217" s="288"/>
      <c r="EO217" s="288"/>
      <c r="EP217" s="288"/>
      <c r="EQ217" s="288"/>
      <c r="ER217" s="288"/>
      <c r="ES217" s="288"/>
      <c r="ET217" s="288"/>
      <c r="EU217" s="288"/>
      <c r="EV217" s="288"/>
      <c r="EW217" s="288"/>
      <c r="EX217" s="288"/>
      <c r="EY217" s="288"/>
      <c r="EZ217" s="288"/>
      <c r="FA217" s="288"/>
      <c r="FB217" s="288"/>
      <c r="FC217" s="288"/>
      <c r="FD217" s="288"/>
      <c r="FE217" s="288"/>
      <c r="FF217" s="288"/>
      <c r="FG217" s="288"/>
      <c r="FH217" s="288"/>
    </row>
    <row r="218" ht="14.25" customHeight="1">
      <c r="A218" s="293"/>
      <c r="B218" s="293"/>
      <c r="C218" s="293"/>
      <c r="D218" s="293"/>
      <c r="E218" s="293"/>
      <c r="F218" s="293"/>
      <c r="G218" s="293"/>
      <c r="H218" s="293"/>
      <c r="I218" s="293"/>
      <c r="J218" s="293"/>
      <c r="K218" s="293"/>
      <c r="L218" s="293"/>
      <c r="M218" s="293"/>
      <c r="N218" s="293"/>
      <c r="O218" s="293"/>
      <c r="P218" s="293"/>
      <c r="Q218" s="293"/>
      <c r="R218" s="293"/>
      <c r="S218" s="293"/>
      <c r="T218" s="293"/>
      <c r="U218" s="293"/>
      <c r="V218" s="293"/>
      <c r="W218" s="293"/>
      <c r="X218" s="293"/>
      <c r="Y218" s="293"/>
      <c r="Z218" s="293"/>
      <c r="AA218" s="293"/>
      <c r="AB218" s="293"/>
      <c r="AC218" s="293"/>
      <c r="AD218" s="293"/>
      <c r="AE218" s="293"/>
      <c r="AF218" s="293"/>
      <c r="AG218" s="293"/>
      <c r="AH218" s="293"/>
      <c r="AI218" s="293"/>
      <c r="AJ218" s="293"/>
      <c r="AK218" s="293"/>
      <c r="AL218" s="293"/>
      <c r="AM218" s="293"/>
      <c r="AN218" s="293"/>
      <c r="AO218" s="293"/>
      <c r="AP218" s="293"/>
      <c r="AQ218" s="293"/>
      <c r="AR218" s="293"/>
      <c r="AS218" s="293"/>
      <c r="AT218" s="293"/>
      <c r="AU218" s="293"/>
      <c r="AV218" s="293"/>
      <c r="AW218" s="293"/>
      <c r="AX218" s="293"/>
      <c r="AY218" s="293"/>
      <c r="AZ218" s="293"/>
      <c r="BA218" s="293"/>
      <c r="BB218" s="293"/>
      <c r="BC218" s="293"/>
      <c r="BD218" s="293"/>
      <c r="BE218" s="293"/>
      <c r="BF218" s="293"/>
      <c r="BG218" s="293"/>
      <c r="BH218" s="293"/>
      <c r="BI218" s="293"/>
      <c r="BJ218" s="293"/>
      <c r="BK218" s="293"/>
      <c r="BL218" s="293"/>
      <c r="BM218" s="293"/>
      <c r="BN218" s="293"/>
      <c r="BO218" s="293"/>
      <c r="BP218" s="293"/>
      <c r="BQ218" s="293"/>
      <c r="BR218" s="293"/>
      <c r="BS218" s="293"/>
      <c r="BT218" s="293"/>
      <c r="BU218" s="293"/>
      <c r="BV218" s="293"/>
      <c r="BW218" s="293"/>
      <c r="BX218" s="293"/>
      <c r="BY218" s="293"/>
      <c r="BZ218" s="293"/>
      <c r="CA218" s="293"/>
      <c r="CB218" s="293"/>
      <c r="CC218" s="293"/>
      <c r="CD218" s="293"/>
      <c r="CE218" s="293"/>
      <c r="CF218" s="293"/>
      <c r="CG218" s="293"/>
      <c r="CH218" s="293"/>
      <c r="CI218" s="293"/>
      <c r="CJ218" s="293"/>
      <c r="CK218" s="293"/>
      <c r="CL218" s="293"/>
      <c r="CM218" s="293"/>
      <c r="CN218" s="293"/>
      <c r="CO218" s="293"/>
      <c r="CP218" s="293"/>
      <c r="CQ218" s="293"/>
      <c r="CR218" s="293"/>
      <c r="CS218" s="293"/>
      <c r="CT218" s="293"/>
      <c r="CU218" s="293"/>
      <c r="CV218" s="293"/>
      <c r="CW218" s="293"/>
      <c r="CX218" s="293"/>
      <c r="CY218" s="293"/>
      <c r="CZ218" s="293"/>
      <c r="DA218" s="293"/>
      <c r="DB218" s="293"/>
      <c r="DC218" s="293"/>
      <c r="DD218" s="293"/>
      <c r="DE218" s="293"/>
      <c r="DF218" s="293"/>
      <c r="DG218" s="293"/>
      <c r="DH218" s="293"/>
      <c r="DI218" s="293"/>
      <c r="DJ218" s="293"/>
      <c r="DK218" s="293"/>
      <c r="DL218" s="293"/>
      <c r="DM218" s="293"/>
      <c r="DN218" s="293"/>
      <c r="DO218" s="293"/>
      <c r="DP218" s="293"/>
      <c r="DQ218" s="293"/>
      <c r="DR218" s="293"/>
      <c r="DS218" s="288"/>
      <c r="DT218" s="288"/>
      <c r="DU218" s="288"/>
      <c r="DV218" s="288"/>
      <c r="DW218" s="288"/>
      <c r="DX218" s="288"/>
      <c r="DY218" s="288"/>
      <c r="DZ218" s="288"/>
      <c r="EA218" s="288"/>
      <c r="EB218" s="288"/>
      <c r="EC218" s="288"/>
      <c r="ED218" s="288"/>
      <c r="EE218" s="288"/>
      <c r="EF218" s="288"/>
      <c r="EG218" s="288"/>
      <c r="EH218" s="288"/>
      <c r="EI218" s="288"/>
      <c r="EJ218" s="288"/>
      <c r="EK218" s="288"/>
      <c r="EL218" s="288"/>
      <c r="EM218" s="288"/>
      <c r="EN218" s="288"/>
      <c r="EO218" s="288"/>
      <c r="EP218" s="288"/>
      <c r="EQ218" s="288"/>
      <c r="ER218" s="288"/>
      <c r="ES218" s="288"/>
      <c r="ET218" s="288"/>
      <c r="EU218" s="288"/>
      <c r="EV218" s="288"/>
      <c r="EW218" s="288"/>
      <c r="EX218" s="288"/>
      <c r="EY218" s="288"/>
      <c r="EZ218" s="288"/>
      <c r="FA218" s="288"/>
      <c r="FB218" s="288"/>
      <c r="FC218" s="288"/>
      <c r="FD218" s="288"/>
      <c r="FE218" s="288"/>
      <c r="FF218" s="288"/>
      <c r="FG218" s="288"/>
      <c r="FH218" s="288"/>
    </row>
    <row r="219" ht="14.25" customHeight="1">
      <c r="A219" s="293"/>
      <c r="B219" s="293"/>
      <c r="C219" s="293"/>
      <c r="D219" s="293"/>
      <c r="E219" s="293"/>
      <c r="F219" s="293"/>
      <c r="G219" s="293"/>
      <c r="H219" s="293"/>
      <c r="I219" s="293"/>
      <c r="J219" s="293"/>
      <c r="K219" s="293"/>
      <c r="L219" s="293"/>
      <c r="M219" s="293"/>
      <c r="N219" s="293"/>
      <c r="O219" s="293"/>
      <c r="P219" s="293"/>
      <c r="Q219" s="293"/>
      <c r="R219" s="293"/>
      <c r="S219" s="293"/>
      <c r="T219" s="293"/>
      <c r="U219" s="293"/>
      <c r="V219" s="293"/>
      <c r="W219" s="293"/>
      <c r="X219" s="293"/>
      <c r="Y219" s="293"/>
      <c r="Z219" s="293"/>
      <c r="AA219" s="293"/>
      <c r="AB219" s="293"/>
      <c r="AC219" s="293"/>
      <c r="AD219" s="293"/>
      <c r="AE219" s="293"/>
      <c r="AF219" s="293"/>
      <c r="AG219" s="293"/>
      <c r="AH219" s="293"/>
      <c r="AI219" s="293"/>
      <c r="AJ219" s="293"/>
      <c r="AK219" s="293"/>
      <c r="AL219" s="293"/>
      <c r="AM219" s="293"/>
      <c r="AN219" s="293"/>
      <c r="AO219" s="293"/>
      <c r="AP219" s="293"/>
      <c r="AQ219" s="293"/>
      <c r="AR219" s="293"/>
      <c r="AS219" s="293"/>
      <c r="AT219" s="293"/>
      <c r="AU219" s="293"/>
      <c r="AV219" s="293"/>
      <c r="AW219" s="293"/>
      <c r="AX219" s="293"/>
      <c r="AY219" s="293"/>
      <c r="AZ219" s="293"/>
      <c r="BA219" s="293"/>
      <c r="BB219" s="293"/>
      <c r="BC219" s="293"/>
      <c r="BD219" s="293"/>
      <c r="BE219" s="293"/>
      <c r="BF219" s="293"/>
      <c r="BG219" s="293"/>
      <c r="BH219" s="293"/>
      <c r="BI219" s="293"/>
      <c r="BJ219" s="293"/>
      <c r="BK219" s="293"/>
      <c r="BL219" s="293"/>
      <c r="BM219" s="293"/>
      <c r="BN219" s="293"/>
      <c r="BO219" s="293"/>
      <c r="BP219" s="293"/>
      <c r="BQ219" s="293"/>
      <c r="BR219" s="293"/>
      <c r="BS219" s="293"/>
      <c r="BT219" s="293"/>
      <c r="BU219" s="293"/>
      <c r="BV219" s="293"/>
      <c r="BW219" s="293"/>
      <c r="BX219" s="293"/>
      <c r="BY219" s="293"/>
      <c r="BZ219" s="293"/>
      <c r="CA219" s="293"/>
      <c r="CB219" s="293"/>
      <c r="CC219" s="293"/>
      <c r="CD219" s="293"/>
      <c r="CE219" s="293"/>
      <c r="CF219" s="293"/>
      <c r="CG219" s="293"/>
      <c r="CH219" s="293"/>
      <c r="CI219" s="293"/>
      <c r="CJ219" s="293"/>
      <c r="CK219" s="293"/>
      <c r="CL219" s="293"/>
      <c r="CM219" s="293"/>
      <c r="CN219" s="293"/>
      <c r="CO219" s="293"/>
      <c r="CP219" s="293"/>
      <c r="CQ219" s="293"/>
      <c r="CR219" s="293"/>
      <c r="CS219" s="293"/>
      <c r="CT219" s="293"/>
      <c r="CU219" s="293"/>
      <c r="CV219" s="293"/>
      <c r="CW219" s="293"/>
      <c r="CX219" s="293"/>
      <c r="CY219" s="293"/>
      <c r="CZ219" s="293"/>
      <c r="DA219" s="293"/>
      <c r="DB219" s="293"/>
      <c r="DC219" s="293"/>
      <c r="DD219" s="293"/>
      <c r="DE219" s="293"/>
      <c r="DF219" s="293"/>
      <c r="DG219" s="293"/>
      <c r="DH219" s="293"/>
      <c r="DI219" s="293"/>
      <c r="DJ219" s="293"/>
      <c r="DK219" s="293"/>
      <c r="DL219" s="293"/>
      <c r="DM219" s="293"/>
      <c r="DN219" s="293"/>
      <c r="DO219" s="293"/>
      <c r="DP219" s="293"/>
      <c r="DQ219" s="293"/>
      <c r="DR219" s="293"/>
      <c r="DS219" s="288"/>
      <c r="DT219" s="288"/>
      <c r="DU219" s="288"/>
      <c r="DV219" s="288"/>
      <c r="DW219" s="288"/>
      <c r="DX219" s="288"/>
      <c r="DY219" s="288"/>
      <c r="DZ219" s="288"/>
      <c r="EA219" s="288"/>
      <c r="EB219" s="288"/>
      <c r="EC219" s="288"/>
      <c r="ED219" s="288"/>
      <c r="EE219" s="288"/>
      <c r="EF219" s="288"/>
      <c r="EG219" s="288"/>
      <c r="EH219" s="288"/>
      <c r="EI219" s="288"/>
      <c r="EJ219" s="288"/>
      <c r="EK219" s="288"/>
      <c r="EL219" s="288"/>
      <c r="EM219" s="288"/>
      <c r="EN219" s="288"/>
      <c r="EO219" s="288"/>
      <c r="EP219" s="288"/>
      <c r="EQ219" s="288"/>
      <c r="ER219" s="288"/>
      <c r="ES219" s="288"/>
      <c r="ET219" s="288"/>
      <c r="EU219" s="288"/>
      <c r="EV219" s="288"/>
      <c r="EW219" s="288"/>
      <c r="EX219" s="288"/>
      <c r="EY219" s="288"/>
      <c r="EZ219" s="288"/>
      <c r="FA219" s="288"/>
      <c r="FB219" s="288"/>
      <c r="FC219" s="288"/>
      <c r="FD219" s="288"/>
      <c r="FE219" s="288"/>
      <c r="FF219" s="288"/>
      <c r="FG219" s="288"/>
      <c r="FH219" s="288"/>
    </row>
    <row r="220" ht="14.25" customHeight="1">
      <c r="A220" s="293"/>
      <c r="B220" s="293"/>
      <c r="C220" s="293"/>
      <c r="D220" s="293"/>
      <c r="E220" s="293"/>
      <c r="F220" s="293"/>
      <c r="G220" s="293"/>
      <c r="H220" s="293"/>
      <c r="I220" s="293"/>
      <c r="J220" s="293"/>
      <c r="K220" s="293"/>
      <c r="L220" s="293"/>
      <c r="M220" s="293"/>
      <c r="N220" s="293"/>
      <c r="O220" s="293"/>
      <c r="P220" s="293"/>
      <c r="Q220" s="293"/>
      <c r="R220" s="293"/>
      <c r="S220" s="293"/>
      <c r="T220" s="293"/>
      <c r="U220" s="293"/>
      <c r="V220" s="293"/>
      <c r="W220" s="293"/>
      <c r="X220" s="293"/>
      <c r="Y220" s="293"/>
      <c r="Z220" s="293"/>
      <c r="AA220" s="293"/>
      <c r="AB220" s="293"/>
      <c r="AC220" s="293"/>
      <c r="AD220" s="293"/>
      <c r="AE220" s="293"/>
      <c r="AF220" s="293"/>
      <c r="AG220" s="293"/>
      <c r="AH220" s="293"/>
      <c r="AI220" s="293"/>
      <c r="AJ220" s="293"/>
      <c r="AK220" s="293"/>
      <c r="AL220" s="293"/>
      <c r="AM220" s="293"/>
      <c r="AN220" s="293"/>
      <c r="AO220" s="293"/>
      <c r="AP220" s="293"/>
      <c r="AQ220" s="293"/>
      <c r="AR220" s="293"/>
      <c r="AS220" s="293"/>
      <c r="AT220" s="293"/>
      <c r="AU220" s="293"/>
      <c r="AV220" s="293"/>
      <c r="AW220" s="293"/>
      <c r="AX220" s="293"/>
      <c r="AY220" s="293"/>
      <c r="AZ220" s="293"/>
      <c r="BA220" s="293"/>
      <c r="BB220" s="293"/>
      <c r="BC220" s="293"/>
      <c r="BD220" s="293"/>
      <c r="BE220" s="293"/>
      <c r="BF220" s="293"/>
      <c r="BG220" s="293"/>
      <c r="BH220" s="293"/>
      <c r="BI220" s="293"/>
      <c r="BJ220" s="293"/>
      <c r="BK220" s="293"/>
      <c r="BL220" s="293"/>
      <c r="BM220" s="293"/>
      <c r="BN220" s="293"/>
      <c r="BO220" s="293"/>
      <c r="BP220" s="293"/>
      <c r="BQ220" s="293"/>
      <c r="BR220" s="293"/>
      <c r="BS220" s="293"/>
      <c r="BT220" s="293"/>
      <c r="BU220" s="293"/>
      <c r="BV220" s="293"/>
      <c r="BW220" s="293"/>
      <c r="BX220" s="293"/>
      <c r="BY220" s="293"/>
      <c r="BZ220" s="293"/>
      <c r="CA220" s="293"/>
      <c r="CB220" s="293"/>
      <c r="CC220" s="293"/>
      <c r="CD220" s="293"/>
      <c r="CE220" s="293"/>
      <c r="CF220" s="293"/>
      <c r="CG220" s="293"/>
      <c r="CH220" s="293"/>
      <c r="CI220" s="293"/>
      <c r="CJ220" s="293"/>
      <c r="CK220" s="293"/>
      <c r="CL220" s="293"/>
      <c r="CM220" s="293"/>
      <c r="CN220" s="293"/>
      <c r="CO220" s="293"/>
      <c r="CP220" s="293"/>
      <c r="CQ220" s="293"/>
      <c r="CR220" s="293"/>
      <c r="CS220" s="293"/>
      <c r="CT220" s="293"/>
      <c r="CU220" s="293"/>
      <c r="CV220" s="293"/>
      <c r="CW220" s="293"/>
      <c r="CX220" s="293"/>
      <c r="CY220" s="293"/>
      <c r="CZ220" s="293"/>
      <c r="DA220" s="293"/>
      <c r="DB220" s="293"/>
      <c r="DC220" s="293"/>
      <c r="DD220" s="293"/>
      <c r="DE220" s="293"/>
      <c r="DF220" s="293"/>
      <c r="DG220" s="293"/>
      <c r="DH220" s="293"/>
      <c r="DI220" s="293"/>
      <c r="DJ220" s="293"/>
      <c r="DK220" s="293"/>
      <c r="DL220" s="293"/>
      <c r="DM220" s="293"/>
      <c r="DN220" s="293"/>
      <c r="DO220" s="293"/>
      <c r="DP220" s="293"/>
      <c r="DQ220" s="293"/>
      <c r="DR220" s="293"/>
      <c r="DS220" s="288"/>
      <c r="DT220" s="288"/>
      <c r="DU220" s="288"/>
      <c r="DV220" s="288"/>
      <c r="DW220" s="288"/>
      <c r="DX220" s="288"/>
      <c r="DY220" s="288"/>
      <c r="DZ220" s="288"/>
      <c r="EA220" s="288"/>
      <c r="EB220" s="288"/>
      <c r="EC220" s="288"/>
      <c r="ED220" s="288"/>
      <c r="EE220" s="288"/>
      <c r="EF220" s="288"/>
      <c r="EG220" s="288"/>
      <c r="EH220" s="288"/>
      <c r="EI220" s="288"/>
      <c r="EJ220" s="288"/>
      <c r="EK220" s="288"/>
      <c r="EL220" s="288"/>
      <c r="EM220" s="288"/>
      <c r="EN220" s="288"/>
      <c r="EO220" s="288"/>
      <c r="EP220" s="288"/>
      <c r="EQ220" s="288"/>
      <c r="ER220" s="288"/>
      <c r="ES220" s="288"/>
      <c r="ET220" s="288"/>
      <c r="EU220" s="288"/>
      <c r="EV220" s="288"/>
      <c r="EW220" s="288"/>
      <c r="EX220" s="288"/>
      <c r="EY220" s="288"/>
      <c r="EZ220" s="288"/>
      <c r="FA220" s="288"/>
      <c r="FB220" s="288"/>
      <c r="FC220" s="288"/>
      <c r="FD220" s="288"/>
      <c r="FE220" s="288"/>
      <c r="FF220" s="288"/>
      <c r="FG220" s="288"/>
      <c r="FH220" s="288"/>
    </row>
    <row r="221" ht="14.25" customHeight="1">
      <c r="A221" s="293"/>
      <c r="B221" s="293"/>
      <c r="C221" s="293"/>
      <c r="D221" s="293"/>
      <c r="E221" s="293"/>
      <c r="F221" s="293"/>
      <c r="G221" s="293"/>
      <c r="H221" s="293"/>
      <c r="I221" s="293"/>
      <c r="J221" s="293"/>
      <c r="K221" s="293"/>
      <c r="L221" s="293"/>
      <c r="M221" s="293"/>
      <c r="N221" s="293"/>
      <c r="O221" s="293"/>
      <c r="P221" s="293"/>
      <c r="Q221" s="293"/>
      <c r="R221" s="293"/>
      <c r="S221" s="293"/>
      <c r="T221" s="293"/>
      <c r="U221" s="293"/>
      <c r="V221" s="293"/>
      <c r="W221" s="293"/>
      <c r="X221" s="293"/>
      <c r="Y221" s="293"/>
      <c r="Z221" s="293"/>
      <c r="AA221" s="293"/>
      <c r="AB221" s="293"/>
      <c r="AC221" s="293"/>
      <c r="AD221" s="293"/>
      <c r="AE221" s="293"/>
      <c r="AF221" s="293"/>
      <c r="AG221" s="293"/>
      <c r="AH221" s="293"/>
      <c r="AI221" s="293"/>
      <c r="AJ221" s="293"/>
      <c r="AK221" s="293"/>
      <c r="AL221" s="293"/>
      <c r="AM221" s="293"/>
      <c r="AN221" s="293"/>
      <c r="AO221" s="293"/>
      <c r="AP221" s="293"/>
      <c r="AQ221" s="293"/>
      <c r="AR221" s="293"/>
      <c r="AS221" s="293"/>
      <c r="AT221" s="293"/>
      <c r="AU221" s="293"/>
      <c r="AV221" s="293"/>
      <c r="AW221" s="293"/>
      <c r="AX221" s="293"/>
      <c r="AY221" s="293"/>
      <c r="AZ221" s="293"/>
      <c r="BA221" s="293"/>
      <c r="BB221" s="293"/>
      <c r="BC221" s="293"/>
      <c r="BD221" s="293"/>
      <c r="BE221" s="293"/>
      <c r="BF221" s="293"/>
      <c r="BG221" s="293"/>
      <c r="BH221" s="293"/>
      <c r="BI221" s="293"/>
      <c r="BJ221" s="293"/>
      <c r="BK221" s="293"/>
      <c r="BL221" s="293"/>
      <c r="BM221" s="293"/>
      <c r="BN221" s="293"/>
      <c r="BO221" s="293"/>
      <c r="BP221" s="293"/>
      <c r="BQ221" s="293"/>
      <c r="BR221" s="293"/>
      <c r="BS221" s="293"/>
      <c r="BT221" s="293"/>
      <c r="BU221" s="293"/>
      <c r="BV221" s="293"/>
      <c r="BW221" s="293"/>
      <c r="BX221" s="293"/>
      <c r="BY221" s="293"/>
      <c r="BZ221" s="293"/>
      <c r="CA221" s="293"/>
      <c r="CB221" s="293"/>
      <c r="CC221" s="293"/>
      <c r="CD221" s="293"/>
      <c r="CE221" s="293"/>
      <c r="CF221" s="293"/>
      <c r="CG221" s="293"/>
      <c r="CH221" s="293"/>
      <c r="CI221" s="293"/>
      <c r="CJ221" s="293"/>
      <c r="CK221" s="293"/>
      <c r="CL221" s="293"/>
      <c r="CM221" s="293"/>
      <c r="CN221" s="293"/>
      <c r="CO221" s="293"/>
      <c r="CP221" s="293"/>
      <c r="CQ221" s="293"/>
      <c r="CR221" s="293"/>
      <c r="CS221" s="293"/>
      <c r="CT221" s="293"/>
      <c r="CU221" s="293"/>
      <c r="CV221" s="293"/>
      <c r="CW221" s="293"/>
      <c r="CX221" s="293"/>
      <c r="CY221" s="293"/>
      <c r="CZ221" s="293"/>
      <c r="DA221" s="293"/>
      <c r="DB221" s="293"/>
      <c r="DC221" s="293"/>
      <c r="DD221" s="293"/>
      <c r="DE221" s="293"/>
      <c r="DF221" s="293"/>
      <c r="DG221" s="293"/>
      <c r="DH221" s="293"/>
      <c r="DI221" s="293"/>
      <c r="DJ221" s="293"/>
      <c r="DK221" s="293"/>
      <c r="DL221" s="293"/>
      <c r="DM221" s="293"/>
      <c r="DN221" s="293"/>
      <c r="DO221" s="293"/>
      <c r="DP221" s="293"/>
      <c r="DQ221" s="293"/>
      <c r="DR221" s="293"/>
      <c r="DS221" s="288"/>
      <c r="DT221" s="288"/>
      <c r="DU221" s="288"/>
      <c r="DV221" s="288"/>
      <c r="DW221" s="288"/>
      <c r="DX221" s="288"/>
      <c r="DY221" s="288"/>
      <c r="DZ221" s="288"/>
      <c r="EA221" s="288"/>
      <c r="EB221" s="288"/>
      <c r="EC221" s="288"/>
      <c r="ED221" s="288"/>
      <c r="EE221" s="288"/>
      <c r="EF221" s="288"/>
      <c r="EG221" s="288"/>
      <c r="EH221" s="288"/>
      <c r="EI221" s="288"/>
      <c r="EJ221" s="288"/>
      <c r="EK221" s="288"/>
      <c r="EL221" s="288"/>
      <c r="EM221" s="288"/>
      <c r="EN221" s="288"/>
      <c r="EO221" s="288"/>
      <c r="EP221" s="288"/>
      <c r="EQ221" s="288"/>
      <c r="ER221" s="288"/>
      <c r="ES221" s="288"/>
      <c r="ET221" s="288"/>
      <c r="EU221" s="288"/>
      <c r="EV221" s="288"/>
      <c r="EW221" s="288"/>
      <c r="EX221" s="288"/>
      <c r="EY221" s="288"/>
      <c r="EZ221" s="288"/>
      <c r="FA221" s="288"/>
      <c r="FB221" s="288"/>
      <c r="FC221" s="288"/>
      <c r="FD221" s="288"/>
      <c r="FE221" s="288"/>
      <c r="FF221" s="288"/>
      <c r="FG221" s="288"/>
      <c r="FH221" s="288"/>
    </row>
    <row r="222" ht="14.25" customHeight="1">
      <c r="A222" s="293"/>
      <c r="B222" s="293"/>
      <c r="C222" s="293"/>
      <c r="D222" s="293"/>
      <c r="E222" s="293"/>
      <c r="F222" s="293"/>
      <c r="G222" s="293"/>
      <c r="H222" s="293"/>
      <c r="I222" s="293"/>
      <c r="J222" s="293"/>
      <c r="K222" s="293"/>
      <c r="L222" s="293"/>
      <c r="M222" s="293"/>
      <c r="N222" s="293"/>
      <c r="O222" s="293"/>
      <c r="P222" s="293"/>
      <c r="Q222" s="293"/>
      <c r="R222" s="293"/>
      <c r="S222" s="293"/>
      <c r="T222" s="293"/>
      <c r="U222" s="293"/>
      <c r="V222" s="293"/>
      <c r="W222" s="293"/>
      <c r="X222" s="293"/>
      <c r="Y222" s="293"/>
      <c r="Z222" s="293"/>
      <c r="AA222" s="293"/>
      <c r="AB222" s="293"/>
      <c r="AC222" s="293"/>
      <c r="AD222" s="293"/>
      <c r="AE222" s="293"/>
      <c r="AF222" s="293"/>
      <c r="AG222" s="293"/>
      <c r="AH222" s="293"/>
      <c r="AI222" s="293"/>
      <c r="AJ222" s="293"/>
      <c r="AK222" s="293"/>
      <c r="AL222" s="293"/>
      <c r="AM222" s="293"/>
      <c r="AN222" s="293"/>
      <c r="AO222" s="293"/>
      <c r="AP222" s="293"/>
      <c r="AQ222" s="293"/>
      <c r="AR222" s="293"/>
      <c r="AS222" s="293"/>
      <c r="AT222" s="293"/>
      <c r="AU222" s="293"/>
      <c r="AV222" s="293"/>
      <c r="AW222" s="293"/>
      <c r="AX222" s="293"/>
      <c r="AY222" s="293"/>
      <c r="AZ222" s="293"/>
      <c r="BA222" s="293"/>
      <c r="BB222" s="293"/>
      <c r="BC222" s="293"/>
      <c r="BD222" s="293"/>
      <c r="BE222" s="293"/>
      <c r="BF222" s="293"/>
      <c r="BG222" s="293"/>
      <c r="BH222" s="293"/>
      <c r="BI222" s="293"/>
      <c r="BJ222" s="293"/>
      <c r="BK222" s="293"/>
      <c r="BL222" s="293"/>
      <c r="BM222" s="293"/>
      <c r="BN222" s="293"/>
      <c r="BO222" s="293"/>
      <c r="BP222" s="293"/>
      <c r="BQ222" s="293"/>
      <c r="BR222" s="293"/>
      <c r="BS222" s="293"/>
      <c r="BT222" s="293"/>
      <c r="BU222" s="293"/>
      <c r="BV222" s="293"/>
      <c r="BW222" s="293"/>
      <c r="BX222" s="293"/>
      <c r="BY222" s="293"/>
      <c r="BZ222" s="293"/>
      <c r="CA222" s="293"/>
      <c r="CB222" s="293"/>
      <c r="CC222" s="293"/>
      <c r="CD222" s="293"/>
      <c r="CE222" s="293"/>
      <c r="CF222" s="293"/>
      <c r="CG222" s="293"/>
      <c r="CH222" s="293"/>
      <c r="CI222" s="293"/>
      <c r="CJ222" s="293"/>
      <c r="CK222" s="293"/>
      <c r="CL222" s="293"/>
      <c r="CM222" s="293"/>
      <c r="CN222" s="293"/>
      <c r="CO222" s="293"/>
      <c r="CP222" s="293"/>
      <c r="CQ222" s="293"/>
      <c r="CR222" s="293"/>
      <c r="CS222" s="293"/>
      <c r="CT222" s="293"/>
      <c r="CU222" s="293"/>
      <c r="CV222" s="293"/>
      <c r="CW222" s="293"/>
      <c r="CX222" s="293"/>
      <c r="CY222" s="293"/>
      <c r="CZ222" s="293"/>
      <c r="DA222" s="293"/>
      <c r="DB222" s="293"/>
      <c r="DC222" s="293"/>
      <c r="DD222" s="293"/>
      <c r="DE222" s="293"/>
      <c r="DF222" s="293"/>
      <c r="DG222" s="293"/>
      <c r="DH222" s="293"/>
      <c r="DI222" s="293"/>
      <c r="DJ222" s="293"/>
      <c r="DK222" s="293"/>
      <c r="DL222" s="293"/>
      <c r="DM222" s="293"/>
      <c r="DN222" s="293"/>
      <c r="DO222" s="293"/>
      <c r="DP222" s="293"/>
      <c r="DQ222" s="293"/>
      <c r="DR222" s="293"/>
      <c r="DS222" s="288"/>
      <c r="DT222" s="288"/>
      <c r="DU222" s="288"/>
      <c r="DV222" s="288"/>
      <c r="DW222" s="288"/>
      <c r="DX222" s="288"/>
      <c r="DY222" s="288"/>
      <c r="DZ222" s="288"/>
      <c r="EA222" s="288"/>
      <c r="EB222" s="288"/>
      <c r="EC222" s="288"/>
      <c r="ED222" s="288"/>
      <c r="EE222" s="288"/>
      <c r="EF222" s="288"/>
      <c r="EG222" s="288"/>
      <c r="EH222" s="288"/>
      <c r="EI222" s="288"/>
      <c r="EJ222" s="288"/>
      <c r="EK222" s="288"/>
      <c r="EL222" s="288"/>
      <c r="EM222" s="288"/>
      <c r="EN222" s="288"/>
      <c r="EO222" s="288"/>
      <c r="EP222" s="288"/>
      <c r="EQ222" s="288"/>
      <c r="ER222" s="288"/>
      <c r="ES222" s="288"/>
      <c r="ET222" s="288"/>
      <c r="EU222" s="288"/>
      <c r="EV222" s="288"/>
      <c r="EW222" s="288"/>
      <c r="EX222" s="288"/>
      <c r="EY222" s="288"/>
      <c r="EZ222" s="288"/>
      <c r="FA222" s="288"/>
      <c r="FB222" s="288"/>
      <c r="FC222" s="288"/>
      <c r="FD222" s="288"/>
      <c r="FE222" s="288"/>
      <c r="FF222" s="288"/>
      <c r="FG222" s="288"/>
      <c r="FH222" s="288"/>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CI1:CT1"/>
    <mergeCell ref="CU1:DF1"/>
    <mergeCell ref="DG1:DR1"/>
    <mergeCell ref="DS1:ED1"/>
    <mergeCell ref="EE1:EP1"/>
    <mergeCell ref="C1:N1"/>
    <mergeCell ref="O1:Z1"/>
    <mergeCell ref="AA1:AL1"/>
    <mergeCell ref="AM1:AX1"/>
    <mergeCell ref="AY1:BJ1"/>
    <mergeCell ref="BK1:BV1"/>
    <mergeCell ref="BW1:CH1"/>
    <mergeCell ref="M13:N13"/>
    <mergeCell ref="O13:P13"/>
    <mergeCell ref="Q13:R13"/>
    <mergeCell ref="S13:T13"/>
    <mergeCell ref="U13:V13"/>
    <mergeCell ref="W13:X13"/>
    <mergeCell ref="Y13:Z13"/>
    <mergeCell ref="C35:D35"/>
    <mergeCell ref="G36:G37"/>
    <mergeCell ref="B2:B3"/>
    <mergeCell ref="B13:B14"/>
    <mergeCell ref="C13:D13"/>
    <mergeCell ref="E13:F13"/>
    <mergeCell ref="G13:H13"/>
    <mergeCell ref="I13:J13"/>
    <mergeCell ref="K13:L13"/>
  </mergeCell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2" max="2" width="23.71"/>
  </cols>
  <sheetData>
    <row r="2">
      <c r="A2" s="330" t="s">
        <v>10</v>
      </c>
      <c r="B2" s="331"/>
      <c r="C2" s="147" t="s">
        <v>83</v>
      </c>
      <c r="D2" s="147" t="s">
        <v>84</v>
      </c>
      <c r="E2" s="147" t="s">
        <v>85</v>
      </c>
      <c r="F2" s="147" t="s">
        <v>86</v>
      </c>
      <c r="G2" s="147" t="s">
        <v>87</v>
      </c>
      <c r="H2" s="147" t="s">
        <v>88</v>
      </c>
      <c r="I2" s="147" t="s">
        <v>89</v>
      </c>
      <c r="J2" s="147" t="s">
        <v>90</v>
      </c>
      <c r="K2" s="147" t="s">
        <v>91</v>
      </c>
      <c r="L2" s="147" t="s">
        <v>92</v>
      </c>
      <c r="M2" s="147" t="s">
        <v>93</v>
      </c>
      <c r="N2" s="147" t="s">
        <v>94</v>
      </c>
      <c r="P2" s="155" t="s">
        <v>408</v>
      </c>
    </row>
    <row r="3">
      <c r="A3" s="332" t="s">
        <v>21</v>
      </c>
      <c r="B3" s="333" t="s">
        <v>409</v>
      </c>
      <c r="C3" s="334">
        <f>'Variability in transit times'!F28</f>
        <v>5.133333333</v>
      </c>
      <c r="D3" s="159">
        <f>'Variability in transit times'!F25</f>
        <v>0.5</v>
      </c>
      <c r="E3" s="159">
        <f t="shared" ref="E3:E5" si="1">D3</f>
        <v>0.5</v>
      </c>
      <c r="F3" s="159">
        <f>'Variability in transit times'!$F$25</f>
        <v>0.5</v>
      </c>
      <c r="G3" s="159">
        <f>'Variability in transit times'!$F$25</f>
        <v>0.5</v>
      </c>
      <c r="H3" s="159">
        <f>'Variability in transit times'!$F$25</f>
        <v>0.5</v>
      </c>
      <c r="I3" s="159">
        <f>'Variability in transit times'!$F$25</f>
        <v>0.5</v>
      </c>
      <c r="J3" s="159">
        <f>'Variability in transit times'!$F$25</f>
        <v>0.5</v>
      </c>
      <c r="K3" s="158">
        <f>'Variability in transit times'!F28</f>
        <v>5.133333333</v>
      </c>
      <c r="L3" s="159">
        <f>'Variability in transit times'!$F$25</f>
        <v>0.5</v>
      </c>
      <c r="M3" s="159">
        <f>'Variability in transit times'!$F$25</f>
        <v>0.5</v>
      </c>
      <c r="N3" s="158">
        <f>K3</f>
        <v>5.133333333</v>
      </c>
      <c r="O3" s="247">
        <f>MAX(C3:N3)</f>
        <v>5.133333333</v>
      </c>
    </row>
    <row r="4">
      <c r="A4" s="335"/>
      <c r="B4" s="333" t="s">
        <v>410</v>
      </c>
      <c r="C4" s="336">
        <f>'Variability in transit times'!H28</f>
        <v>939174</v>
      </c>
      <c r="D4" s="160">
        <f>'Variability in transit times'!H25</f>
        <v>47856</v>
      </c>
      <c r="E4" s="160">
        <f t="shared" si="1"/>
        <v>47856</v>
      </c>
      <c r="F4" s="162">
        <f>'Variability in transit times'!$H$25</f>
        <v>47856</v>
      </c>
      <c r="G4" s="162">
        <f>'Variability in transit times'!$H$25</f>
        <v>47856</v>
      </c>
      <c r="H4" s="162">
        <f>'Variability in transit times'!$H$25</f>
        <v>47856</v>
      </c>
      <c r="I4" s="162">
        <f>'Variability in transit times'!$H$25</f>
        <v>47856</v>
      </c>
      <c r="J4" s="162">
        <f>'Variability in transit times'!$H$25</f>
        <v>47856</v>
      </c>
      <c r="K4" s="160">
        <f>'Variability in transit times'!$H$28</f>
        <v>939174</v>
      </c>
      <c r="L4" s="162">
        <f>'Variability in transit times'!$H$25</f>
        <v>47856</v>
      </c>
      <c r="M4" s="162">
        <f>'Variability in transit times'!$H$25</f>
        <v>47856</v>
      </c>
      <c r="N4" s="160">
        <f>'Variability in transit times'!$H$28</f>
        <v>939174</v>
      </c>
      <c r="P4" s="337">
        <f>SUM(C4:N4)</f>
        <v>3248226</v>
      </c>
    </row>
    <row r="5">
      <c r="A5" s="335"/>
      <c r="B5" s="333" t="s">
        <v>411</v>
      </c>
      <c r="C5" s="338">
        <f>'Variability in transit times'!G28</f>
        <v>0.2566666667</v>
      </c>
      <c r="D5" s="159">
        <f>'Variability in transit times'!G25</f>
        <v>0.025</v>
      </c>
      <c r="E5" s="159">
        <f t="shared" si="1"/>
        <v>0.025</v>
      </c>
      <c r="F5" s="159">
        <f t="shared" ref="F5:J5" si="2">E5</f>
        <v>0.025</v>
      </c>
      <c r="G5" s="159">
        <f t="shared" si="2"/>
        <v>0.025</v>
      </c>
      <c r="H5" s="159">
        <f t="shared" si="2"/>
        <v>0.025</v>
      </c>
      <c r="I5" s="159">
        <f t="shared" si="2"/>
        <v>0.025</v>
      </c>
      <c r="J5" s="159">
        <f t="shared" si="2"/>
        <v>0.025</v>
      </c>
      <c r="K5" s="159">
        <f>'Variability in transit times'!G28</f>
        <v>0.2566666667</v>
      </c>
      <c r="L5" s="159">
        <f>J5</f>
        <v>0.025</v>
      </c>
      <c r="M5" s="159">
        <f>L5</f>
        <v>0.025</v>
      </c>
      <c r="N5" s="159">
        <f>'Variability in transit times'!G28</f>
        <v>0.2566666667</v>
      </c>
    </row>
    <row r="6">
      <c r="A6" s="339"/>
      <c r="B6" s="333" t="s">
        <v>412</v>
      </c>
      <c r="C6" s="336">
        <v>387.0</v>
      </c>
      <c r="D6" s="160">
        <v>435.0</v>
      </c>
      <c r="E6" s="160">
        <v>528.0</v>
      </c>
      <c r="F6" s="160">
        <v>404.0</v>
      </c>
      <c r="G6" s="160">
        <v>408.0</v>
      </c>
      <c r="H6" s="160">
        <v>365.0</v>
      </c>
      <c r="I6" s="160">
        <v>290.0</v>
      </c>
      <c r="J6" s="160">
        <v>323.0</v>
      </c>
      <c r="K6" s="160">
        <v>485.0</v>
      </c>
      <c r="L6" s="160">
        <v>266.0</v>
      </c>
      <c r="M6" s="160">
        <v>268.0</v>
      </c>
      <c r="N6" s="160">
        <v>338.0</v>
      </c>
    </row>
    <row r="7">
      <c r="A7" s="340" t="s">
        <v>23</v>
      </c>
      <c r="B7" s="333" t="s">
        <v>409</v>
      </c>
      <c r="C7" s="334">
        <f>'Variability in transit times'!F31</f>
        <v>111</v>
      </c>
      <c r="D7" s="158">
        <f>'Variability in transit times'!F30</f>
        <v>135</v>
      </c>
      <c r="E7" s="158">
        <f>'Variability in transit times'!F31</f>
        <v>111</v>
      </c>
      <c r="F7" s="158">
        <f>'Variability in transit times'!F31</f>
        <v>111</v>
      </c>
      <c r="G7" s="158">
        <f t="shared" ref="G7:G8" si="3">F7</f>
        <v>111</v>
      </c>
      <c r="H7" s="158">
        <f>'Variability in transit times'!F32</f>
        <v>98</v>
      </c>
      <c r="I7" s="158">
        <f>'Variability in transit times'!F35</f>
        <v>146</v>
      </c>
      <c r="J7" s="158">
        <f t="shared" ref="J7:J8" si="4">F7</f>
        <v>111</v>
      </c>
      <c r="K7" s="158">
        <f t="shared" ref="K7:K8" si="5">J7</f>
        <v>111</v>
      </c>
      <c r="L7" s="158">
        <f>'Variability in transit times'!F33</f>
        <v>170</v>
      </c>
      <c r="M7" s="158">
        <f t="shared" ref="M7:M8" si="6">K7</f>
        <v>111</v>
      </c>
      <c r="N7" s="158">
        <f t="shared" ref="N7:N8" si="7">K7</f>
        <v>111</v>
      </c>
      <c r="O7" s="247">
        <f>MAX(C7:N7)</f>
        <v>170</v>
      </c>
    </row>
    <row r="8">
      <c r="A8" s="335"/>
      <c r="B8" s="333" t="s">
        <v>410</v>
      </c>
      <c r="C8" s="336">
        <f>'Variability in transit times'!H31</f>
        <v>3909235</v>
      </c>
      <c r="D8" s="160">
        <f>'Variability in transit times'!H30</f>
        <v>2558772</v>
      </c>
      <c r="E8" s="160">
        <f>'Variability in transit times'!H31</f>
        <v>3909235</v>
      </c>
      <c r="F8" s="160">
        <f>'Variability in transit times'!H31</f>
        <v>3909235</v>
      </c>
      <c r="G8" s="160">
        <f t="shared" si="3"/>
        <v>3909235</v>
      </c>
      <c r="H8" s="160">
        <f>'Variability in transit times'!H32</f>
        <v>251651</v>
      </c>
      <c r="I8" s="162">
        <f>'Variability in transit times'!H35</f>
        <v>251651</v>
      </c>
      <c r="J8" s="162">
        <f t="shared" si="4"/>
        <v>3909235</v>
      </c>
      <c r="K8" s="162">
        <f t="shared" si="5"/>
        <v>3909235</v>
      </c>
      <c r="L8" s="162">
        <f>'Variability in transit times'!H33</f>
        <v>249730</v>
      </c>
      <c r="M8" s="162">
        <f t="shared" si="6"/>
        <v>3909235</v>
      </c>
      <c r="N8" s="162">
        <f t="shared" si="7"/>
        <v>3909235</v>
      </c>
      <c r="P8" s="337">
        <f>SUM(C8:N8)</f>
        <v>34585684</v>
      </c>
    </row>
    <row r="9">
      <c r="A9" s="335"/>
      <c r="B9" s="333" t="s">
        <v>411</v>
      </c>
      <c r="C9" s="338">
        <f>'Variability in transit times'!G31</f>
        <v>10.35</v>
      </c>
      <c r="D9" s="159">
        <f>'Variability in transit times'!G30</f>
        <v>12.75</v>
      </c>
      <c r="E9" s="159">
        <f>'Variability in transit times'!G31</f>
        <v>10.35</v>
      </c>
      <c r="F9" s="159">
        <f t="shared" ref="F9:G9" si="8">E9</f>
        <v>10.35</v>
      </c>
      <c r="G9" s="159">
        <f t="shared" si="8"/>
        <v>10.35</v>
      </c>
      <c r="H9" s="159">
        <f>'Variability in transit times'!G32</f>
        <v>28.9</v>
      </c>
      <c r="I9" s="159">
        <f>'Variability in transit times'!G35</f>
        <v>14.5</v>
      </c>
      <c r="J9" s="159">
        <f>'Variability in transit times'!G31</f>
        <v>10.35</v>
      </c>
      <c r="K9" s="159">
        <f>'Variability in transit times'!G31</f>
        <v>10.35</v>
      </c>
      <c r="L9" s="159">
        <f>'Variability in transit times'!G33</f>
        <v>16.9</v>
      </c>
      <c r="M9" s="159">
        <f>'Variability in transit times'!G31</f>
        <v>10.35</v>
      </c>
      <c r="N9" s="159">
        <f>M9</f>
        <v>10.35</v>
      </c>
    </row>
    <row r="10">
      <c r="A10" s="339"/>
      <c r="B10" s="333" t="s">
        <v>412</v>
      </c>
      <c r="C10" s="341">
        <v>335.0</v>
      </c>
      <c r="D10" s="342">
        <v>403.0</v>
      </c>
      <c r="E10" s="342">
        <v>386.0</v>
      </c>
      <c r="F10" s="342">
        <v>386.0</v>
      </c>
      <c r="G10" s="342">
        <v>395.0</v>
      </c>
      <c r="H10" s="342">
        <v>438.0</v>
      </c>
      <c r="I10" s="342">
        <v>858.0</v>
      </c>
      <c r="J10" s="342">
        <v>412.0</v>
      </c>
      <c r="K10" s="342">
        <v>378.0</v>
      </c>
      <c r="L10" s="342">
        <v>369.0</v>
      </c>
      <c r="M10" s="342">
        <v>395.0</v>
      </c>
      <c r="N10" s="342">
        <v>352.0</v>
      </c>
    </row>
    <row r="11">
      <c r="A11" s="340" t="s">
        <v>25</v>
      </c>
      <c r="B11" s="333" t="s">
        <v>409</v>
      </c>
      <c r="C11" s="338">
        <f>'Variability in transit times'!F25</f>
        <v>0.5</v>
      </c>
      <c r="D11" s="159">
        <f t="shared" ref="D11:D12" si="9">D3</f>
        <v>0.5</v>
      </c>
      <c r="E11" s="158">
        <f>'Variability in transit times'!F26</f>
        <v>3</v>
      </c>
      <c r="F11" s="158">
        <f>'Variability in transit times'!$F$26</f>
        <v>3</v>
      </c>
      <c r="G11" s="158">
        <f>'Variability in transit times'!$F$26</f>
        <v>3</v>
      </c>
      <c r="H11" s="158">
        <f>'Variability in transit times'!$F$26</f>
        <v>3</v>
      </c>
      <c r="I11" s="158">
        <f>'Variability in transit times'!F34</f>
        <v>41</v>
      </c>
      <c r="J11" s="158">
        <f>'Variability in transit times'!F26</f>
        <v>3</v>
      </c>
      <c r="K11" s="158">
        <f>'Variability in transit times'!$F$26</f>
        <v>3</v>
      </c>
      <c r="L11" s="158">
        <f>'Variability in transit times'!$F$26</f>
        <v>3</v>
      </c>
      <c r="M11" s="158">
        <f>'Variability in transit times'!F26</f>
        <v>3</v>
      </c>
      <c r="N11" s="158">
        <f>'Variability in transit times'!$F$26</f>
        <v>3</v>
      </c>
      <c r="O11" s="343">
        <f>MAX(C11:N11)</f>
        <v>41</v>
      </c>
    </row>
    <row r="12">
      <c r="A12" s="335"/>
      <c r="B12" s="333" t="s">
        <v>410</v>
      </c>
      <c r="C12" s="334">
        <f>'Variability in transit times'!H25</f>
        <v>47856</v>
      </c>
      <c r="D12" s="160">
        <f t="shared" si="9"/>
        <v>47856</v>
      </c>
      <c r="E12" s="160">
        <f>'Variability in transit times'!H26</f>
        <v>538380</v>
      </c>
      <c r="F12" s="160">
        <f>'Variability in transit times'!$H$26</f>
        <v>538380</v>
      </c>
      <c r="G12" s="160">
        <f>'Variability in transit times'!$H$26</f>
        <v>538380</v>
      </c>
      <c r="H12" s="160">
        <f>'Variability in transit times'!$H$26</f>
        <v>538380</v>
      </c>
      <c r="I12" s="160">
        <f>'Variability in transit times'!H34</f>
        <v>3945734</v>
      </c>
      <c r="J12" s="160">
        <f>'Variability in transit times'!H26</f>
        <v>538380</v>
      </c>
      <c r="K12" s="160">
        <f>'Variability in transit times'!$H$26</f>
        <v>538380</v>
      </c>
      <c r="L12" s="160">
        <f>'Variability in transit times'!$H$26</f>
        <v>538380</v>
      </c>
      <c r="M12" s="160">
        <f>'Variability in transit times'!H26</f>
        <v>538380</v>
      </c>
      <c r="N12" s="160">
        <f>'Variability in transit times'!$H$26</f>
        <v>538380</v>
      </c>
      <c r="P12" s="247">
        <f>SUM(C12:N12)</f>
        <v>8886866</v>
      </c>
    </row>
    <row r="13">
      <c r="A13" s="335"/>
      <c r="B13" s="333" t="s">
        <v>411</v>
      </c>
      <c r="C13" s="338">
        <f>'Variability in transit times'!G25</f>
        <v>0.025</v>
      </c>
      <c r="D13" s="159">
        <f>C13</f>
        <v>0.025</v>
      </c>
      <c r="E13" s="159">
        <f>'Variability in transit times'!G26</f>
        <v>0.15</v>
      </c>
      <c r="F13" s="159">
        <f>E13</f>
        <v>0.15</v>
      </c>
      <c r="G13" s="159">
        <f>C13</f>
        <v>0.025</v>
      </c>
      <c r="H13" s="159">
        <f>C13</f>
        <v>0.025</v>
      </c>
      <c r="I13" s="159">
        <f>'Variability in transit times'!G34</f>
        <v>2.05</v>
      </c>
      <c r="J13" s="159">
        <f>'Variability in transit times'!G26</f>
        <v>0.15</v>
      </c>
      <c r="K13" s="159">
        <f>C13</f>
        <v>0.025</v>
      </c>
      <c r="L13" s="159">
        <f>K13</f>
        <v>0.025</v>
      </c>
      <c r="M13" s="159">
        <f>'Variability in transit times'!G26</f>
        <v>0.15</v>
      </c>
      <c r="N13" s="159">
        <f>L13</f>
        <v>0.025</v>
      </c>
    </row>
    <row r="14">
      <c r="A14" s="339"/>
      <c r="B14" s="333" t="s">
        <v>412</v>
      </c>
      <c r="C14" s="341">
        <v>1260.0</v>
      </c>
      <c r="D14" s="342">
        <v>1176.0</v>
      </c>
      <c r="E14" s="342">
        <v>1008.0</v>
      </c>
      <c r="F14" s="342">
        <v>1092.0</v>
      </c>
      <c r="G14" s="342">
        <v>1056.0</v>
      </c>
      <c r="H14" s="342">
        <v>504.0</v>
      </c>
      <c r="I14" s="342">
        <v>858.0</v>
      </c>
      <c r="J14" s="342">
        <v>804.0</v>
      </c>
      <c r="K14" s="342">
        <v>420.0</v>
      </c>
      <c r="L14" s="342">
        <v>840.0</v>
      </c>
      <c r="M14" s="342">
        <v>840.0</v>
      </c>
      <c r="N14" s="342">
        <v>1261.0</v>
      </c>
    </row>
    <row r="15">
      <c r="A15" s="340" t="s">
        <v>27</v>
      </c>
      <c r="B15" s="333" t="s">
        <v>409</v>
      </c>
      <c r="C15" s="338">
        <f>'Variability in transit times'!F25</f>
        <v>0.5</v>
      </c>
      <c r="D15" s="159">
        <f t="shared" ref="D15:D16" si="11">D11</f>
        <v>0.5</v>
      </c>
      <c r="E15" s="159">
        <f>'Variability in transit times'!F29</f>
        <v>22.41666667</v>
      </c>
      <c r="F15" s="159">
        <f t="shared" ref="F15:K15" si="10">E15</f>
        <v>22.41666667</v>
      </c>
      <c r="G15" s="159">
        <f t="shared" si="10"/>
        <v>22.41666667</v>
      </c>
      <c r="H15" s="159">
        <f t="shared" si="10"/>
        <v>22.41666667</v>
      </c>
      <c r="I15" s="159">
        <f t="shared" si="10"/>
        <v>22.41666667</v>
      </c>
      <c r="J15" s="159">
        <f t="shared" si="10"/>
        <v>22.41666667</v>
      </c>
      <c r="K15" s="159">
        <f t="shared" si="10"/>
        <v>22.41666667</v>
      </c>
      <c r="L15" s="147">
        <v>0.0</v>
      </c>
      <c r="M15" s="147">
        <v>0.0</v>
      </c>
      <c r="N15" s="147">
        <v>0.0</v>
      </c>
      <c r="O15" s="343">
        <f>MAX(C15:N15)</f>
        <v>22.41666667</v>
      </c>
    </row>
    <row r="16">
      <c r="A16" s="335"/>
      <c r="B16" s="333" t="s">
        <v>410</v>
      </c>
      <c r="C16" s="334">
        <f>'Variability in transit times'!H25</f>
        <v>47856</v>
      </c>
      <c r="D16" s="160">
        <f t="shared" si="11"/>
        <v>47856</v>
      </c>
      <c r="E16" s="160">
        <f>'Variability in transit times'!H29</f>
        <v>3909235</v>
      </c>
      <c r="F16" s="160">
        <f t="shared" ref="F16:K16" si="12">E16</f>
        <v>3909235</v>
      </c>
      <c r="G16" s="160">
        <f t="shared" si="12"/>
        <v>3909235</v>
      </c>
      <c r="H16" s="160">
        <f t="shared" si="12"/>
        <v>3909235</v>
      </c>
      <c r="I16" s="160">
        <f t="shared" si="12"/>
        <v>3909235</v>
      </c>
      <c r="J16" s="160">
        <f t="shared" si="12"/>
        <v>3909235</v>
      </c>
      <c r="K16" s="160">
        <f t="shared" si="12"/>
        <v>3909235</v>
      </c>
      <c r="L16" s="147">
        <v>0.0</v>
      </c>
      <c r="M16" s="147">
        <v>0.0</v>
      </c>
      <c r="N16" s="147">
        <v>0.0</v>
      </c>
      <c r="P16" s="247">
        <f>SUM(C16:N16)</f>
        <v>27460357</v>
      </c>
    </row>
    <row r="17">
      <c r="A17" s="335"/>
      <c r="B17" s="333" t="s">
        <v>411</v>
      </c>
      <c r="C17" s="338">
        <f>C13</f>
        <v>0.025</v>
      </c>
      <c r="D17" s="159">
        <f>C17</f>
        <v>0.025</v>
      </c>
      <c r="E17" s="159">
        <f>'Variability in transit times'!G29</f>
        <v>1.120833333</v>
      </c>
      <c r="F17" s="159">
        <f t="shared" ref="F17:K17" si="13">E17</f>
        <v>1.120833333</v>
      </c>
      <c r="G17" s="159">
        <f t="shared" si="13"/>
        <v>1.120833333</v>
      </c>
      <c r="H17" s="159">
        <f t="shared" si="13"/>
        <v>1.120833333</v>
      </c>
      <c r="I17" s="159">
        <f t="shared" si="13"/>
        <v>1.120833333</v>
      </c>
      <c r="J17" s="159">
        <f t="shared" si="13"/>
        <v>1.120833333</v>
      </c>
      <c r="K17" s="159">
        <f t="shared" si="13"/>
        <v>1.120833333</v>
      </c>
      <c r="L17" s="147">
        <v>0.0</v>
      </c>
      <c r="M17" s="147">
        <v>0.0</v>
      </c>
      <c r="N17" s="147">
        <v>0.0</v>
      </c>
    </row>
    <row r="18">
      <c r="A18" s="339"/>
      <c r="B18" s="333" t="s">
        <v>412</v>
      </c>
      <c r="C18" s="341">
        <v>259.0</v>
      </c>
      <c r="D18" s="342">
        <v>311.0</v>
      </c>
      <c r="E18" s="342">
        <v>400.0</v>
      </c>
      <c r="F18" s="342">
        <v>390.0</v>
      </c>
      <c r="G18" s="342">
        <v>500.0</v>
      </c>
      <c r="H18" s="342">
        <v>430.0</v>
      </c>
      <c r="I18" s="342">
        <v>360.0</v>
      </c>
      <c r="J18" s="342">
        <v>320.0</v>
      </c>
      <c r="K18" s="342">
        <v>401.0</v>
      </c>
      <c r="L18" s="342">
        <v>0.0</v>
      </c>
      <c r="M18" s="342">
        <v>0.0</v>
      </c>
      <c r="N18" s="342">
        <v>0.0</v>
      </c>
    </row>
    <row r="19">
      <c r="A19" s="340" t="s">
        <v>29</v>
      </c>
      <c r="B19" s="333" t="s">
        <v>409</v>
      </c>
      <c r="C19" s="338">
        <f>'Variability in transit times'!F25</f>
        <v>0.5</v>
      </c>
      <c r="D19" s="158">
        <f>'Variability in transit times'!F27</f>
        <v>1.366666667</v>
      </c>
      <c r="E19" s="147">
        <v>0.0</v>
      </c>
      <c r="F19" s="147">
        <v>0.0</v>
      </c>
      <c r="G19" s="158">
        <f>'Variability in transit times'!F37</f>
        <v>16.5</v>
      </c>
      <c r="H19" s="158">
        <f>'Variability in transit times'!F34</f>
        <v>41</v>
      </c>
      <c r="I19" s="158">
        <f t="shared" ref="I19:N19" si="14">H19</f>
        <v>41</v>
      </c>
      <c r="J19" s="158">
        <f t="shared" si="14"/>
        <v>41</v>
      </c>
      <c r="K19" s="158">
        <f t="shared" si="14"/>
        <v>41</v>
      </c>
      <c r="L19" s="158">
        <f t="shared" si="14"/>
        <v>41</v>
      </c>
      <c r="M19" s="158">
        <f t="shared" si="14"/>
        <v>41</v>
      </c>
      <c r="N19" s="158">
        <f t="shared" si="14"/>
        <v>41</v>
      </c>
      <c r="O19" s="343">
        <f>MAX(C19:N19)</f>
        <v>41</v>
      </c>
    </row>
    <row r="20">
      <c r="A20" s="335"/>
      <c r="B20" s="333" t="s">
        <v>410</v>
      </c>
      <c r="C20" s="334">
        <f>'Variability in transit times'!H25</f>
        <v>47856</v>
      </c>
      <c r="D20" s="160">
        <f>'Variability in transit times'!H27</f>
        <v>219340</v>
      </c>
      <c r="E20" s="147">
        <v>0.0</v>
      </c>
      <c r="F20" s="147">
        <v>0.0</v>
      </c>
      <c r="G20" s="160">
        <f>'Variability in transit times'!H37</f>
        <v>284308</v>
      </c>
      <c r="H20" s="160">
        <f>'Variability in transit times'!H34</f>
        <v>3945734</v>
      </c>
      <c r="I20" s="160">
        <f t="shared" ref="I20:N20" si="15">H20</f>
        <v>3945734</v>
      </c>
      <c r="J20" s="160">
        <f t="shared" si="15"/>
        <v>3945734</v>
      </c>
      <c r="K20" s="160">
        <f t="shared" si="15"/>
        <v>3945734</v>
      </c>
      <c r="L20" s="160">
        <f t="shared" si="15"/>
        <v>3945734</v>
      </c>
      <c r="M20" s="160">
        <f t="shared" si="15"/>
        <v>3945734</v>
      </c>
      <c r="N20" s="160">
        <f t="shared" si="15"/>
        <v>3945734</v>
      </c>
      <c r="P20" s="247">
        <f>SUM(C20:N20)</f>
        <v>28171642</v>
      </c>
    </row>
    <row r="21">
      <c r="A21" s="335"/>
      <c r="B21" s="333" t="s">
        <v>411</v>
      </c>
      <c r="C21" s="338">
        <f>'Variability in transit times'!G25</f>
        <v>0.025</v>
      </c>
      <c r="D21" s="159">
        <f>'Variability in transit times'!G27</f>
        <v>0.06833333333</v>
      </c>
      <c r="E21" s="147">
        <v>0.0</v>
      </c>
      <c r="F21" s="147">
        <v>0.0</v>
      </c>
      <c r="G21" s="159">
        <f>'Variability in transit times'!G37</f>
        <v>0.7</v>
      </c>
      <c r="H21" s="159">
        <f>'Variability in transit times'!G34</f>
        <v>2.05</v>
      </c>
      <c r="I21" s="159">
        <f>$H$21</f>
        <v>2.05</v>
      </c>
      <c r="J21" s="159">
        <f t="shared" ref="J21:N21" si="16">I21</f>
        <v>2.05</v>
      </c>
      <c r="K21" s="159">
        <f t="shared" si="16"/>
        <v>2.05</v>
      </c>
      <c r="L21" s="159">
        <f t="shared" si="16"/>
        <v>2.05</v>
      </c>
      <c r="M21" s="159">
        <f t="shared" si="16"/>
        <v>2.05</v>
      </c>
      <c r="N21" s="159">
        <f t="shared" si="16"/>
        <v>2.05</v>
      </c>
    </row>
    <row r="22">
      <c r="A22" s="339"/>
      <c r="B22" s="333" t="s">
        <v>412</v>
      </c>
      <c r="C22" s="341">
        <v>140.0</v>
      </c>
      <c r="D22" s="342">
        <v>373.0</v>
      </c>
      <c r="E22" s="342">
        <v>0.0</v>
      </c>
      <c r="F22" s="342">
        <v>0.0</v>
      </c>
      <c r="G22" s="342">
        <v>0.0</v>
      </c>
      <c r="H22" s="342">
        <v>429.0</v>
      </c>
      <c r="I22" s="342">
        <v>429.0</v>
      </c>
      <c r="J22" s="342">
        <v>429.0</v>
      </c>
      <c r="K22" s="342">
        <v>343.0</v>
      </c>
      <c r="L22" s="342">
        <v>343.0</v>
      </c>
      <c r="M22" s="342">
        <v>429.0</v>
      </c>
      <c r="N22" s="342">
        <v>257.0</v>
      </c>
    </row>
    <row r="23">
      <c r="A23" s="340" t="s">
        <v>31</v>
      </c>
      <c r="B23" s="333" t="s">
        <v>409</v>
      </c>
      <c r="C23" s="338">
        <f>'Variability in transit times'!$F$25</f>
        <v>0.5</v>
      </c>
      <c r="D23" s="159">
        <f>'Variability in transit times'!F25</f>
        <v>0.5</v>
      </c>
      <c r="E23" s="158">
        <f>'Variability in transit times'!$F$31</f>
        <v>111</v>
      </c>
      <c r="F23" s="158">
        <f>'Variability in transit times'!$F$31</f>
        <v>111</v>
      </c>
      <c r="G23" s="158">
        <f>'Variability in transit times'!$F$31</f>
        <v>111</v>
      </c>
      <c r="H23" s="158">
        <f>'Variability in transit times'!$F$31</f>
        <v>111</v>
      </c>
      <c r="I23" s="158">
        <f>'Variability in transit times'!$F$31</f>
        <v>111</v>
      </c>
      <c r="J23" s="158">
        <f>'Variability in transit times'!$F$31</f>
        <v>111</v>
      </c>
      <c r="K23" s="158">
        <f>'Variability in transit times'!F40</f>
        <v>37</v>
      </c>
      <c r="L23" s="158">
        <f>'Variability in transit times'!$F$31</f>
        <v>111</v>
      </c>
      <c r="M23" s="158">
        <f>'Variability in transit times'!F33</f>
        <v>170</v>
      </c>
      <c r="N23" s="158">
        <f>'Variability in transit times'!$F$31</f>
        <v>111</v>
      </c>
      <c r="O23" s="343">
        <f>MAX(C23:N23)</f>
        <v>170</v>
      </c>
    </row>
    <row r="24">
      <c r="A24" s="335"/>
      <c r="B24" s="333" t="s">
        <v>410</v>
      </c>
      <c r="C24" s="334">
        <f>'Variability in transit times'!$H$25</f>
        <v>47856</v>
      </c>
      <c r="D24" s="160">
        <f>'Variability in transit times'!H25</f>
        <v>47856</v>
      </c>
      <c r="E24" s="160">
        <f>'Variability in transit times'!$H$31</f>
        <v>3909235</v>
      </c>
      <c r="F24" s="160">
        <f>'Variability in transit times'!$H$31</f>
        <v>3909235</v>
      </c>
      <c r="G24" s="160">
        <f>'Variability in transit times'!$H$31</f>
        <v>3909235</v>
      </c>
      <c r="H24" s="160">
        <f>'Variability in transit times'!$H$31</f>
        <v>3909235</v>
      </c>
      <c r="I24" s="160">
        <f>'Variability in transit times'!$H$31</f>
        <v>3909235</v>
      </c>
      <c r="J24" s="160">
        <f>'Variability in transit times'!$H$31</f>
        <v>3909235</v>
      </c>
      <c r="K24" s="160">
        <f>'Variability in transit times'!H40</f>
        <v>4276146</v>
      </c>
      <c r="L24" s="160">
        <f>'Variability in transit times'!$H$31</f>
        <v>3909235</v>
      </c>
      <c r="M24" s="160">
        <f>'Variability in transit times'!H33</f>
        <v>249730</v>
      </c>
      <c r="N24" s="160">
        <f>'Variability in transit times'!$H$31</f>
        <v>3909235</v>
      </c>
      <c r="P24" s="247">
        <f>SUM(C24:N24)</f>
        <v>35895468</v>
      </c>
    </row>
    <row r="25">
      <c r="A25" s="335"/>
      <c r="B25" s="333" t="s">
        <v>411</v>
      </c>
      <c r="C25" s="338">
        <f>'Variability in transit times'!G26</f>
        <v>0.15</v>
      </c>
      <c r="D25" s="159">
        <f>C25</f>
        <v>0.15</v>
      </c>
      <c r="E25" s="159">
        <f>'Variability in transit times'!G31</f>
        <v>10.35</v>
      </c>
      <c r="F25" s="159">
        <f t="shared" ref="F25:J25" si="17">E25</f>
        <v>10.35</v>
      </c>
      <c r="G25" s="159">
        <f t="shared" si="17"/>
        <v>10.35</v>
      </c>
      <c r="H25" s="159">
        <f t="shared" si="17"/>
        <v>10.35</v>
      </c>
      <c r="I25" s="159">
        <f t="shared" si="17"/>
        <v>10.35</v>
      </c>
      <c r="J25" s="159">
        <f t="shared" si="17"/>
        <v>10.35</v>
      </c>
      <c r="K25" s="159">
        <f>'Variability in transit times'!G40</f>
        <v>1.85</v>
      </c>
      <c r="L25" s="159">
        <f>J25</f>
        <v>10.35</v>
      </c>
      <c r="M25" s="159">
        <f>'Variability in transit times'!G26</f>
        <v>0.15</v>
      </c>
      <c r="N25" s="159">
        <f>L25</f>
        <v>10.35</v>
      </c>
    </row>
    <row r="26">
      <c r="A26" s="339"/>
      <c r="B26" s="333" t="s">
        <v>412</v>
      </c>
      <c r="C26" s="338">
        <v>372.0</v>
      </c>
      <c r="D26" s="147">
        <v>398.0</v>
      </c>
      <c r="E26" s="147">
        <v>480.0</v>
      </c>
      <c r="F26" s="147">
        <v>335.0</v>
      </c>
      <c r="G26" s="147">
        <v>335.0</v>
      </c>
      <c r="H26" s="147">
        <v>549.0</v>
      </c>
      <c r="I26" s="147">
        <v>343.0</v>
      </c>
      <c r="J26" s="147">
        <v>352.0</v>
      </c>
      <c r="K26" s="147">
        <v>292.0</v>
      </c>
      <c r="L26" s="147">
        <v>317.0</v>
      </c>
      <c r="M26" s="147">
        <v>275.0</v>
      </c>
      <c r="N26" s="147">
        <v>438.0</v>
      </c>
    </row>
    <row r="27">
      <c r="A27" s="340" t="s">
        <v>33</v>
      </c>
      <c r="B27" s="333" t="s">
        <v>409</v>
      </c>
      <c r="C27" s="334">
        <f>'Variability in transit times'!F26</f>
        <v>3</v>
      </c>
      <c r="D27" s="159">
        <f>'Variability in transit times'!F25</f>
        <v>0.5</v>
      </c>
      <c r="E27" s="158">
        <f>'Variability in transit times'!F26</f>
        <v>3</v>
      </c>
      <c r="F27" s="159">
        <f>D27</f>
        <v>0.5</v>
      </c>
      <c r="G27" s="159">
        <f>C11</f>
        <v>0.5</v>
      </c>
      <c r="H27" s="159">
        <f>C23</f>
        <v>0.5</v>
      </c>
      <c r="I27" s="159">
        <f>C23</f>
        <v>0.5</v>
      </c>
      <c r="J27" s="159">
        <f>C19</f>
        <v>0.5</v>
      </c>
      <c r="K27" s="344">
        <f>'Variability in transit times'!F25</f>
        <v>0.5</v>
      </c>
      <c r="L27" s="159">
        <f>C11</f>
        <v>0.5</v>
      </c>
      <c r="M27" s="158">
        <f>C27</f>
        <v>3</v>
      </c>
      <c r="N27" s="159">
        <f>C19</f>
        <v>0.5</v>
      </c>
      <c r="O27" s="247">
        <f>MAX(C27:N27)</f>
        <v>3</v>
      </c>
    </row>
    <row r="28">
      <c r="A28" s="335"/>
      <c r="B28" s="333" t="s">
        <v>410</v>
      </c>
      <c r="C28" s="336">
        <f>'Variability in transit times'!H26</f>
        <v>538380</v>
      </c>
      <c r="D28" s="160">
        <f>'Variability in transit times'!H25</f>
        <v>47856</v>
      </c>
      <c r="E28" s="160">
        <f>'Variability in transit times'!H26</f>
        <v>538380</v>
      </c>
      <c r="F28" s="160">
        <f>'Variability in transit times'!H25</f>
        <v>47856</v>
      </c>
      <c r="G28" s="160">
        <f t="shared" ref="G28:J28" si="18">F28</f>
        <v>47856</v>
      </c>
      <c r="H28" s="160">
        <f t="shared" si="18"/>
        <v>47856</v>
      </c>
      <c r="I28" s="160">
        <f t="shared" si="18"/>
        <v>47856</v>
      </c>
      <c r="J28" s="160">
        <f t="shared" si="18"/>
        <v>47856</v>
      </c>
      <c r="K28" s="160">
        <f>'Variability in transit times'!H25</f>
        <v>47856</v>
      </c>
      <c r="L28" s="160">
        <f>J28</f>
        <v>47856</v>
      </c>
      <c r="M28" s="160">
        <f>'Variability in transit times'!H26</f>
        <v>538380</v>
      </c>
      <c r="N28" s="160">
        <f t="shared" ref="N28:N29" si="21">L28</f>
        <v>47856</v>
      </c>
      <c r="P28" s="337">
        <f>SUM(C28:N28)</f>
        <v>2045844</v>
      </c>
    </row>
    <row r="29">
      <c r="A29" s="335"/>
      <c r="B29" s="333" t="s">
        <v>411</v>
      </c>
      <c r="C29" s="345">
        <f>'Variability in transit times'!G26</f>
        <v>0.15</v>
      </c>
      <c r="D29" s="159">
        <f>'Variability in transit times'!G25</f>
        <v>0.025</v>
      </c>
      <c r="E29" s="346">
        <f t="shared" ref="E29:F29" si="19">C29</f>
        <v>0.15</v>
      </c>
      <c r="F29" s="159">
        <f t="shared" si="19"/>
        <v>0.025</v>
      </c>
      <c r="G29" s="159">
        <f t="shared" ref="G29:J29" si="20">F29</f>
        <v>0.025</v>
      </c>
      <c r="H29" s="159">
        <f t="shared" si="20"/>
        <v>0.025</v>
      </c>
      <c r="I29" s="159">
        <f t="shared" si="20"/>
        <v>0.025</v>
      </c>
      <c r="J29" s="159">
        <f t="shared" si="20"/>
        <v>0.025</v>
      </c>
      <c r="K29" s="159">
        <f>'Variability in transit times'!G25</f>
        <v>0.025</v>
      </c>
      <c r="L29" s="159">
        <f>D29</f>
        <v>0.025</v>
      </c>
      <c r="M29" s="346">
        <f>C29</f>
        <v>0.15</v>
      </c>
      <c r="N29" s="159">
        <f t="shared" si="21"/>
        <v>0.025</v>
      </c>
    </row>
    <row r="30">
      <c r="A30" s="339"/>
      <c r="B30" s="333" t="s">
        <v>412</v>
      </c>
      <c r="C30" s="345">
        <v>905.0</v>
      </c>
      <c r="D30" s="147">
        <v>1101.0</v>
      </c>
      <c r="E30" s="147">
        <v>1023.0</v>
      </c>
      <c r="F30" s="147">
        <v>815.0</v>
      </c>
      <c r="G30" s="147">
        <v>749.0</v>
      </c>
      <c r="H30" s="147">
        <v>787.0</v>
      </c>
      <c r="I30" s="147">
        <v>623.0</v>
      </c>
      <c r="J30" s="147">
        <v>808.0</v>
      </c>
      <c r="K30" s="147">
        <v>1097.0</v>
      </c>
      <c r="L30" s="147">
        <v>336.0</v>
      </c>
      <c r="M30" s="147">
        <v>584.0</v>
      </c>
      <c r="N30" s="147">
        <v>771.0</v>
      </c>
    </row>
    <row r="31">
      <c r="A31" s="340" t="s">
        <v>35</v>
      </c>
      <c r="B31" s="333" t="s">
        <v>409</v>
      </c>
      <c r="C31" s="334">
        <f>'Variability in transit times'!F34</f>
        <v>41</v>
      </c>
      <c r="D31" s="158">
        <f>'Variability in transit times'!F34</f>
        <v>41</v>
      </c>
      <c r="E31" s="158">
        <f t="shared" ref="E31:E33" si="22">D31</f>
        <v>41</v>
      </c>
      <c r="F31" s="158">
        <f>C31</f>
        <v>41</v>
      </c>
      <c r="G31" s="158">
        <f>C31</f>
        <v>41</v>
      </c>
      <c r="H31" s="158">
        <f>E31</f>
        <v>41</v>
      </c>
      <c r="I31" s="158">
        <f>C31</f>
        <v>41</v>
      </c>
      <c r="J31" s="158">
        <f>C31</f>
        <v>41</v>
      </c>
      <c r="K31" s="158">
        <f>C27</f>
        <v>3</v>
      </c>
      <c r="L31" s="158">
        <f>C27</f>
        <v>3</v>
      </c>
      <c r="M31" s="159">
        <f>C11</f>
        <v>0.5</v>
      </c>
      <c r="N31" s="158">
        <f>C27</f>
        <v>3</v>
      </c>
      <c r="O31" s="247">
        <f>MAX(C31:N31)</f>
        <v>41</v>
      </c>
    </row>
    <row r="32">
      <c r="A32" s="335"/>
      <c r="B32" s="333" t="s">
        <v>410</v>
      </c>
      <c r="C32" s="336">
        <f>'Variability in transit times'!H34</f>
        <v>3945734</v>
      </c>
      <c r="D32" s="160">
        <f>'Variability in transit times'!H34</f>
        <v>3945734</v>
      </c>
      <c r="E32" s="160">
        <f t="shared" si="22"/>
        <v>3945734</v>
      </c>
      <c r="F32" s="160">
        <f t="shared" ref="F32:F33" si="24">D32</f>
        <v>3945734</v>
      </c>
      <c r="G32" s="160">
        <f t="shared" ref="G32:H32" si="23">D32</f>
        <v>3945734</v>
      </c>
      <c r="H32" s="160">
        <f t="shared" si="23"/>
        <v>3945734</v>
      </c>
      <c r="I32" s="160">
        <f>G32</f>
        <v>3945734</v>
      </c>
      <c r="J32" s="160">
        <f>G32</f>
        <v>3945734</v>
      </c>
      <c r="K32" s="160">
        <f>E12</f>
        <v>538380</v>
      </c>
      <c r="L32" s="160">
        <f>E12</f>
        <v>538380</v>
      </c>
      <c r="M32" s="160">
        <f>D4</f>
        <v>47856</v>
      </c>
      <c r="N32" s="160">
        <f t="shared" ref="N32:N33" si="26">L32</f>
        <v>538380</v>
      </c>
      <c r="P32" s="337">
        <f>SUM(C32:N32)</f>
        <v>33228868</v>
      </c>
    </row>
    <row r="33">
      <c r="A33" s="335"/>
      <c r="B33" s="333" t="s">
        <v>411</v>
      </c>
      <c r="C33" s="345">
        <f>'Variability in transit times'!G26</f>
        <v>0.15</v>
      </c>
      <c r="D33" s="159">
        <f>'Variability in transit times'!G34</f>
        <v>2.05</v>
      </c>
      <c r="E33" s="159">
        <f t="shared" si="22"/>
        <v>2.05</v>
      </c>
      <c r="F33" s="159">
        <f t="shared" si="24"/>
        <v>2.05</v>
      </c>
      <c r="G33" s="159">
        <f>F33</f>
        <v>2.05</v>
      </c>
      <c r="H33" s="159">
        <f t="shared" ref="H33:I33" si="25">E33</f>
        <v>2.05</v>
      </c>
      <c r="I33" s="159">
        <f t="shared" si="25"/>
        <v>2.05</v>
      </c>
      <c r="J33" s="159">
        <f>I33</f>
        <v>2.05</v>
      </c>
      <c r="K33" s="346">
        <f>C29</f>
        <v>0.15</v>
      </c>
      <c r="L33" s="346">
        <f>K33</f>
        <v>0.15</v>
      </c>
      <c r="M33" s="159">
        <f>N29</f>
        <v>0.025</v>
      </c>
      <c r="N33" s="346">
        <f t="shared" si="26"/>
        <v>0.15</v>
      </c>
    </row>
    <row r="34">
      <c r="A34" s="339"/>
      <c r="B34" s="333" t="s">
        <v>412</v>
      </c>
      <c r="C34" s="345">
        <v>3175.0</v>
      </c>
      <c r="D34" s="147">
        <v>3175.0</v>
      </c>
      <c r="E34" s="147">
        <v>4710.0</v>
      </c>
      <c r="F34" s="147">
        <v>2909.0</v>
      </c>
      <c r="G34" s="147">
        <v>3089.0</v>
      </c>
      <c r="H34" s="147">
        <v>3260.0</v>
      </c>
      <c r="I34" s="147">
        <v>3346.0</v>
      </c>
      <c r="J34" s="147">
        <v>3260.0</v>
      </c>
      <c r="K34" s="147">
        <v>1761.0</v>
      </c>
      <c r="L34" s="147">
        <v>840.0</v>
      </c>
      <c r="M34" s="147">
        <v>757.0</v>
      </c>
      <c r="N34" s="147">
        <v>924.0</v>
      </c>
    </row>
    <row r="35">
      <c r="A35" s="197"/>
    </row>
    <row r="37">
      <c r="B37" s="347"/>
      <c r="C37" s="347"/>
      <c r="D37" s="347"/>
    </row>
  </sheetData>
  <mergeCells count="8">
    <mergeCell ref="A3:A6"/>
    <mergeCell ref="A7:A10"/>
    <mergeCell ref="A11:A14"/>
    <mergeCell ref="A15:A18"/>
    <mergeCell ref="A19:A22"/>
    <mergeCell ref="A23:A26"/>
    <mergeCell ref="A27:A30"/>
    <mergeCell ref="A31:A3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8.29"/>
    <col customWidth="1" min="2" max="2" width="24.0"/>
    <col customWidth="1" min="3" max="4" width="12.71"/>
    <col customWidth="1" min="5" max="5" width="18.57"/>
    <col customWidth="1" min="7" max="7" width="24.14"/>
    <col customWidth="1" min="8" max="8" width="22.0"/>
    <col customWidth="1" min="9" max="11" width="12.71"/>
    <col customWidth="1" min="12" max="16" width="11.43"/>
    <col customWidth="1" min="17" max="17" width="20.29"/>
    <col customWidth="1" min="18" max="23" width="11.43"/>
    <col customWidth="1" min="24" max="24" width="12.0"/>
    <col customWidth="1" min="25" max="25" width="12.43"/>
    <col customWidth="1" min="26" max="26" width="17.86"/>
    <col customWidth="1" min="27" max="34" width="11.43"/>
    <col customWidth="1" min="35" max="35" width="18.86"/>
    <col customWidth="1" min="36" max="43" width="11.43"/>
    <col customWidth="1" min="44" max="44" width="19.29"/>
    <col customWidth="1" min="45" max="52" width="11.43"/>
    <col customWidth="1" min="53" max="53" width="17.29"/>
    <col customWidth="1" min="54" max="61" width="11.43"/>
    <col customWidth="1" min="62" max="62" width="19.86"/>
    <col customWidth="1" min="63" max="70" width="11.43"/>
    <col customWidth="1" min="71" max="71" width="16.29"/>
    <col customWidth="1" min="72" max="79" width="11.43"/>
    <col customWidth="1" min="80" max="80" width="16.71"/>
    <col customWidth="1" min="81" max="88" width="11.43"/>
    <col customWidth="1" min="89" max="89" width="18.0"/>
    <col customWidth="1" min="90" max="97" width="11.43"/>
    <col customWidth="1" min="98" max="98" width="17.29"/>
    <col customWidth="1" min="99" max="106" width="11.43"/>
    <col customWidth="1" min="107" max="107" width="19.86"/>
    <col customWidth="1" min="108" max="128" width="11.43"/>
  </cols>
  <sheetData>
    <row r="1" ht="14.25" customHeight="1">
      <c r="A1" s="227"/>
      <c r="B1" s="228"/>
      <c r="C1" s="348" t="s">
        <v>83</v>
      </c>
      <c r="D1" s="349"/>
      <c r="E1" s="349"/>
      <c r="F1" s="349"/>
      <c r="G1" s="349"/>
      <c r="H1" s="350"/>
      <c r="I1" s="348" t="s">
        <v>84</v>
      </c>
      <c r="J1" s="349"/>
      <c r="K1" s="349"/>
      <c r="L1" s="349"/>
      <c r="M1" s="349"/>
      <c r="N1" s="350"/>
      <c r="O1" s="351" t="s">
        <v>85</v>
      </c>
      <c r="P1" s="349"/>
      <c r="Q1" s="349"/>
      <c r="R1" s="349"/>
      <c r="S1" s="349"/>
      <c r="T1" s="350"/>
      <c r="U1" s="351" t="s">
        <v>86</v>
      </c>
      <c r="V1" s="349"/>
      <c r="W1" s="349"/>
      <c r="X1" s="349"/>
      <c r="Y1" s="349"/>
      <c r="Z1" s="350"/>
      <c r="AA1" s="348" t="s">
        <v>87</v>
      </c>
      <c r="AB1" s="349"/>
      <c r="AC1" s="349"/>
      <c r="AD1" s="349"/>
      <c r="AE1" s="349"/>
      <c r="AF1" s="350"/>
      <c r="AG1" s="348" t="s">
        <v>88</v>
      </c>
      <c r="AH1" s="349"/>
      <c r="AI1" s="349"/>
      <c r="AJ1" s="349"/>
      <c r="AK1" s="349"/>
      <c r="AL1" s="350"/>
      <c r="AM1" s="348" t="s">
        <v>89</v>
      </c>
      <c r="AN1" s="349"/>
      <c r="AO1" s="349"/>
      <c r="AP1" s="349"/>
      <c r="AQ1" s="349"/>
      <c r="AR1" s="350"/>
      <c r="AS1" s="229" t="s">
        <v>90</v>
      </c>
      <c r="AT1" s="50"/>
      <c r="AU1" s="50"/>
      <c r="AV1" s="50"/>
      <c r="AW1" s="50"/>
      <c r="AX1" s="51"/>
      <c r="AY1" s="352" t="s">
        <v>91</v>
      </c>
      <c r="AZ1" s="50"/>
      <c r="BA1" s="50"/>
      <c r="BB1" s="50"/>
      <c r="BC1" s="50"/>
      <c r="BD1" s="51"/>
      <c r="BE1" s="352" t="s">
        <v>92</v>
      </c>
      <c r="BF1" s="50"/>
      <c r="BG1" s="50"/>
      <c r="BH1" s="50"/>
      <c r="BI1" s="50"/>
      <c r="BJ1" s="51"/>
      <c r="BK1" s="352" t="s">
        <v>93</v>
      </c>
      <c r="BL1" s="50"/>
      <c r="BM1" s="50"/>
      <c r="BN1" s="50"/>
      <c r="BO1" s="51"/>
      <c r="BP1" s="352" t="s">
        <v>94</v>
      </c>
      <c r="BQ1" s="50"/>
      <c r="BR1" s="50"/>
      <c r="BS1" s="50"/>
      <c r="BT1" s="51"/>
      <c r="BU1" s="230"/>
      <c r="BV1" s="230"/>
      <c r="BW1" s="230"/>
      <c r="BX1" s="230"/>
      <c r="BY1" s="230"/>
      <c r="BZ1" s="230"/>
      <c r="CA1" s="230"/>
      <c r="CB1" s="230"/>
      <c r="CC1" s="230"/>
      <c r="CD1" s="230"/>
      <c r="CE1" s="230"/>
      <c r="CF1" s="230"/>
      <c r="CG1" s="230"/>
      <c r="CH1" s="230"/>
      <c r="CI1" s="230"/>
      <c r="CJ1" s="230"/>
      <c r="CK1" s="230"/>
      <c r="CL1" s="230"/>
    </row>
    <row r="2" ht="14.25" customHeight="1">
      <c r="A2" s="231"/>
      <c r="B2" s="232" t="s">
        <v>10</v>
      </c>
      <c r="C2" s="233" t="s">
        <v>371</v>
      </c>
      <c r="D2" s="234" t="s">
        <v>372</v>
      </c>
      <c r="E2" s="234" t="s">
        <v>382</v>
      </c>
      <c r="F2" s="234" t="s">
        <v>413</v>
      </c>
      <c r="G2" s="347" t="s">
        <v>414</v>
      </c>
      <c r="H2" s="234" t="s">
        <v>415</v>
      </c>
      <c r="I2" s="233" t="s">
        <v>371</v>
      </c>
      <c r="J2" s="234" t="s">
        <v>372</v>
      </c>
      <c r="K2" s="234" t="s">
        <v>382</v>
      </c>
      <c r="L2" s="234" t="s">
        <v>413</v>
      </c>
      <c r="M2" s="347" t="s">
        <v>414</v>
      </c>
      <c r="N2" s="234" t="s">
        <v>415</v>
      </c>
      <c r="O2" s="233" t="s">
        <v>371</v>
      </c>
      <c r="P2" s="234" t="s">
        <v>372</v>
      </c>
      <c r="Q2" s="234" t="s">
        <v>382</v>
      </c>
      <c r="R2" s="234" t="s">
        <v>413</v>
      </c>
      <c r="S2" s="347" t="s">
        <v>414</v>
      </c>
      <c r="T2" s="234" t="s">
        <v>415</v>
      </c>
      <c r="U2" s="233" t="s">
        <v>371</v>
      </c>
      <c r="V2" s="234" t="s">
        <v>372</v>
      </c>
      <c r="W2" s="234" t="s">
        <v>382</v>
      </c>
      <c r="X2" s="234" t="s">
        <v>413</v>
      </c>
      <c r="Y2" s="347" t="s">
        <v>414</v>
      </c>
      <c r="Z2" s="234" t="s">
        <v>415</v>
      </c>
      <c r="AA2" s="233" t="s">
        <v>371</v>
      </c>
      <c r="AB2" s="234" t="s">
        <v>372</v>
      </c>
      <c r="AC2" s="234" t="s">
        <v>382</v>
      </c>
      <c r="AD2" s="234" t="s">
        <v>413</v>
      </c>
      <c r="AE2" s="347" t="s">
        <v>414</v>
      </c>
      <c r="AF2" s="234" t="s">
        <v>415</v>
      </c>
      <c r="AG2" s="233" t="s">
        <v>371</v>
      </c>
      <c r="AH2" s="234" t="s">
        <v>372</v>
      </c>
      <c r="AI2" s="234" t="s">
        <v>382</v>
      </c>
      <c r="AJ2" s="234" t="s">
        <v>413</v>
      </c>
      <c r="AK2" s="347" t="s">
        <v>414</v>
      </c>
      <c r="AL2" s="234" t="s">
        <v>415</v>
      </c>
      <c r="AM2" s="233" t="s">
        <v>371</v>
      </c>
      <c r="AN2" s="234" t="s">
        <v>372</v>
      </c>
      <c r="AO2" s="234" t="s">
        <v>382</v>
      </c>
      <c r="AP2" s="234" t="s">
        <v>413</v>
      </c>
      <c r="AQ2" s="347" t="s">
        <v>414</v>
      </c>
      <c r="AR2" s="234" t="s">
        <v>415</v>
      </c>
      <c r="AS2" s="233" t="s">
        <v>371</v>
      </c>
      <c r="AT2" s="234" t="s">
        <v>372</v>
      </c>
      <c r="AU2" s="234" t="s">
        <v>382</v>
      </c>
      <c r="AV2" s="234" t="s">
        <v>413</v>
      </c>
      <c r="AW2" s="347" t="s">
        <v>414</v>
      </c>
      <c r="AX2" s="234" t="s">
        <v>415</v>
      </c>
      <c r="AY2" s="233" t="s">
        <v>371</v>
      </c>
      <c r="AZ2" s="234" t="s">
        <v>372</v>
      </c>
      <c r="BA2" s="234" t="s">
        <v>382</v>
      </c>
      <c r="BB2" s="234" t="s">
        <v>413</v>
      </c>
      <c r="BC2" s="347" t="s">
        <v>414</v>
      </c>
      <c r="BD2" s="234" t="s">
        <v>415</v>
      </c>
      <c r="BE2" s="233" t="s">
        <v>371</v>
      </c>
      <c r="BF2" s="234" t="s">
        <v>372</v>
      </c>
      <c r="BG2" s="234" t="s">
        <v>382</v>
      </c>
      <c r="BH2" s="234" t="s">
        <v>413</v>
      </c>
      <c r="BI2" s="347" t="s">
        <v>414</v>
      </c>
      <c r="BJ2" s="234" t="s">
        <v>415</v>
      </c>
      <c r="BK2" s="233" t="s">
        <v>371</v>
      </c>
      <c r="BL2" s="234" t="s">
        <v>372</v>
      </c>
      <c r="BM2" s="234" t="s">
        <v>413</v>
      </c>
      <c r="BN2" s="347" t="s">
        <v>414</v>
      </c>
      <c r="BO2" s="234" t="s">
        <v>415</v>
      </c>
      <c r="BP2" s="233" t="s">
        <v>371</v>
      </c>
      <c r="BQ2" s="234" t="s">
        <v>372</v>
      </c>
      <c r="BR2" s="234" t="s">
        <v>413</v>
      </c>
      <c r="BS2" s="347" t="s">
        <v>414</v>
      </c>
      <c r="BT2" s="234" t="s">
        <v>380</v>
      </c>
    </row>
    <row r="3" ht="14.25" customHeight="1">
      <c r="A3" s="77"/>
      <c r="B3" s="242"/>
      <c r="C3" s="243"/>
      <c r="D3" s="244"/>
      <c r="E3" s="244"/>
      <c r="F3" s="244"/>
      <c r="G3" s="244"/>
      <c r="H3" s="244"/>
      <c r="I3" s="243"/>
      <c r="J3" s="244"/>
      <c r="K3" s="244"/>
      <c r="L3" s="244"/>
      <c r="M3" s="244"/>
      <c r="N3" s="244"/>
      <c r="O3" s="243"/>
      <c r="P3" s="244"/>
      <c r="Q3" s="244"/>
      <c r="R3" s="244"/>
      <c r="S3" s="244"/>
      <c r="T3" s="244"/>
      <c r="U3" s="243"/>
      <c r="V3" s="244"/>
      <c r="W3" s="244"/>
      <c r="X3" s="244"/>
      <c r="Y3" s="244"/>
      <c r="Z3" s="244"/>
      <c r="AA3" s="243"/>
      <c r="AB3" s="244"/>
      <c r="AC3" s="244"/>
      <c r="AD3" s="244"/>
      <c r="AE3" s="244"/>
      <c r="AF3" s="244"/>
      <c r="AG3" s="243"/>
      <c r="AH3" s="244"/>
      <c r="AI3" s="244"/>
      <c r="AJ3" s="244"/>
      <c r="AK3" s="244"/>
      <c r="AL3" s="244"/>
      <c r="AM3" s="243"/>
      <c r="AN3" s="244"/>
      <c r="AO3" s="244"/>
      <c r="AP3" s="244"/>
      <c r="AQ3" s="244"/>
      <c r="AR3" s="244"/>
      <c r="AS3" s="243"/>
      <c r="AT3" s="244"/>
      <c r="AU3" s="244"/>
      <c r="AV3" s="244"/>
      <c r="AW3" s="244"/>
      <c r="AX3" s="244"/>
      <c r="AY3" s="243"/>
      <c r="AZ3" s="244"/>
      <c r="BA3" s="244"/>
      <c r="BB3" s="244"/>
      <c r="BC3" s="244"/>
      <c r="BD3" s="244"/>
      <c r="BE3" s="243"/>
      <c r="BF3" s="244"/>
      <c r="BG3" s="244"/>
      <c r="BH3" s="244"/>
      <c r="BI3" s="244"/>
      <c r="BJ3" s="244"/>
      <c r="BK3" s="243"/>
      <c r="BL3" s="244"/>
      <c r="BM3" s="244"/>
      <c r="BN3" s="244"/>
      <c r="BO3" s="244"/>
      <c r="BP3" s="243"/>
      <c r="BQ3" s="244"/>
      <c r="BR3" s="244"/>
      <c r="BS3" s="244"/>
      <c r="BT3" s="244"/>
    </row>
    <row r="4" ht="14.25" customHeight="1">
      <c r="A4" s="77">
        <v>1.0</v>
      </c>
      <c r="B4" s="248" t="s">
        <v>21</v>
      </c>
      <c r="C4" s="249">
        <f>EOQ!C4*$B$24</f>
        <v>624086.2941</v>
      </c>
      <c r="D4" s="249">
        <f>SQRT($B$24)*EOQ!D4</f>
        <v>2016.738155</v>
      </c>
      <c r="E4" s="353">
        <f t="shared" ref="E4:E11" si="1">2*942</f>
        <v>1884</v>
      </c>
      <c r="F4" s="253">
        <f t="shared" ref="F4:F11" si="2">G4+H4</f>
        <v>4754.676024</v>
      </c>
      <c r="G4" s="253">
        <f>'Sourcing_costs_LT_and stdv'!$C$3*C4/(31*24)</f>
        <v>4305.971742</v>
      </c>
      <c r="H4" s="253">
        <f>_xlfn.norm.s.inv($B$41)*sqrt('Sourcing_costs_LT_and stdv'!$C$3*(D4^2/(31*24))+(C4/(31*24))^2*('Sourcing_costs_LT_and stdv'!$C$5)^2)</f>
        <v>448.7042812</v>
      </c>
      <c r="I4" s="249">
        <f>EOQ!E4*$B$24</f>
        <v>487137.9875</v>
      </c>
      <c r="J4" s="252">
        <f>SQRT($B$24)*EOQ!F4</f>
        <v>699.9961745</v>
      </c>
      <c r="K4" s="353">
        <f t="shared" ref="K4:K11" si="3">2*942</f>
        <v>1884</v>
      </c>
      <c r="L4" s="253">
        <f t="shared" ref="L4:L11" si="4">M4+N4</f>
        <v>405.0835994</v>
      </c>
      <c r="M4" s="253">
        <f>'Sourcing_costs_LT_and stdv'!$C$3*I4/(288*24)</f>
        <v>361.7826489</v>
      </c>
      <c r="N4" s="354">
        <f>_xlfn.norm.s.inv($B$41)*sqrt('Sourcing_costs_LT_and stdv'!$D$3*(J4^2/(28*24))+(I4/(28*24))^2*('Sourcing_costs_LT_and stdv'!$D$5)^2)</f>
        <v>43.30095052</v>
      </c>
      <c r="O4" s="249">
        <f>$B$24*EOQ!G4</f>
        <v>508540.6492</v>
      </c>
      <c r="P4" s="252">
        <f>SQRT($B$24)*EOQ!H4</f>
        <v>711.6006332</v>
      </c>
      <c r="Q4" s="353">
        <f t="shared" ref="Q4:Q11" si="5">2*942</f>
        <v>1884</v>
      </c>
      <c r="R4" s="253">
        <f t="shared" ref="R4:R11" si="6">S4+T4</f>
        <v>3550.109256</v>
      </c>
      <c r="S4" s="253">
        <f>'Sourcing_costs_LT_and stdv'!$C$3*O4/(31*24)</f>
        <v>3508.748207</v>
      </c>
      <c r="T4" s="253">
        <f>_xlfn.norm.s.inv($B$41)*sqrt('Sourcing_costs_LT_and stdv'!$E$3*(P4^2/(31*24))+(O4/(31*24))^2*('Sourcing_costs_LT_and stdv'!$E$5)^2)</f>
        <v>41.36104933</v>
      </c>
      <c r="U4" s="249">
        <f>$B$24*EOQ!I4</f>
        <v>450825.2835</v>
      </c>
      <c r="V4" s="252">
        <f>SQRT($B$24)*EOQ!J4</f>
        <v>673.529882</v>
      </c>
      <c r="W4" s="353">
        <f t="shared" ref="W4:W11" si="7">2*942</f>
        <v>1884</v>
      </c>
      <c r="X4" s="253">
        <f t="shared" ref="X4:X11" si="8">Y4+Z4</f>
        <v>3253.14395</v>
      </c>
      <c r="Y4" s="253">
        <f>'Sourcing_costs_LT_and stdv'!$C$3*U4/(30*24)</f>
        <v>3214.217299</v>
      </c>
      <c r="Z4" s="253">
        <f>_xlfn.norm.s.inv($B$41)*sqrt('Sourcing_costs_LT_and stdv'!$F$3*(V4^2/(30*24))+(U4/(30*24))^2*('Sourcing_costs_LT_and stdv'!$F$5)^2)</f>
        <v>38.92665049</v>
      </c>
      <c r="AA4" s="249">
        <f>$B$24*EOQ!K4</f>
        <v>430677.0955</v>
      </c>
      <c r="AB4" s="252">
        <f>SQRT($B$24)*EOQ!L4</f>
        <v>656.4491052</v>
      </c>
      <c r="AC4" s="353">
        <f t="shared" ref="AC4:AC11" si="9">2*942</f>
        <v>1884</v>
      </c>
      <c r="AD4" s="253">
        <f t="shared" ref="AD4:AD11" si="10">AE4+AF4</f>
        <v>3008.26194</v>
      </c>
      <c r="AE4" s="253">
        <f>'Sourcing_costs_LT_and stdv'!$C$3*AA4/(31*24)</f>
        <v>2971.517594</v>
      </c>
      <c r="AF4" s="253">
        <f>_xlfn.norm.s.inv($B$41)*sqrt('Sourcing_costs_LT_and stdv'!$G$3*(AB4^2/(31*24))+(AA4/(31*24))^2*('Sourcing_costs_LT_and stdv'!$G$5)^2)</f>
        <v>36.74434553</v>
      </c>
      <c r="AG4" s="249">
        <f>$B$24*EOQ!M4</f>
        <v>368508.8271</v>
      </c>
      <c r="AH4" s="252">
        <f>SQRT($B$24)*EOQ!N4</f>
        <v>616.5624595</v>
      </c>
      <c r="AI4" s="353">
        <f t="shared" ref="AI4:AI11" si="11">2*942</f>
        <v>1884</v>
      </c>
      <c r="AJ4" s="253">
        <f t="shared" ref="AJ4:AJ11" si="12">AK4+AL4</f>
        <v>2661.349156</v>
      </c>
      <c r="AK4" s="253">
        <f>'Sourcing_costs_LT_and stdv'!$C$3*AG4/(30*24)</f>
        <v>2627.331452</v>
      </c>
      <c r="AL4" s="253">
        <f>_xlfn.norm.s.inv($B$41)*sqrt('Sourcing_costs_LT_and stdv'!$H$3*(AH4^2/(30*24))+(AG4/(30*24))^2*('Sourcing_costs_LT_and stdv'!$H$5)^2)</f>
        <v>34.01770329</v>
      </c>
      <c r="AM4" s="249">
        <f>$B$24*EOQ!O4</f>
        <v>377701.9167</v>
      </c>
      <c r="AN4" s="252">
        <f>SQRT($B$24)*EOQ!P4</f>
        <v>622.0924671</v>
      </c>
      <c r="AO4" s="353">
        <f t="shared" ref="AO4:AO11" si="13">2*942</f>
        <v>1884</v>
      </c>
      <c r="AP4" s="253">
        <f t="shared" ref="AP4:AP11" si="14">AQ4+AR4</f>
        <v>2639.7637</v>
      </c>
      <c r="AQ4" s="253">
        <f>'Sourcing_costs_LT_and stdv'!$C$3*AM4/(31*24)</f>
        <v>2606.007848</v>
      </c>
      <c r="AR4" s="253">
        <f>_xlfn.norm.s.inv($B$41)*sqrt('Sourcing_costs_LT_and stdv'!$I$3*(AN4^2/(31*24))+(AM4/(31*24))^2*('Sourcing_costs_LT_and stdv'!$I$5)^2)</f>
        <v>33.75585201</v>
      </c>
      <c r="AS4" s="249">
        <f>$B$24*EOQ!Q4</f>
        <v>378716.987</v>
      </c>
      <c r="AT4" s="252">
        <f>SQRT($B$24)*EOQ!R4</f>
        <v>616.7488248</v>
      </c>
      <c r="AU4" s="353">
        <f t="shared" ref="AU4:AU11" si="15">2*942</f>
        <v>1884</v>
      </c>
      <c r="AV4" s="253">
        <f t="shared" ref="AV4:AV11" si="16">AW4+AX4</f>
        <v>2646.623468</v>
      </c>
      <c r="AW4" s="253">
        <f>'Sourcing_costs_LT_and stdv'!$C$3*AS4/(31*24)</f>
        <v>2613.011469</v>
      </c>
      <c r="AX4" s="253">
        <f>_xlfn.norm.s.inv($B$41)*sqrt('Sourcing_costs_LT_and stdv'!$J$3*(AT4^2/(31*24))+(AS4/(31*24))^2*('Sourcing_costs_LT_and stdv'!$J$5)^2)</f>
        <v>33.61199914</v>
      </c>
      <c r="AY4" s="249">
        <f>$B$24*EOQ!S4</f>
        <v>322706.1734</v>
      </c>
      <c r="AZ4" s="252">
        <f>SQRT($B$24)*EOQ!T4</f>
        <v>563.704175</v>
      </c>
      <c r="BA4" s="353">
        <f t="shared" ref="BA4:BA11" si="17">2*942</f>
        <v>1884</v>
      </c>
      <c r="BB4" s="253">
        <f t="shared" ref="BB4:BB11" si="18">BC4+BD4</f>
        <v>2505.554473</v>
      </c>
      <c r="BC4" s="253">
        <f>'Sourcing_costs_LT_and stdv'!$C$3*AY4/(30*24)</f>
        <v>2300.775495</v>
      </c>
      <c r="BD4" s="253">
        <f>_xlfn.norm.s.inv($B$41)*sqrt('Sourcing_costs_LT_and stdv'!$K$3*(AZ4^2/(30*24))+(AY4/(30*24))^2*('Sourcing_costs_LT_and stdv'!$K$5)^2)</f>
        <v>204.7789777</v>
      </c>
      <c r="BE4" s="249">
        <f>$B$24*EOQ!U4</f>
        <v>345353.7326</v>
      </c>
      <c r="BF4" s="252">
        <f>SQRT($B$24)*EOQ!V4</f>
        <v>581.3341321</v>
      </c>
      <c r="BG4" s="353">
        <f t="shared" ref="BG4:BG11" si="19">2*942</f>
        <v>1884</v>
      </c>
      <c r="BH4" s="253">
        <f t="shared" ref="BH4:BH11" si="20">BI4+BJ4</f>
        <v>2414.103105</v>
      </c>
      <c r="BI4" s="253">
        <f>'Sourcing_costs_LT_and stdv'!$C$3*BE4/(31*24)</f>
        <v>2382.816973</v>
      </c>
      <c r="BJ4" s="253">
        <f>_xlfn.norm.s.inv($B$41)*sqrt('Sourcing_costs_LT_and stdv'!$L$3*(BF4^2/(31*24))+(BE4/(31*24))^2*('Sourcing_costs_LT_and stdv'!$L$5)^2)</f>
        <v>31.28613241</v>
      </c>
      <c r="BK4" s="249">
        <f>$B$24*EOQ!W4</f>
        <v>422556.533</v>
      </c>
      <c r="BL4" s="252">
        <f>SQRT($B$24)*EOQ!X4</f>
        <v>645.4576807</v>
      </c>
      <c r="BM4" s="253">
        <f t="shared" ref="BM4:BM11" si="21">BN4+BO4</f>
        <v>37.17142765</v>
      </c>
      <c r="BN4" s="253">
        <f>'Sourcing_costs_LT_and stdv'!$C$3*BJ4/(30*24)</f>
        <v>0.2230585367</v>
      </c>
      <c r="BO4" s="253">
        <f>_xlfn.norm.s.inv($B$41)*sqrt('Sourcing_costs_LT_and stdv'!$M$3*(BL4^2/(30*24))+(BK4/(30*24))^2*('Sourcing_costs_LT_and stdv'!$M$5)^2)</f>
        <v>36.94836911</v>
      </c>
      <c r="BP4" s="249">
        <f>$B$24*EOQ!Y4</f>
        <v>415642.5635</v>
      </c>
      <c r="BQ4" s="252">
        <f>SQRT($B$24)*EOQ!Z4</f>
        <v>649.2716726</v>
      </c>
      <c r="BR4" s="253">
        <f t="shared" ref="BR4:BR11" si="22">BS4+BT4</f>
        <v>252.2400765</v>
      </c>
      <c r="BS4" s="253">
        <f>'Sourcing_costs_LT_and stdv'!$C$3*BO4/(31*24)</f>
        <v>0.2549305037</v>
      </c>
      <c r="BT4" s="253">
        <f>_xlfn.norm.s.inv($B$41)*sqrt('Sourcing_costs_LT_and stdv'!$N$3*(BQ4^2/(31*24))+(BP4/(31*24))^2*('Sourcing_costs_LT_and stdv'!$N$5)^2)</f>
        <v>251.985146</v>
      </c>
    </row>
    <row r="5" ht="14.25" customHeight="1">
      <c r="A5" s="77">
        <v>2.0</v>
      </c>
      <c r="B5" s="260" t="s">
        <v>23</v>
      </c>
      <c r="C5" s="249">
        <f>EOQ!C5*$B$24</f>
        <v>251114.9881</v>
      </c>
      <c r="D5" s="249">
        <f>SQRT($B$24)*EOQ!D5</f>
        <v>502.5394733</v>
      </c>
      <c r="E5" s="353">
        <f t="shared" si="1"/>
        <v>1884</v>
      </c>
      <c r="F5" s="253">
        <f t="shared" si="2"/>
        <v>7487.489344</v>
      </c>
      <c r="G5" s="253">
        <f>'Sourcing_costs_LT_and stdv'!$C$3*C5/(31*24)</f>
        <v>1732.603413</v>
      </c>
      <c r="H5" s="253">
        <f>_xlfn.norm.s.inv($B$41)*sqrt('Sourcing_costs_LT_and stdv'!$C$7*(D5^2/(31*24))+(C5/(31*24))^2*('Sourcing_costs_LT_and stdv'!$C$9)^2)</f>
        <v>5754.885931</v>
      </c>
      <c r="I5" s="249">
        <f>EOQ!E5*$B$24</f>
        <v>225192.3907</v>
      </c>
      <c r="J5" s="252">
        <f>SQRT($B$24)*EOQ!F5</f>
        <v>475.3889204</v>
      </c>
      <c r="K5" s="353">
        <f t="shared" si="3"/>
        <v>1884</v>
      </c>
      <c r="L5" s="253">
        <f t="shared" si="4"/>
        <v>8756.79352</v>
      </c>
      <c r="M5" s="253">
        <f>'Sourcing_costs_LT_and stdv'!$C$3*I5/(28*24)</f>
        <v>1720.219651</v>
      </c>
      <c r="N5" s="354">
        <f>_xlfn.norm.s.inv($B$41)*sqrt('Sourcing_costs_LT_and stdv'!$D$7*(J5^2/(28*24))+(I5/(28*24))^2*('Sourcing_costs_LT_and stdv'!$D$9)^2)</f>
        <v>7036.573869</v>
      </c>
      <c r="O5" s="249">
        <f>$B$24*EOQ!G5</f>
        <v>296180.2794</v>
      </c>
      <c r="P5" s="252">
        <f>SQRT($B$24)*EOQ!H5</f>
        <v>544.0810134</v>
      </c>
      <c r="Q5" s="353">
        <f t="shared" si="5"/>
        <v>1884</v>
      </c>
      <c r="R5" s="253">
        <f t="shared" si="6"/>
        <v>8829.555534</v>
      </c>
      <c r="S5" s="253">
        <f>'Sourcing_costs_LT_and stdv'!$C$3*O5/(31*24)</f>
        <v>2043.53777</v>
      </c>
      <c r="T5" s="253">
        <f>_xlfn.norm.s.inv($B$41)*sqrt('Sourcing_costs_LT_and stdv'!$E$7*(P5^2/(31*24))+(O5/(31*24))^2*('Sourcing_costs_LT_and stdv'!$E$9)^2)</f>
        <v>6786.017764</v>
      </c>
      <c r="U5" s="249">
        <f>$B$24*EOQ!I5</f>
        <v>282179.97</v>
      </c>
      <c r="V5" s="252">
        <f>SQRT($B$24)*EOQ!J5</f>
        <v>531.3106135</v>
      </c>
      <c r="W5" s="353">
        <f t="shared" si="7"/>
        <v>1884</v>
      </c>
      <c r="X5" s="253">
        <f t="shared" si="8"/>
        <v>8692.737281</v>
      </c>
      <c r="Y5" s="253">
        <f>'Sourcing_costs_LT_and stdv'!$C$3*U5/(30*24)</f>
        <v>2011.838675</v>
      </c>
      <c r="Z5" s="253">
        <f>_xlfn.norm.s.inv($B$41)*sqrt('Sourcing_costs_LT_and stdv'!$F$7*(V5^2/(30*24))+(U5/(30*24))^2*('Sourcing_costs_LT_and stdv'!$F$9)^2)</f>
        <v>6680.898606</v>
      </c>
      <c r="AA5" s="249">
        <f>$B$24*EOQ!K5</f>
        <v>326661.1171</v>
      </c>
      <c r="AB5" s="252">
        <f>SQRT($B$24)*EOQ!L5</f>
        <v>565.2344525</v>
      </c>
      <c r="AC5" s="353">
        <f t="shared" si="9"/>
        <v>1884</v>
      </c>
      <c r="AD5" s="253">
        <f t="shared" si="10"/>
        <v>9737.137799</v>
      </c>
      <c r="AE5" s="253">
        <f>'Sourcing_costs_LT_and stdv'!$C$3*AA5/(31*24)</f>
        <v>2253.844625</v>
      </c>
      <c r="AF5" s="253">
        <f>_xlfn.norm.s.inv($B$41)*sqrt('Sourcing_costs_LT_and stdv'!$G$7*(AB5^2/(31*24))+(AA5/(31*24))^2*('Sourcing_costs_LT_and stdv'!$G$9)^2)</f>
        <v>7483.293174</v>
      </c>
      <c r="AG5" s="249">
        <f>$B$24*EOQ!M5</f>
        <v>270477.9331</v>
      </c>
      <c r="AH5" s="252">
        <f>SQRT($B$24)*EOQ!N5</f>
        <v>520.0749072</v>
      </c>
      <c r="AI5" s="353">
        <f t="shared" si="11"/>
        <v>1884</v>
      </c>
      <c r="AJ5" s="253">
        <f t="shared" si="12"/>
        <v>19788.85167</v>
      </c>
      <c r="AK5" s="253">
        <f>'Sourcing_costs_LT_and stdv'!$C$3*AG5/(30*24)</f>
        <v>1928.407486</v>
      </c>
      <c r="AL5" s="253">
        <f>_xlfn.norm.s.inv($B$41)*sqrt('Sourcing_costs_LT_and stdv'!$H$7*(AH5^2/(30*24))+(AG5/(30*24))^2*('Sourcing_costs_LT_and stdv'!$H$9)^2)</f>
        <v>17860.44418</v>
      </c>
      <c r="AM5" s="249">
        <f>$B$24*EOQ!O5</f>
        <v>220471.3561</v>
      </c>
      <c r="AN5" s="252">
        <f>SQRT($B$24)*EOQ!P5</f>
        <v>466.7838989</v>
      </c>
      <c r="AO5" s="353">
        <f t="shared" si="13"/>
        <v>1884</v>
      </c>
      <c r="AP5" s="253">
        <f t="shared" si="14"/>
        <v>8596.993772</v>
      </c>
      <c r="AQ5" s="253">
        <f>'Sourcing_costs_LT_and stdv'!$C$3*AM5/(31*24)</f>
        <v>1521.173335</v>
      </c>
      <c r="AR5" s="253">
        <f>_xlfn.norm.s.inv($B$41)*sqrt('Sourcing_costs_LT_and stdv'!$I$7*(AN5^2/(31*24))+(AM5/(31*24))^2*('Sourcing_costs_LT_and stdv'!$I$9)^2)</f>
        <v>7075.820436</v>
      </c>
      <c r="AS5" s="249">
        <f>$B$24*EOQ!Q5</f>
        <v>340000.6732</v>
      </c>
      <c r="AT5" s="252">
        <f>SQRT($B$24)*EOQ!R5</f>
        <v>592.5889255</v>
      </c>
      <c r="AU5" s="353">
        <f t="shared" si="15"/>
        <v>1884</v>
      </c>
      <c r="AV5" s="253">
        <f t="shared" si="16"/>
        <v>10134.89497</v>
      </c>
      <c r="AW5" s="253">
        <f>'Sourcing_costs_LT_and stdv'!$C$3*AS5/(31*24)</f>
        <v>2345.882781</v>
      </c>
      <c r="AX5" s="253">
        <f>_xlfn.norm.s.inv($B$41)*sqrt('Sourcing_costs_LT_and stdv'!$J$7*(AT5^2/(31*24))+(AS5/(31*24))^2*('Sourcing_costs_LT_and stdv'!$J$9)^2)</f>
        <v>7789.012189</v>
      </c>
      <c r="AY5" s="249">
        <f>$B$24*EOQ!S5</f>
        <v>274988.2927</v>
      </c>
      <c r="AZ5" s="252">
        <f>SQRT($B$24)*EOQ!T5</f>
        <v>531.1172147</v>
      </c>
      <c r="BA5" s="353">
        <f t="shared" si="17"/>
        <v>1884</v>
      </c>
      <c r="BB5" s="253">
        <f t="shared" si="18"/>
        <v>8471.641434</v>
      </c>
      <c r="BC5" s="253">
        <f>'Sourcing_costs_LT_and stdv'!$C$3*AY5/(30*24)</f>
        <v>1960.564679</v>
      </c>
      <c r="BD5" s="253">
        <f>_xlfn.norm.s.inv($B$41)*sqrt('Sourcing_costs_LT_and stdv'!$K$7*(AZ5^2/(30*24))+(AY5/(30*24))^2*('Sourcing_costs_LT_and stdv'!$K$9)^2)</f>
        <v>6511.076755</v>
      </c>
      <c r="BE5" s="249">
        <f>$B$24*EOQ!U5</f>
        <v>262941.5148</v>
      </c>
      <c r="BF5" s="252">
        <f>SQRT($B$24)*EOQ!V5</f>
        <v>513.7840482</v>
      </c>
      <c r="BG5" s="353">
        <f t="shared" si="19"/>
        <v>1884</v>
      </c>
      <c r="BH5" s="253">
        <f t="shared" si="20"/>
        <v>11646.77177</v>
      </c>
      <c r="BI5" s="253">
        <f>'Sourcing_costs_LT_and stdv'!$C$3*BE5/(31*24)</f>
        <v>1814.202208</v>
      </c>
      <c r="BJ5" s="253">
        <f>_xlfn.norm.s.inv($B$41)*sqrt('Sourcing_costs_LT_and stdv'!$L$7*(BF5^2/(31*24))+(BE5/(31*24))^2*('Sourcing_costs_LT_and stdv'!$L$9)^2)</f>
        <v>9832.569566</v>
      </c>
      <c r="BK5" s="249">
        <f>$B$24*EOQ!W5</f>
        <v>266599.5984</v>
      </c>
      <c r="BL5" s="252">
        <f>SQRT($B$24)*EOQ!X5</f>
        <v>521.2928125</v>
      </c>
      <c r="BM5" s="253">
        <f t="shared" si="21"/>
        <v>6382.773094</v>
      </c>
      <c r="BN5" s="253">
        <f>'Sourcing_costs_LT_and stdv'!$C$3*BJ5/(30*24)</f>
        <v>70.10257932</v>
      </c>
      <c r="BO5" s="253">
        <f>_xlfn.norm.s.inv($B$41)*sqrt('Sourcing_costs_LT_and stdv'!$M$7*(BL5^2/(30*24))+(BK5/(30*24))^2*('Sourcing_costs_LT_and stdv'!$M$9)^2)</f>
        <v>6312.670514</v>
      </c>
      <c r="BP5" s="249">
        <f>$B$24*EOQ!Y5</f>
        <v>307623.7607</v>
      </c>
      <c r="BQ5" s="252">
        <f>SQRT($B$24)*EOQ!Z5</f>
        <v>551.7029394</v>
      </c>
      <c r="BR5" s="253">
        <f t="shared" si="22"/>
        <v>7091.334939</v>
      </c>
      <c r="BS5" s="253">
        <f>'Sourcing_costs_LT_and stdv'!$C$3*BO5/(31*24)</f>
        <v>43.55516394</v>
      </c>
      <c r="BT5" s="253">
        <f>_xlfn.norm.s.inv($B$41)*sqrt('Sourcing_costs_LT_and stdv'!$N$7*(BQ5^2/(31*24))+(BP5/(31*24))^2*('Sourcing_costs_LT_and stdv'!$N$9)^2)</f>
        <v>7047.779775</v>
      </c>
    </row>
    <row r="6" ht="14.25" customHeight="1">
      <c r="A6" s="77">
        <v>3.0</v>
      </c>
      <c r="B6" s="260" t="s">
        <v>25</v>
      </c>
      <c r="C6" s="249">
        <f>EOQ!C6*$B$24</f>
        <v>30231.8582</v>
      </c>
      <c r="D6" s="249">
        <f>SQRT($B$24)*EOQ!D6</f>
        <v>171.6931929</v>
      </c>
      <c r="E6" s="353">
        <f t="shared" si="1"/>
        <v>1884</v>
      </c>
      <c r="F6" s="253">
        <f t="shared" si="2"/>
        <v>216.0983897</v>
      </c>
      <c r="G6" s="253">
        <f>'Sourcing_costs_LT_and stdv'!$C$3*C6/(31*24)</f>
        <v>208.5889858</v>
      </c>
      <c r="H6" s="253">
        <f>_xlfn.norm.s.inv($B$41)*sqrt('Sourcing_costs_LT_and stdv'!$C$11*(D6^2/(31*24))+(C6/(31*24))^2*('Sourcing_costs_LT_and stdv'!$C$13)^2)</f>
        <v>7.509403987</v>
      </c>
      <c r="I6" s="249">
        <f>EOQ!E6*$B$24</f>
        <v>23729.66253</v>
      </c>
      <c r="J6" s="252">
        <f>SQRT($B$24)*EOQ!F6</f>
        <v>152.8571422</v>
      </c>
      <c r="K6" s="353">
        <f t="shared" si="3"/>
        <v>1884</v>
      </c>
      <c r="L6" s="253">
        <f t="shared" si="4"/>
        <v>188.2785429</v>
      </c>
      <c r="M6" s="253">
        <f>'Sourcing_costs_LT_and stdv'!$C$3*I6/(28*24)</f>
        <v>181.2682554</v>
      </c>
      <c r="N6" s="354">
        <f>_xlfn.norm.s.inv($B$41)*sqrt('Sourcing_costs_LT_and stdv'!$D$11*(J6^2/(28*24))+(I6/(28*24))^2*('Sourcing_costs_LT_and stdv'!$D$13)^2)</f>
        <v>7.010287415</v>
      </c>
      <c r="O6" s="249">
        <f>$B$24*EOQ!G6</f>
        <v>34924.16435</v>
      </c>
      <c r="P6" s="252">
        <f>SQRT($B$24)*EOQ!H6</f>
        <v>189.1197532</v>
      </c>
      <c r="Q6" s="353">
        <f t="shared" si="5"/>
        <v>1884</v>
      </c>
      <c r="R6" s="253">
        <f t="shared" si="6"/>
        <v>263.8623772</v>
      </c>
      <c r="S6" s="253">
        <f>'Sourcing_costs_LT_and stdv'!$C$3*O6/(31*24)</f>
        <v>240.9642164</v>
      </c>
      <c r="T6" s="253">
        <f>_xlfn.norm.s.inv($B$41)*sqrt('Sourcing_costs_LT_and stdv'!$E$11*(P6^2/(31*24))+(O6/(31*24))^2*('Sourcing_costs_LT_and stdv'!$E$13)^2)</f>
        <v>22.89816085</v>
      </c>
      <c r="U6" s="249">
        <f>$B$24*EOQ!I6</f>
        <v>38065.13663</v>
      </c>
      <c r="V6" s="252">
        <f>SQRT($B$24)*EOQ!J6</f>
        <v>195.5426003</v>
      </c>
      <c r="W6" s="353">
        <f t="shared" si="7"/>
        <v>1884</v>
      </c>
      <c r="X6" s="253">
        <f t="shared" si="8"/>
        <v>295.9096325</v>
      </c>
      <c r="Y6" s="253">
        <f>'Sourcing_costs_LT_and stdv'!$C$3*U6/(30*24)</f>
        <v>271.3903259</v>
      </c>
      <c r="Z6" s="253">
        <f>_xlfn.norm.s.inv($B$41)*sqrt('Sourcing_costs_LT_and stdv'!$F$11*(V6^2/(30*24))+(U6/(30*24))^2*('Sourcing_costs_LT_and stdv'!$F$13)^2)</f>
        <v>24.5193066</v>
      </c>
      <c r="AA6" s="249">
        <f>$B$24*EOQ!K6</f>
        <v>44864.19248</v>
      </c>
      <c r="AB6" s="252">
        <f>SQRT($B$24)*EOQ!L6</f>
        <v>210.5210083</v>
      </c>
      <c r="AC6" s="353">
        <f t="shared" si="9"/>
        <v>1884</v>
      </c>
      <c r="AD6" s="253">
        <f t="shared" si="10"/>
        <v>331.674787</v>
      </c>
      <c r="AE6" s="253">
        <f>'Sourcing_costs_LT_and stdv'!$C$3*AA6/(31*24)</f>
        <v>309.5468477</v>
      </c>
      <c r="AF6" s="253">
        <f>_xlfn.norm.s.inv($B$41)*sqrt('Sourcing_costs_LT_and stdv'!$G$11*(AB6^2/(31*24))+(AA6/(31*24))^2*('Sourcing_costs_LT_and stdv'!$G$13)^2)</f>
        <v>22.12793923</v>
      </c>
      <c r="AG6" s="249">
        <f>$B$24*EOQ!M6</f>
        <v>43226.67339</v>
      </c>
      <c r="AH6" s="252">
        <f>SQRT($B$24)*EOQ!N6</f>
        <v>209.387652</v>
      </c>
      <c r="AI6" s="353">
        <f t="shared" si="11"/>
        <v>1884</v>
      </c>
      <c r="AJ6" s="253">
        <f t="shared" si="12"/>
        <v>330.5585317</v>
      </c>
      <c r="AK6" s="253">
        <f>'Sourcing_costs_LT_and stdv'!$C$3*AG6/(30*24)</f>
        <v>308.1901714</v>
      </c>
      <c r="AL6" s="253">
        <f>_xlfn.norm.s.inv($B$41)*sqrt('Sourcing_costs_LT_and stdv'!$H$11*(AH6^2/(30*24))+(AG6/(30*24))^2*('Sourcing_costs_LT_and stdv'!$H$13)^2)</f>
        <v>22.36836031</v>
      </c>
      <c r="AM6" s="249">
        <f>$B$24*EOQ!O6</f>
        <v>45046.13904</v>
      </c>
      <c r="AN6" s="252">
        <f>SQRT($B$24)*EOQ!P6</f>
        <v>214.1103482</v>
      </c>
      <c r="AO6" s="353">
        <f t="shared" si="13"/>
        <v>1884</v>
      </c>
      <c r="AP6" s="253">
        <f t="shared" si="14"/>
        <v>531.0643298</v>
      </c>
      <c r="AQ6" s="253">
        <f>'Sourcing_costs_LT_and stdv'!$C$3*AM6/(31*24)</f>
        <v>310.8022138</v>
      </c>
      <c r="AR6" s="253">
        <f>_xlfn.norm.s.inv($B$41)*sqrt('Sourcing_costs_LT_and stdv'!$I$11*(AN6^2/(31*24))+(AM6/(31*24))^2*('Sourcing_costs_LT_and stdv'!$I$13)^2)</f>
        <v>220.262116</v>
      </c>
      <c r="AS6" s="249">
        <f>$B$24*EOQ!Q6</f>
        <v>39779.26479</v>
      </c>
      <c r="AT6" s="252">
        <f>SQRT($B$24)*EOQ!R6</f>
        <v>197.624849</v>
      </c>
      <c r="AU6" s="355">
        <f t="shared" si="15"/>
        <v>1884</v>
      </c>
      <c r="AV6" s="253">
        <f t="shared" si="16"/>
        <v>298.9595484</v>
      </c>
      <c r="AW6" s="253">
        <f>'Sourcing_costs_LT_and stdv'!$C$3*AS6/(31*24)</f>
        <v>274.4626693</v>
      </c>
      <c r="AX6" s="253">
        <f>_xlfn.norm.s.inv($B$41)*sqrt('Sourcing_costs_LT_and stdv'!$J$11*(AT6^2/(31*24))+(AS6/(31*24))^2*('Sourcing_costs_LT_and stdv'!$J$13)^2)</f>
        <v>24.49687913</v>
      </c>
      <c r="AY6" s="249">
        <f>$B$24*EOQ!S6</f>
        <v>34272.98717</v>
      </c>
      <c r="AZ6" s="252">
        <f>SQRT($B$24)*EOQ!T6</f>
        <v>186.5999831</v>
      </c>
      <c r="BA6" s="353">
        <f t="shared" si="17"/>
        <v>1884</v>
      </c>
      <c r="BB6" s="253">
        <f t="shared" si="18"/>
        <v>264.2623906</v>
      </c>
      <c r="BC6" s="253">
        <f>'Sourcing_costs_LT_and stdv'!$C$3*AY6/(30*24)</f>
        <v>244.3537048</v>
      </c>
      <c r="BD6" s="253">
        <f>_xlfn.norm.s.inv($B$41)*sqrt('Sourcing_costs_LT_and stdv'!$K$11*(AZ6^2/(30*24))+(AY6/(30*24))^2*('Sourcing_costs_LT_and stdv'!$K$13)^2)</f>
        <v>19.90868583</v>
      </c>
      <c r="BE6" s="249">
        <f>$B$24*EOQ!U6</f>
        <v>45965.448</v>
      </c>
      <c r="BF6" s="252">
        <f>SQRT($B$24)*EOQ!V6</f>
        <v>216.9706885</v>
      </c>
      <c r="BG6" s="355">
        <f t="shared" si="19"/>
        <v>1884</v>
      </c>
      <c r="BH6" s="253">
        <f t="shared" si="20"/>
        <v>339.9492962</v>
      </c>
      <c r="BI6" s="253">
        <f>'Sourcing_costs_LT_and stdv'!$C$3*BE6/(31*24)</f>
        <v>317.1451161</v>
      </c>
      <c r="BJ6" s="253">
        <f>_xlfn.norm.s.inv($B$41)*sqrt('Sourcing_costs_LT_and stdv'!$L$11*(BF6^2/(31*24))+(BE6/(31*24))^2*('Sourcing_costs_LT_and stdv'!$L$13)^2)</f>
        <v>22.80418005</v>
      </c>
      <c r="BK6" s="249">
        <f>$B$24*EOQ!W6</f>
        <v>43485.22904</v>
      </c>
      <c r="BL6" s="252">
        <f>SQRT($B$24)*EOQ!X6</f>
        <v>207.7474147</v>
      </c>
      <c r="BM6" s="253">
        <f t="shared" si="21"/>
        <v>26.78190049</v>
      </c>
      <c r="BN6" s="253">
        <f>'Sourcing_costs_LT_and stdv'!$C$3*BJ6/(30*24)</f>
        <v>0.1625853577</v>
      </c>
      <c r="BO6" s="253">
        <f>_xlfn.norm.s.inv($B$41)*sqrt('Sourcing_costs_LT_and stdv'!$M$11*(BL6^2/(30*24))+(BK6/(30*24))^2*('Sourcing_costs_LT_and stdv'!$M$13)^2)</f>
        <v>26.61931513</v>
      </c>
      <c r="BP6" s="249">
        <f>$B$24*EOQ!Y6</f>
        <v>36858.54362</v>
      </c>
      <c r="BQ6" s="264">
        <f>SQRT($B$24)*EOQ!Z6</f>
        <v>191.5993322</v>
      </c>
      <c r="BR6" s="253">
        <f t="shared" si="22"/>
        <v>20.29931351</v>
      </c>
      <c r="BS6" s="253">
        <f>'Sourcing_costs_LT_and stdv'!$C$3*BO6/(31*24)</f>
        <v>0.1836637334</v>
      </c>
      <c r="BT6" s="253">
        <f>_xlfn.norm.s.inv($B$41)*sqrt('Sourcing_costs_LT_and stdv'!$N$11*(BQ6^2/(31*24))+(BP6/(31*24))^2*('Sourcing_costs_LT_and stdv'!$N$13)^2)</f>
        <v>20.11564978</v>
      </c>
    </row>
    <row r="7" ht="14.25" customHeight="1">
      <c r="A7" s="77">
        <v>4.0</v>
      </c>
      <c r="B7" s="260" t="s">
        <v>27</v>
      </c>
      <c r="C7" s="249">
        <f>EOQ!C7*$B$24</f>
        <v>101382.5412</v>
      </c>
      <c r="D7" s="249">
        <f>SQRT($B$24)*EOQ!D7</f>
        <v>320.1689395</v>
      </c>
      <c r="E7" s="353">
        <f t="shared" si="1"/>
        <v>1884</v>
      </c>
      <c r="F7" s="253">
        <f t="shared" si="2"/>
        <v>714.2606871</v>
      </c>
      <c r="G7" s="253">
        <f>'Sourcing_costs_LT_and stdv'!$C$3*C7/(31*24)</f>
        <v>699.5031968</v>
      </c>
      <c r="H7" s="253">
        <f>_xlfn.norm.s.inv($B$41)*sqrt('Sourcing_costs_LT_and stdv'!$C$15*(D7^2/(31*24))+(C7/(31*24))^2*('Sourcing_costs_LT_and stdv'!$C$17)^2)</f>
        <v>14.7574903</v>
      </c>
      <c r="I7" s="249">
        <f>EOQ!E7*$B$24</f>
        <v>75967.47896</v>
      </c>
      <c r="J7" s="252">
        <f>SQRT($B$24)*EOQ!F7</f>
        <v>275.7045087</v>
      </c>
      <c r="K7" s="353">
        <f t="shared" si="3"/>
        <v>1884</v>
      </c>
      <c r="L7" s="253">
        <f t="shared" si="4"/>
        <v>593.5218195</v>
      </c>
      <c r="M7" s="253">
        <f>'Sourcing_costs_LT_and stdv'!$C$3*I7/(28*24)</f>
        <v>580.3071309</v>
      </c>
      <c r="N7" s="354">
        <f>_xlfn.norm.s.inv($B$41)*sqrt('Sourcing_costs_LT_and stdv'!$D$15*(J7^2/(28*24))+(I7/(28*24))^2*('Sourcing_costs_LT_and stdv'!$D$17)^2)</f>
        <v>13.21468861</v>
      </c>
      <c r="O7" s="249">
        <f>$B$24*EOQ!G7</f>
        <v>99189.60633</v>
      </c>
      <c r="P7" s="252">
        <f>SQRT($B$24)*EOQ!H7</f>
        <v>317.9274494</v>
      </c>
      <c r="Q7" s="353">
        <f t="shared" si="5"/>
        <v>1884</v>
      </c>
      <c r="R7" s="253">
        <f t="shared" si="6"/>
        <v>946.3872839</v>
      </c>
      <c r="S7" s="253">
        <f>'Sourcing_costs_LT_and stdv'!$C$3*O7/(31*24)</f>
        <v>684.3727318</v>
      </c>
      <c r="T7" s="253">
        <f>_xlfn.norm.s.inv($B$41)*sqrt('Sourcing_costs_LT_and stdv'!$E$15*(P7^2/(31*24))+(O7/(31*24))^2*('Sourcing_costs_LT_and stdv'!$E$17)^2)</f>
        <v>262.0145521</v>
      </c>
      <c r="U7" s="249">
        <f>$B$24*EOQ!I7</f>
        <v>106630.2632</v>
      </c>
      <c r="V7" s="252">
        <f>SQRT($B$24)*EOQ!J7</f>
        <v>329.4504725</v>
      </c>
      <c r="W7" s="353">
        <f t="shared" si="7"/>
        <v>1884</v>
      </c>
      <c r="X7" s="253">
        <f t="shared" si="8"/>
        <v>1049.526672</v>
      </c>
      <c r="Y7" s="253">
        <f>'Sourcing_costs_LT_and stdv'!$C$3*U7/(30*24)</f>
        <v>760.2342841</v>
      </c>
      <c r="Z7" s="253">
        <f>_xlfn.norm.s.inv($B$41)*sqrt('Sourcing_costs_LT_and stdv'!$F$15*(V7^2/(30*24))+(U7/(30*24))^2*('Sourcing_costs_LT_and stdv'!$F$17)^2)</f>
        <v>289.2923879</v>
      </c>
      <c r="AA7" s="249">
        <f>$B$24*EOQ!K7</f>
        <v>115660.5585</v>
      </c>
      <c r="AB7" s="252">
        <f>SQRT($B$24)*EOQ!L7</f>
        <v>342.0010931</v>
      </c>
      <c r="AC7" s="353">
        <f t="shared" si="9"/>
        <v>1884</v>
      </c>
      <c r="AD7" s="253">
        <f t="shared" si="10"/>
        <v>1100.796779</v>
      </c>
      <c r="AE7" s="253">
        <f>'Sourcing_costs_LT_and stdv'!$C$3*AA7/(31*24)</f>
        <v>798.0163985</v>
      </c>
      <c r="AF7" s="253">
        <f>_xlfn.norm.s.inv($B$41)*sqrt('Sourcing_costs_LT_and stdv'!$G$15*(AB7^2/(31*24))+(AA7/(31*24))^2*('Sourcing_costs_LT_and stdv'!$G$17)^2)</f>
        <v>302.7803805</v>
      </c>
      <c r="AG7" s="249">
        <f>$B$24*EOQ!M7</f>
        <v>108938.1118</v>
      </c>
      <c r="AH7" s="252">
        <f>SQRT($B$24)*EOQ!N7</f>
        <v>330.2123807</v>
      </c>
      <c r="AI7" s="353">
        <f t="shared" si="11"/>
        <v>1884</v>
      </c>
      <c r="AJ7" s="253">
        <f t="shared" si="12"/>
        <v>1071.636304</v>
      </c>
      <c r="AK7" s="253">
        <f>'Sourcing_costs_LT_and stdv'!$C$3*AG7/(30*24)</f>
        <v>776.6883894</v>
      </c>
      <c r="AL7" s="253">
        <f>_xlfn.norm.s.inv($B$41)*sqrt('Sourcing_costs_LT_and stdv'!$H$15*(AH7^2/(30*24))+(AG7/(30*24))^2*('Sourcing_costs_LT_and stdv'!$H$17)^2)</f>
        <v>294.9479144</v>
      </c>
      <c r="AM7" s="249">
        <f>$B$24*EOQ!O7</f>
        <v>109474.3753</v>
      </c>
      <c r="AN7" s="252">
        <f>SQRT($B$24)*EOQ!P7</f>
        <v>330.216371</v>
      </c>
      <c r="AO7" s="353">
        <f t="shared" si="13"/>
        <v>1884</v>
      </c>
      <c r="AP7" s="253">
        <f t="shared" si="14"/>
        <v>1042.524491</v>
      </c>
      <c r="AQ7" s="253">
        <f>'Sourcing_costs_LT_and stdv'!$C$3*AM7/(31*24)</f>
        <v>755.3339516</v>
      </c>
      <c r="AR7" s="253">
        <f>_xlfn.norm.s.inv($B$41)*sqrt('Sourcing_costs_LT_and stdv'!$I$15*(AN7^2/(31*24))+(AM7/(31*24))^2*('Sourcing_costs_LT_and stdv'!$I$17)^2)</f>
        <v>287.1905391</v>
      </c>
      <c r="AS7" s="249">
        <f>$B$24*EOQ!Q7</f>
        <v>113256.9486</v>
      </c>
      <c r="AT7" s="264">
        <f>SQRT($B$24)*EOQ!R7</f>
        <v>334.7421976</v>
      </c>
      <c r="AU7" s="353">
        <f t="shared" si="15"/>
        <v>1884</v>
      </c>
      <c r="AV7" s="253">
        <f t="shared" si="16"/>
        <v>1077.906522</v>
      </c>
      <c r="AW7" s="253">
        <f>'Sourcing_costs_LT_and stdv'!$C$3*AS7/(31*24)</f>
        <v>781.4323518</v>
      </c>
      <c r="AX7" s="253">
        <f>_xlfn.norm.s.inv($B$41)*sqrt('Sourcing_costs_LT_and stdv'!$J$15*(AT7^2/(31*24))+(AS7/(31*24))^2*('Sourcing_costs_LT_and stdv'!$J$17)^2)</f>
        <v>296.4741706</v>
      </c>
      <c r="AY7" s="249">
        <f>$B$24*EOQ!S7</f>
        <v>88646.2817</v>
      </c>
      <c r="AZ7" s="252">
        <f>SQRT($B$24)*EOQ!T7</f>
        <v>298.1658518</v>
      </c>
      <c r="BA7" s="355">
        <f t="shared" si="17"/>
        <v>1884</v>
      </c>
      <c r="BB7" s="253">
        <f t="shared" si="18"/>
        <v>874.9364062</v>
      </c>
      <c r="BC7" s="253">
        <f>'Sourcing_costs_LT_and stdv'!$C$3*AY7/(30*24)</f>
        <v>632.0151565</v>
      </c>
      <c r="BD7" s="253">
        <f>_xlfn.norm.s.inv($B$41)*sqrt('Sourcing_costs_LT_and stdv'!$K$15*(AZ7^2/(30*24))+(AY7/(30*24))^2*('Sourcing_costs_LT_and stdv'!$K$17)^2)</f>
        <v>242.9212497</v>
      </c>
      <c r="BE7" s="249">
        <f>$B$24*EOQ!U7</f>
        <v>103901.0648</v>
      </c>
      <c r="BF7" s="264">
        <f>SQRT($B$24)*EOQ!V7</f>
        <v>319.0784751</v>
      </c>
      <c r="BG7" s="353">
        <f t="shared" si="19"/>
        <v>1884</v>
      </c>
      <c r="BH7" s="253">
        <f t="shared" si="20"/>
        <v>716.8801063</v>
      </c>
      <c r="BI7" s="253">
        <f>'Sourcing_costs_LT_and stdv'!$C$3*BE7/(31*24)</f>
        <v>716.8801063</v>
      </c>
      <c r="BJ7" s="253">
        <f>_xlfn.norm.s.inv($B$41)*sqrt('Sourcing_costs_LT_and stdv'!$L$15*(BF7^2/(31*24))+(BE7/(31*24))^2*('Sourcing_costs_LT_and stdv'!$L$17)^2)</f>
        <v>0</v>
      </c>
      <c r="BK7" s="249">
        <f>$B$24*EOQ!W7</f>
        <v>107013.3086</v>
      </c>
      <c r="BL7" s="264">
        <f>SQRT($B$24)*EOQ!X7</f>
        <v>326.4539905</v>
      </c>
      <c r="BM7" s="253">
        <f t="shared" si="21"/>
        <v>0</v>
      </c>
      <c r="BN7" s="253">
        <f>'Sourcing_costs_LT_and stdv'!$C$3*BJ7/(30*24)</f>
        <v>0</v>
      </c>
      <c r="BO7" s="253">
        <f>_xlfn.norm.s.inv($B$41)*sqrt('Sourcing_costs_LT_and stdv'!$M$15*(BL7^2/(30*24))+(BK7/(30*24))^2*('Sourcing_costs_LT_and stdv'!$M$17)^2)</f>
        <v>0</v>
      </c>
      <c r="BP7" s="249">
        <f>$B$24*EOQ!Y7</f>
        <v>92151.14711</v>
      </c>
      <c r="BQ7" s="264">
        <f>SQRT($B$24)*EOQ!Z7</f>
        <v>301.3444034</v>
      </c>
      <c r="BR7" s="253">
        <f t="shared" si="22"/>
        <v>0</v>
      </c>
      <c r="BS7" s="253">
        <f>'Sourcing_costs_LT_and stdv'!$C$3*BO7/(31*24)</f>
        <v>0</v>
      </c>
      <c r="BT7" s="253">
        <f>_xlfn.norm.s.inv($B$41)*sqrt('Sourcing_costs_LT_and stdv'!$N$15*(BQ7^2/(31*24))+(BP7/(31*24))^2*('Sourcing_costs_LT_and stdv'!$N$17)^2)</f>
        <v>0</v>
      </c>
    </row>
    <row r="8" ht="14.25" customHeight="1">
      <c r="A8" s="77">
        <v>5.0</v>
      </c>
      <c r="B8" s="260" t="s">
        <v>29</v>
      </c>
      <c r="C8" s="249">
        <f>EOQ!C8*$B$24</f>
        <v>73573.44521</v>
      </c>
      <c r="D8" s="249">
        <f>SQRT($B$24)*EOQ!D8</f>
        <v>275.015929</v>
      </c>
      <c r="E8" s="353">
        <f t="shared" si="1"/>
        <v>1884</v>
      </c>
      <c r="F8" s="253">
        <f t="shared" si="2"/>
        <v>520.0423499</v>
      </c>
      <c r="G8" s="253">
        <f>'Sourcing_costs_LT_and stdv'!$C$3*C8/(31*24)</f>
        <v>507.6304015</v>
      </c>
      <c r="H8" s="253">
        <f>_xlfn.norm.s.inv($B$41)*sqrt('Sourcing_costs_LT_and stdv'!$C$19*(D8^2/(31*24))+(C8/(31*24))^2*('Sourcing_costs_LT_and stdv'!$C$21)^2)</f>
        <v>12.41194839</v>
      </c>
      <c r="I8" s="249">
        <f>EOQ!E8*$B$24</f>
        <v>53348.64809</v>
      </c>
      <c r="J8" s="252">
        <f>SQRT($B$24)*EOQ!F8</f>
        <v>233.086261</v>
      </c>
      <c r="K8" s="353">
        <f t="shared" si="3"/>
        <v>1884</v>
      </c>
      <c r="L8" s="253">
        <f t="shared" si="4"/>
        <v>426.9809908</v>
      </c>
      <c r="M8" s="253">
        <f>'Sourcing_costs_LT_and stdv'!$C$3*I8/(28*24)</f>
        <v>407.5243951</v>
      </c>
      <c r="N8" s="354">
        <f>_xlfn.norm.s.inv($B$41)*sqrt('Sourcing_costs_LT_and stdv'!$D$19*(J8^2/(28*24))+(I8/(28*24))^2*('Sourcing_costs_LT_and stdv'!$D$21)^2)</f>
        <v>19.45659573</v>
      </c>
      <c r="O8" s="249">
        <f>$B$24*EOQ!G8</f>
        <v>75479.09607</v>
      </c>
      <c r="P8" s="252">
        <f>SQRT($B$24)*EOQ!H8</f>
        <v>274.1659841</v>
      </c>
      <c r="Q8" s="353">
        <f t="shared" si="5"/>
        <v>1884</v>
      </c>
      <c r="R8" s="253">
        <f t="shared" si="6"/>
        <v>520.7787094</v>
      </c>
      <c r="S8" s="253">
        <f>'Sourcing_costs_LT_and stdv'!$C$3*O8/(31*24)</f>
        <v>520.7787094</v>
      </c>
      <c r="T8" s="253">
        <f>_xlfn.norm.s.inv($B$41)*sqrt('Sourcing_costs_LT_and stdv'!$E$19*(P8^2/(31*24))+(O8/(31*24))^2*('Sourcing_costs_LT_and stdv'!$E$21)^2)</f>
        <v>0</v>
      </c>
      <c r="U8" s="249">
        <f>$B$24*EOQ!I8</f>
        <v>64897.4669</v>
      </c>
      <c r="V8" s="252">
        <f>SQRT($B$24)*EOQ!J8</f>
        <v>255.3360566</v>
      </c>
      <c r="W8" s="353">
        <f t="shared" si="7"/>
        <v>1884</v>
      </c>
      <c r="X8" s="253">
        <f t="shared" si="8"/>
        <v>462.6949029</v>
      </c>
      <c r="Y8" s="253">
        <f>'Sourcing_costs_LT_and stdv'!$C$3*U8/(30*24)</f>
        <v>462.6949029</v>
      </c>
      <c r="Z8" s="253">
        <f>_xlfn.norm.s.inv($B$41)*sqrt('Sourcing_costs_LT_and stdv'!$F$19*(V8^2/(30*24))+(U8/(30*24))^2*('Sourcing_costs_LT_and stdv'!$F$21)^2)</f>
        <v>0</v>
      </c>
      <c r="AA8" s="249">
        <f>$B$24*EOQ!K8</f>
        <v>66965.91206</v>
      </c>
      <c r="AB8" s="252">
        <f>SQRT($B$24)*EOQ!L8</f>
        <v>259.4022716</v>
      </c>
      <c r="AC8" s="353">
        <f t="shared" si="9"/>
        <v>1884</v>
      </c>
      <c r="AD8" s="253">
        <f t="shared" si="10"/>
        <v>583.604368</v>
      </c>
      <c r="AE8" s="253">
        <f>'Sourcing_costs_LT_and stdv'!$C$3*AA8/(31*24)</f>
        <v>462.0407911</v>
      </c>
      <c r="AF8" s="253">
        <f>_xlfn.norm.s.inv($B$41)*sqrt('Sourcing_costs_LT_and stdv'!$G$19*(AB8^2/(31*24))+(AA8/(31*24))^2*('Sourcing_costs_LT_and stdv'!$G$21)^2)</f>
        <v>121.5635769</v>
      </c>
      <c r="AG8" s="249">
        <f>$B$24*EOQ!M8</f>
        <v>57744.09405</v>
      </c>
      <c r="AH8" s="252">
        <f>SQRT($B$24)*EOQ!N8</f>
        <v>240.2583608</v>
      </c>
      <c r="AI8" s="353">
        <f t="shared" si="11"/>
        <v>1884</v>
      </c>
      <c r="AJ8" s="253">
        <f t="shared" si="12"/>
        <v>698.0960466</v>
      </c>
      <c r="AK8" s="253">
        <f>'Sourcing_costs_LT_and stdv'!$C$3*AG8/(30*24)</f>
        <v>411.6940039</v>
      </c>
      <c r="AL8" s="253">
        <f>_xlfn.norm.s.inv($B$41)*sqrt('Sourcing_costs_LT_and stdv'!$H$19*(AH8^2/(30*24))+(AG8/(30*24))^2*('Sourcing_costs_LT_and stdv'!$H$21)^2)</f>
        <v>286.4020427</v>
      </c>
      <c r="AM8" s="249">
        <f>$B$24*EOQ!O8</f>
        <v>58136.71559</v>
      </c>
      <c r="AN8" s="252">
        <f>SQRT($B$24)*EOQ!P8</f>
        <v>242.1518288</v>
      </c>
      <c r="AO8" s="353">
        <f t="shared" si="13"/>
        <v>1884</v>
      </c>
      <c r="AP8" s="253">
        <f t="shared" si="14"/>
        <v>680.7076216</v>
      </c>
      <c r="AQ8" s="253">
        <f>'Sourcing_costs_LT_and stdv'!$C$3*AM8/(31*24)</f>
        <v>401.1225</v>
      </c>
      <c r="AR8" s="253">
        <f>_xlfn.norm.s.inv($B$41)*sqrt('Sourcing_costs_LT_and stdv'!$I$19*(AN8^2/(31*24))+(AM8/(31*24))^2*('Sourcing_costs_LT_and stdv'!$I$21)^2)</f>
        <v>279.5851216</v>
      </c>
      <c r="AS8" s="249">
        <f>$B$24*EOQ!Q8</f>
        <v>61114.89357</v>
      </c>
      <c r="AT8" s="264">
        <f>SQRT($B$24)*EOQ!R8</f>
        <v>247.2725111</v>
      </c>
      <c r="AU8" s="353">
        <f t="shared" si="15"/>
        <v>1884</v>
      </c>
      <c r="AV8" s="253">
        <f t="shared" si="16"/>
        <v>714.6497034</v>
      </c>
      <c r="AW8" s="253">
        <f>'Sourcing_costs_LT_and stdv'!$C$3*AS8/(31*24)</f>
        <v>421.6708607</v>
      </c>
      <c r="AX8" s="253">
        <f>_xlfn.norm.s.inv($B$41)*sqrt('Sourcing_costs_LT_and stdv'!$J$19*(AT8^2/(31*24))+(AS8/(31*24))^2*('Sourcing_costs_LT_and stdv'!$J$21)^2)</f>
        <v>292.9788428</v>
      </c>
      <c r="AY8" s="249">
        <f>$B$24*EOQ!S8</f>
        <v>52879.41747</v>
      </c>
      <c r="AZ8" s="264">
        <f>SQRT($B$24)*EOQ!T8</f>
        <v>231.630537</v>
      </c>
      <c r="BA8" s="353">
        <f t="shared" si="17"/>
        <v>1884</v>
      </c>
      <c r="BB8" s="253">
        <f t="shared" si="18"/>
        <v>640.8206335</v>
      </c>
      <c r="BC8" s="253">
        <f>'Sourcing_costs_LT_and stdv'!$C$3*AY8/(30*24)</f>
        <v>377.0106616</v>
      </c>
      <c r="BD8" s="253">
        <f>_xlfn.norm.s.inv($B$41)*sqrt('Sourcing_costs_LT_and stdv'!$K$19*(AZ8^2/(30*24))+(AY8/(30*24))^2*('Sourcing_costs_LT_and stdv'!$K$21)^2)</f>
        <v>263.8099719</v>
      </c>
      <c r="BE8" s="249">
        <f>$B$24*EOQ!U8</f>
        <v>60444.56412</v>
      </c>
      <c r="BF8" s="264">
        <f>SQRT($B$24)*EOQ!V8</f>
        <v>245.8131909</v>
      </c>
      <c r="BG8" s="353">
        <f t="shared" si="19"/>
        <v>1884</v>
      </c>
      <c r="BH8" s="253">
        <f t="shared" si="20"/>
        <v>706.9691909</v>
      </c>
      <c r="BI8" s="253">
        <f>'Sourcing_costs_LT_and stdv'!$C$3*BE8/(31*24)</f>
        <v>417.0458277</v>
      </c>
      <c r="BJ8" s="253">
        <f>_xlfn.norm.s.inv($B$41)*sqrt('Sourcing_costs_LT_and stdv'!$L$19*(BF8^2/(31*24))+(BE8/(31*24))^2*('Sourcing_costs_LT_and stdv'!$L$21)^2)</f>
        <v>289.9233632</v>
      </c>
      <c r="BK8" s="249">
        <f>$B$24*EOQ!W8</f>
        <v>57533.41908</v>
      </c>
      <c r="BL8" s="264">
        <f>SQRT($B$24)*EOQ!X8</f>
        <v>237.98536</v>
      </c>
      <c r="BM8" s="253">
        <f t="shared" si="21"/>
        <v>287.2441622</v>
      </c>
      <c r="BN8" s="253">
        <f>'Sourcing_costs_LT_and stdv'!$C$3*BJ8/(30*24)</f>
        <v>2.067046201</v>
      </c>
      <c r="BO8" s="253">
        <f>_xlfn.norm.s.inv($B$41)*sqrt('Sourcing_costs_LT_and stdv'!$M$19*(BL8^2/(30*24))+(BK8/(30*24))^2*('Sourcing_costs_LT_and stdv'!$M$21)^2)</f>
        <v>285.177116</v>
      </c>
      <c r="BP8" s="249">
        <f>$B$24*EOQ!Y8</f>
        <v>57255.71117</v>
      </c>
      <c r="BQ8" s="264">
        <f>SQRT($B$24)*EOQ!Z8</f>
        <v>241.376673</v>
      </c>
      <c r="BR8" s="253">
        <f t="shared" si="22"/>
        <v>277.6916834</v>
      </c>
      <c r="BS8" s="253">
        <f>'Sourcing_costs_LT_and stdv'!$C$3*BO8/(31*24)</f>
        <v>1.967619886</v>
      </c>
      <c r="BT8" s="253">
        <f>_xlfn.norm.s.inv($B$41)*sqrt('Sourcing_costs_LT_and stdv'!$N$19*(BQ8^2/(31*24))+(BP8/(31*24))^2*('Sourcing_costs_LT_and stdv'!$N$21)^2)</f>
        <v>275.7240635</v>
      </c>
    </row>
    <row r="9" ht="14.25" customHeight="1">
      <c r="A9" s="77">
        <v>6.0</v>
      </c>
      <c r="B9" s="260" t="s">
        <v>31</v>
      </c>
      <c r="C9" s="249">
        <f>EOQ!C9*$B$24</f>
        <v>13933.27643</v>
      </c>
      <c r="D9" s="249">
        <f>SQRT($B$24)*EOQ!D9</f>
        <v>118.4562648</v>
      </c>
      <c r="E9" s="353">
        <f t="shared" si="1"/>
        <v>1884</v>
      </c>
      <c r="F9" s="253">
        <f t="shared" si="2"/>
        <v>102.9802944</v>
      </c>
      <c r="G9" s="253">
        <f>'Sourcing_costs_LT_and stdv'!$C$3*C9/(31*24)</f>
        <v>96.13461333</v>
      </c>
      <c r="H9" s="253">
        <f>_xlfn.norm.s.inv($B$41)*sqrt('Sourcing_costs_LT_and stdv'!$C$23*(D9^2/(31*24))+(C9/(31*24))^2*('Sourcing_costs_LT_and stdv'!$C$25)^2)</f>
        <v>6.845681055</v>
      </c>
      <c r="I9" s="249">
        <f>EOQ!E9*$B$24</f>
        <v>11816.95059</v>
      </c>
      <c r="J9" s="252">
        <f>SQRT($B$24)*EOQ!F9</f>
        <v>108.0751846</v>
      </c>
      <c r="K9" s="353">
        <f t="shared" si="3"/>
        <v>1884</v>
      </c>
      <c r="L9" s="253">
        <f t="shared" si="4"/>
        <v>96.77504936</v>
      </c>
      <c r="M9" s="253">
        <f>'Sourcing_costs_LT_and stdv'!$C$3*I9/(28*24)</f>
        <v>90.26837256</v>
      </c>
      <c r="N9" s="354">
        <f>_xlfn.norm.s.inv($B$41)*sqrt('Sourcing_costs_LT_and stdv'!$D$23*(J9^2/(28*24))+(I9/(28*24))^2*('Sourcing_costs_LT_and stdv'!$D$25)^2)</f>
        <v>6.506676793</v>
      </c>
      <c r="O9" s="249">
        <f>$B$24*EOQ!G9</f>
        <v>15934.68864</v>
      </c>
      <c r="P9" s="252">
        <f>SQRT($B$24)*EOQ!H9</f>
        <v>126.9554741</v>
      </c>
      <c r="Q9" s="353">
        <f t="shared" si="5"/>
        <v>1884</v>
      </c>
      <c r="R9" s="253">
        <f t="shared" si="6"/>
        <v>483.376736</v>
      </c>
      <c r="S9" s="253">
        <f>'Sourcing_costs_LT_and stdv'!$C$3*O9/(31*24)</f>
        <v>109.9436403</v>
      </c>
      <c r="T9" s="253">
        <f>_xlfn.norm.s.inv($B$41)*sqrt('Sourcing_costs_LT_and stdv'!$E$23*(P9^2/(31*24))+(O9/(31*24))^2*('Sourcing_costs_LT_and stdv'!$E$25)^2)</f>
        <v>373.4330958</v>
      </c>
      <c r="U9" s="249">
        <f>$B$24*EOQ!I9</f>
        <v>17514.75092</v>
      </c>
      <c r="V9" s="252">
        <f>SQRT($B$24)*EOQ!J9</f>
        <v>131.6714154</v>
      </c>
      <c r="W9" s="353">
        <f t="shared" si="7"/>
        <v>1884</v>
      </c>
      <c r="X9" s="253">
        <f t="shared" si="8"/>
        <v>547.646714</v>
      </c>
      <c r="Y9" s="253">
        <f>'Sourcing_costs_LT_and stdv'!$C$3*U9/(30*24)</f>
        <v>124.8736871</v>
      </c>
      <c r="Z9" s="253">
        <f>_xlfn.norm.s.inv($B$41)*sqrt('Sourcing_costs_LT_and stdv'!$F$23*(V9^2/(30*24))+(U9/(30*24))^2*('Sourcing_costs_LT_and stdv'!$F$25)^2)</f>
        <v>422.773027</v>
      </c>
      <c r="AA9" s="249">
        <f>$B$24*EOQ!K9</f>
        <v>21565.45602</v>
      </c>
      <c r="AB9" s="252">
        <f>SQRT($B$24)*EOQ!L9</f>
        <v>147.2701787</v>
      </c>
      <c r="AC9" s="353">
        <f t="shared" si="9"/>
        <v>1884</v>
      </c>
      <c r="AD9" s="253">
        <f t="shared" si="10"/>
        <v>651.0476939</v>
      </c>
      <c r="AE9" s="253">
        <f>'Sourcing_costs_LT_and stdv'!$C$3*AA9/(31*24)</f>
        <v>148.793917</v>
      </c>
      <c r="AF9" s="253">
        <f>_xlfn.norm.s.inv($B$41)*sqrt('Sourcing_costs_LT_and stdv'!$G$23*(AB9^2/(31*24))+(AA9/(31*24))^2*('Sourcing_costs_LT_and stdv'!$G$25)^2)</f>
        <v>502.2537769</v>
      </c>
      <c r="AG9" s="249">
        <f>$B$24*EOQ!M9</f>
        <v>19276.75976</v>
      </c>
      <c r="AH9" s="252">
        <f>SQRT($B$24)*EOQ!N9</f>
        <v>137.4120124</v>
      </c>
      <c r="AI9" s="353">
        <f t="shared" si="11"/>
        <v>1884</v>
      </c>
      <c r="AJ9" s="253">
        <f t="shared" si="12"/>
        <v>601.7899908</v>
      </c>
      <c r="AK9" s="253">
        <f>'Sourcing_costs_LT_and stdv'!$C$3*AG9/(30*24)</f>
        <v>137.4361575</v>
      </c>
      <c r="AL9" s="253">
        <f>_xlfn.norm.s.inv($B$41)*sqrt('Sourcing_costs_LT_and stdv'!$H$23*(AH9^2/(30*24))+(AG9/(30*24))^2*('Sourcing_costs_LT_and stdv'!$H$25)^2)</f>
        <v>464.3538333</v>
      </c>
      <c r="AM9" s="249">
        <f>$B$24*EOQ!O9</f>
        <v>23432.80235</v>
      </c>
      <c r="AN9" s="252">
        <f>SQRT($B$24)*EOQ!P9</f>
        <v>153.6777376</v>
      </c>
      <c r="AO9" s="353">
        <f t="shared" si="13"/>
        <v>1884</v>
      </c>
      <c r="AP9" s="253">
        <f t="shared" si="14"/>
        <v>706.6851839</v>
      </c>
      <c r="AQ9" s="253">
        <f>'Sourcing_costs_LT_and stdv'!$C$3*AM9/(31*24)</f>
        <v>161.6779373</v>
      </c>
      <c r="AR9" s="253">
        <f>_xlfn.norm.s.inv($B$41)*sqrt('Sourcing_costs_LT_and stdv'!$I$23*(AN9^2/(31*24))+(AM9/(31*24))^2*('Sourcing_costs_LT_and stdv'!$I$25)^2)</f>
        <v>545.0072466</v>
      </c>
      <c r="AS9" s="249">
        <f>$B$24*EOQ!Q9</f>
        <v>20234.37326</v>
      </c>
      <c r="AT9" s="264">
        <f>SQRT($B$24)*EOQ!R9</f>
        <v>143.5717653</v>
      </c>
      <c r="AU9" s="353">
        <f t="shared" si="15"/>
        <v>1884</v>
      </c>
      <c r="AV9" s="253">
        <f t="shared" si="16"/>
        <v>611.5132632</v>
      </c>
      <c r="AW9" s="253">
        <f>'Sourcing_costs_LT_and stdv'!$C$3*AS9/(31*24)</f>
        <v>139.609923</v>
      </c>
      <c r="AX9" s="253">
        <f>_xlfn.norm.s.inv($B$41)*sqrt('Sourcing_costs_LT_and stdv'!$J$23*(AT9^2/(31*24))+(AS9/(31*24))^2*('Sourcing_costs_LT_and stdv'!$J$25)^2)</f>
        <v>471.9033402</v>
      </c>
      <c r="AY9" s="249">
        <f>$B$24*EOQ!S9</f>
        <v>17869.06791</v>
      </c>
      <c r="AZ9" s="264">
        <f>SQRT($B$24)*EOQ!T9</f>
        <v>132.8057513</v>
      </c>
      <c r="BA9" s="353">
        <f t="shared" si="17"/>
        <v>1884</v>
      </c>
      <c r="BB9" s="253">
        <f t="shared" si="18"/>
        <v>217.7084613</v>
      </c>
      <c r="BC9" s="253">
        <f>'Sourcing_costs_LT_and stdv'!$C$3*AY9/(30*24)</f>
        <v>127.399836</v>
      </c>
      <c r="BD9" s="253">
        <f>_xlfn.norm.s.inv($B$41)*sqrt('Sourcing_costs_LT_and stdv'!$K$23*(AZ9^2/(30*24))+(AY9/(30*24))^2*('Sourcing_costs_LT_and stdv'!$K$25)^2)</f>
        <v>90.30862528</v>
      </c>
      <c r="BE9" s="249">
        <f>$B$24*EOQ!U9</f>
        <v>262941.5148</v>
      </c>
      <c r="BF9" s="264">
        <f>SQRT($B$24)*EOQ!V9</f>
        <v>513.7840482</v>
      </c>
      <c r="BG9" s="353">
        <f t="shared" si="19"/>
        <v>1884</v>
      </c>
      <c r="BH9" s="253">
        <f t="shared" si="20"/>
        <v>7839.687859</v>
      </c>
      <c r="BI9" s="253">
        <f>'Sourcing_costs_LT_and stdv'!$C$3*BE9/(31*24)</f>
        <v>1814.202208</v>
      </c>
      <c r="BJ9" s="253">
        <f>_xlfn.norm.s.inv($B$41)*sqrt('Sourcing_costs_LT_and stdv'!$L$23*(BF9^2/(31*24))+(BE9/(31*24))^2*('Sourcing_costs_LT_and stdv'!$L$25)^2)</f>
        <v>6025.485651</v>
      </c>
      <c r="BK9" s="249">
        <f>$B$24*EOQ!W9</f>
        <v>21201.56289</v>
      </c>
      <c r="BL9" s="264">
        <f>SQRT($B$24)*EOQ!X9</f>
        <v>145.338343</v>
      </c>
      <c r="BM9" s="253">
        <f t="shared" si="21"/>
        <v>159.3488872</v>
      </c>
      <c r="BN9" s="253">
        <f>'Sourcing_costs_LT_and stdv'!$C$3*BJ9/(30*24)</f>
        <v>42.95948103</v>
      </c>
      <c r="BO9" s="253">
        <f>_xlfn.norm.s.inv($B$41)*sqrt('Sourcing_costs_LT_and stdv'!$M$23*(BL9^2/(30*24))+(BK9/(30*24))^2*('Sourcing_costs_LT_and stdv'!$M$25)^2)</f>
        <v>116.3894061</v>
      </c>
      <c r="BP9" s="249">
        <f>$B$24*EOQ!Y9</f>
        <v>16413.49539</v>
      </c>
      <c r="BQ9" s="264">
        <f>SQRT($B$24)*EOQ!Z9</f>
        <v>128.5710682</v>
      </c>
      <c r="BR9" s="253">
        <f t="shared" si="22"/>
        <v>385.1577199</v>
      </c>
      <c r="BS9" s="253">
        <f>'Sourcing_costs_LT_and stdv'!$C$3*BO9/(31*24)</f>
        <v>0.8030451858</v>
      </c>
      <c r="BT9" s="253">
        <f>_xlfn.norm.s.inv($B$41)*sqrt('Sourcing_costs_LT_and stdv'!$N$23*(BQ9^2/(31*24))+(BP9/(31*24))^2*('Sourcing_costs_LT_and stdv'!$N$25)^2)</f>
        <v>384.3546747</v>
      </c>
    </row>
    <row r="10" ht="14.25" customHeight="1">
      <c r="A10" s="77">
        <v>7.0</v>
      </c>
      <c r="B10" s="260" t="s">
        <v>33</v>
      </c>
      <c r="C10" s="249">
        <f>EOQ!C10*$B$24</f>
        <v>9.576135</v>
      </c>
      <c r="D10" s="249">
        <f>SQRT($B$24)*EOQ!D10</f>
        <v>3.094378352</v>
      </c>
      <c r="E10" s="353">
        <f t="shared" si="1"/>
        <v>1884</v>
      </c>
      <c r="F10" s="253">
        <f t="shared" si="2"/>
        <v>0.3892900886</v>
      </c>
      <c r="G10" s="253">
        <f>'Sourcing_costs_LT_and stdv'!$C$3*C10/(31*24)</f>
        <v>0.06607189919</v>
      </c>
      <c r="H10" s="253">
        <f>_xlfn.norm.s.inv($B$41)*sqrt('Sourcing_costs_LT_and stdv'!$C$27*(D10^2/(31*24))+(C10/(31*24))^2*('Sourcing_costs_LT_and stdv'!$C$29)^2)</f>
        <v>0.3232181894</v>
      </c>
      <c r="I10" s="249">
        <f>EOQ!E10*$B$24</f>
        <v>0</v>
      </c>
      <c r="J10" s="252">
        <f>SQRT($B$24)*EOQ!F10</f>
        <v>0</v>
      </c>
      <c r="K10" s="353">
        <f t="shared" si="3"/>
        <v>1884</v>
      </c>
      <c r="L10" s="253">
        <f t="shared" si="4"/>
        <v>0</v>
      </c>
      <c r="M10" s="253">
        <f>'Sourcing_costs_LT_and stdv'!$C$3*I10/(28*24)</f>
        <v>0</v>
      </c>
      <c r="N10" s="354">
        <f>_xlfn.norm.s.inv($B$41)*sqrt('Sourcing_costs_LT_and stdv'!$D$27*(J10^2/(28*24))+(I10/(28*24))^2*('Sourcing_costs_LT_and stdv'!$D$29)^2)</f>
        <v>0</v>
      </c>
      <c r="O10" s="249">
        <f>$B$24*EOQ!G10</f>
        <v>0</v>
      </c>
      <c r="P10" s="252">
        <f>SQRT($B$24)*EOQ!H10</f>
        <v>0</v>
      </c>
      <c r="Q10" s="353">
        <f t="shared" si="5"/>
        <v>1884</v>
      </c>
      <c r="R10" s="253">
        <f t="shared" si="6"/>
        <v>0</v>
      </c>
      <c r="S10" s="253">
        <f>'Sourcing_costs_LT_and stdv'!$C$3*O10/(31*24)</f>
        <v>0</v>
      </c>
      <c r="T10" s="253">
        <f>_xlfn.norm.s.inv($B$41)*sqrt('Sourcing_costs_LT_and stdv'!$E$27*(P10^2/(31*24))+(O10/(31*24))^2*('Sourcing_costs_LT_and stdv'!$E$29)^2)</f>
        <v>0</v>
      </c>
      <c r="U10" s="249">
        <f>$B$24*EOQ!I10</f>
        <v>28.728405</v>
      </c>
      <c r="V10" s="252">
        <f>SQRT($B$24)*EOQ!J10</f>
        <v>5.359084481</v>
      </c>
      <c r="W10" s="353">
        <f t="shared" si="7"/>
        <v>1884</v>
      </c>
      <c r="X10" s="253">
        <f t="shared" si="8"/>
        <v>0.4371219446</v>
      </c>
      <c r="Y10" s="253">
        <f>'Sourcing_costs_LT_and stdv'!$C$3*U10/(30*24)</f>
        <v>0.2048228875</v>
      </c>
      <c r="Z10" s="253">
        <f>_xlfn.norm.s.inv($B$41)*sqrt('Sourcing_costs_LT_and stdv'!$F$27*(V10^2/(30*24))+(U10/(30*24))^2*('Sourcing_costs_LT_and stdv'!$F$29)^2)</f>
        <v>0.2322990571</v>
      </c>
      <c r="AA10" s="249">
        <f>$B$24*EOQ!K10</f>
        <v>9.576135</v>
      </c>
      <c r="AB10" s="252">
        <f>SQRT($B$24)*EOQ!L10</f>
        <v>3.094378352</v>
      </c>
      <c r="AC10" s="353">
        <f t="shared" si="9"/>
        <v>1884</v>
      </c>
      <c r="AD10" s="253">
        <f t="shared" si="10"/>
        <v>0.1980198649</v>
      </c>
      <c r="AE10" s="253">
        <f>'Sourcing_costs_LT_and stdv'!$C$3*AA10/(31*24)</f>
        <v>0.06607189919</v>
      </c>
      <c r="AF10" s="253">
        <f>_xlfn.norm.s.inv($B$41)*sqrt('Sourcing_costs_LT_and stdv'!$G$27*(AB10^2/(31*24))+(AA10/(31*24))^2*('Sourcing_costs_LT_and stdv'!$G$29)^2)</f>
        <v>0.1319479657</v>
      </c>
      <c r="AG10" s="249">
        <f>$B$24*EOQ!M10</f>
        <v>0</v>
      </c>
      <c r="AH10" s="252">
        <f>SQRT($B$24)*EOQ!N10</f>
        <v>0</v>
      </c>
      <c r="AI10" s="353">
        <f t="shared" si="11"/>
        <v>1884</v>
      </c>
      <c r="AJ10" s="253">
        <f t="shared" si="12"/>
        <v>0</v>
      </c>
      <c r="AK10" s="253">
        <f>'Sourcing_costs_LT_and stdv'!$C$3*AG10/(30*24)</f>
        <v>0</v>
      </c>
      <c r="AL10" s="253">
        <f>_xlfn.norm.s.inv($B$41)*sqrt('Sourcing_costs_LT_and stdv'!$H$27*(AH10^2/(30*24))+(AG10/(30*24))^2*('Sourcing_costs_LT_and stdv'!$H$29)^2)</f>
        <v>0</v>
      </c>
      <c r="AM10" s="249">
        <f>$B$24*EOQ!O10</f>
        <v>0</v>
      </c>
      <c r="AN10" s="252">
        <f>SQRT($B$24)*EOQ!P10</f>
        <v>0</v>
      </c>
      <c r="AO10" s="353">
        <f t="shared" si="13"/>
        <v>1884</v>
      </c>
      <c r="AP10" s="253">
        <f t="shared" si="14"/>
        <v>0</v>
      </c>
      <c r="AQ10" s="253">
        <f>'Sourcing_costs_LT_and stdv'!$C$3*AM10/(31*24)</f>
        <v>0</v>
      </c>
      <c r="AR10" s="253">
        <f>_xlfn.norm.s.inv($B$41)*sqrt('Sourcing_costs_LT_and stdv'!$I$27*(AN10^2/(31*24))+(AM10/(31*24))^2*('Sourcing_costs_LT_and stdv'!$I$29)^2)</f>
        <v>0</v>
      </c>
      <c r="AS10" s="249">
        <f>$B$24*EOQ!Q10</f>
        <v>76.60908</v>
      </c>
      <c r="AT10" s="264">
        <f>SQRT($B$24)*EOQ!R10</f>
        <v>8.749159545</v>
      </c>
      <c r="AU10" s="353">
        <f t="shared" si="15"/>
        <v>1884</v>
      </c>
      <c r="AV10" s="253">
        <f t="shared" si="16"/>
        <v>0.9016707673</v>
      </c>
      <c r="AW10" s="253">
        <f>'Sourcing_costs_LT_and stdv'!$C$3*AS10/(31*24)</f>
        <v>0.5285751935</v>
      </c>
      <c r="AX10" s="253">
        <f>_xlfn.norm.s.inv($B$41)*sqrt('Sourcing_costs_LT_and stdv'!$J$27*(AT10^2/(31*24))+(AS10/(31*24))^2*('Sourcing_costs_LT_and stdv'!$J$29)^2)</f>
        <v>0.3730955737</v>
      </c>
      <c r="AY10" s="249">
        <f>$B$24*EOQ!S10</f>
        <v>1503.453195</v>
      </c>
      <c r="AZ10" s="264">
        <f>SQRT($B$24)*EOQ!T10</f>
        <v>38.96348957</v>
      </c>
      <c r="BA10" s="353">
        <f t="shared" si="17"/>
        <v>1884</v>
      </c>
      <c r="BB10" s="253">
        <f t="shared" si="18"/>
        <v>12.41014553</v>
      </c>
      <c r="BC10" s="253">
        <f>'Sourcing_costs_LT_and stdv'!$C$3*AY10/(30*24)</f>
        <v>10.71906445</v>
      </c>
      <c r="BD10" s="253">
        <f>_xlfn.norm.s.inv($B$41)*sqrt('Sourcing_costs_LT_and stdv'!$K$27*(AZ10^2/(30*24))+(AY10/(30*24))^2*('Sourcing_costs_LT_and stdv'!$K$29)^2)</f>
        <v>1.691081088</v>
      </c>
      <c r="BE10" s="249">
        <f>$B$24*EOQ!U10</f>
        <v>7038.459225</v>
      </c>
      <c r="BF10" s="252">
        <f>SQRT($B$24)*EOQ!V10</f>
        <v>84.0083093</v>
      </c>
      <c r="BG10" s="356">
        <f t="shared" si="19"/>
        <v>1884</v>
      </c>
      <c r="BH10" s="253">
        <f t="shared" si="20"/>
        <v>52.16609269</v>
      </c>
      <c r="BI10" s="253">
        <f>'Sourcing_costs_LT_and stdv'!$C$3*BE10/(31*24)</f>
        <v>48.56284591</v>
      </c>
      <c r="BJ10" s="253">
        <f>_xlfn.norm.s.inv($B$41)*sqrt('Sourcing_costs_LT_and stdv'!$L$27*(BF10^2/(31*24))+(BE10/(31*24))^2*('Sourcing_costs_LT_and stdv'!$L$29)^2)</f>
        <v>3.603246781</v>
      </c>
      <c r="BK10" s="249">
        <f>$B$24*EOQ!W10</f>
        <v>5975.50824</v>
      </c>
      <c r="BL10" s="252">
        <f>SQRT($B$24)*EOQ!X10</f>
        <v>76.37056871</v>
      </c>
      <c r="BM10" s="253">
        <f t="shared" si="21"/>
        <v>8.388877227</v>
      </c>
      <c r="BN10" s="253">
        <f>'Sourcing_costs_LT_and stdv'!$C$3*BJ10/(30*24)</f>
        <v>0.02568981501</v>
      </c>
      <c r="BO10" s="253">
        <f>_xlfn.norm.s.inv($B$41)*sqrt('Sourcing_costs_LT_and stdv'!$M$27*(BL10^2/(30*24))+(BK10/(30*24))^2*('Sourcing_costs_LT_and stdv'!$M$29)^2)</f>
        <v>8.363187412</v>
      </c>
      <c r="BP10" s="249">
        <f>$B$24*EOQ!Y10</f>
        <v>1790.737245</v>
      </c>
      <c r="BQ10" s="252">
        <f>SQRT($B$24)*EOQ!Z10</f>
        <v>41.91957131</v>
      </c>
      <c r="BR10" s="253">
        <f t="shared" si="22"/>
        <v>1.847926977</v>
      </c>
      <c r="BS10" s="253">
        <f>'Sourcing_costs_LT_and stdv'!$C$3*BO10/(31*24)</f>
        <v>0.05770299559</v>
      </c>
      <c r="BT10" s="253">
        <f>_xlfn.norm.s.inv($B$41)*sqrt('Sourcing_costs_LT_and stdv'!$N$27*(BQ10^2/(31*24))+(BP10/(31*24))^2*('Sourcing_costs_LT_and stdv'!$N$29)^2)</f>
        <v>1.790223982</v>
      </c>
    </row>
    <row r="11" ht="14.25" customHeight="1">
      <c r="A11" s="79">
        <v>8.0</v>
      </c>
      <c r="B11" s="269" t="s">
        <v>35</v>
      </c>
      <c r="C11" s="270">
        <f>EOQ!C11*$B$24</f>
        <v>111073.5899</v>
      </c>
      <c r="D11" s="270">
        <f>SQRT($B$24)*EOQ!D11</f>
        <v>335.6009344</v>
      </c>
      <c r="E11" s="357">
        <f t="shared" si="1"/>
        <v>1884</v>
      </c>
      <c r="F11" s="275">
        <f t="shared" si="2"/>
        <v>901.0867445</v>
      </c>
      <c r="G11" s="275">
        <f>'Sourcing_costs_LT_and stdv'!$C$3*C11/(31*24)</f>
        <v>766.3679587</v>
      </c>
      <c r="H11" s="275">
        <f>_xlfn.norm.s.inv($B$41)*sqrt('Sourcing_costs_LT_and stdv'!$C$31*(D11^2/(31*24))+(C11/(31*24))^2*('Sourcing_costs_LT_and stdv'!$C$33)^2)</f>
        <v>134.7187857</v>
      </c>
      <c r="I11" s="270">
        <f>EOQ!E11*$B$24</f>
        <v>108737.0129</v>
      </c>
      <c r="J11" s="274">
        <f>SQRT($B$24)*EOQ!F11</f>
        <v>330.0780126</v>
      </c>
      <c r="K11" s="357">
        <f t="shared" si="3"/>
        <v>1884</v>
      </c>
      <c r="L11" s="275">
        <f t="shared" si="4"/>
        <v>1392.48797</v>
      </c>
      <c r="M11" s="275">
        <f>'Sourcing_costs_LT_and stdv'!$C$3*I11/(28*24)</f>
        <v>830.6299598</v>
      </c>
      <c r="N11" s="358">
        <f>_xlfn.norm.s.inv($B$41)*sqrt('Sourcing_costs_LT_and stdv'!$D$31*(J11^2/(28*24))+(I11/(28*24))^2*('Sourcing_costs_LT_and stdv'!$D$33)^2)</f>
        <v>561.8580097</v>
      </c>
      <c r="O11" s="270">
        <f>$B$24*EOQ!G11</f>
        <v>135521.4625</v>
      </c>
      <c r="P11" s="274">
        <f>SQRT($B$24)*EOQ!H11</f>
        <v>368.9390748</v>
      </c>
      <c r="Q11" s="357">
        <f t="shared" si="5"/>
        <v>1884</v>
      </c>
      <c r="R11" s="275">
        <f t="shared" si="6"/>
        <v>1565.56294</v>
      </c>
      <c r="S11" s="275">
        <f>'Sourcing_costs_LT_and stdv'!$C$3*O11/(31*24)</f>
        <v>935.0495174</v>
      </c>
      <c r="T11" s="275">
        <f>_xlfn.norm.s.inv($B$41)*sqrt('Sourcing_costs_LT_and stdv'!$E$31*(P11^2/(31*24))+(O11/(31*24))^2*('Sourcing_costs_LT_and stdv'!$E$33)^2)</f>
        <v>630.5134224</v>
      </c>
      <c r="U11" s="270">
        <f>$B$24*EOQ!I11</f>
        <v>122670.2894</v>
      </c>
      <c r="V11" s="274">
        <f>SQRT($B$24)*EOQ!J11</f>
        <v>347.8341908</v>
      </c>
      <c r="W11" s="357">
        <f t="shared" si="7"/>
        <v>1884</v>
      </c>
      <c r="X11" s="275">
        <f t="shared" si="8"/>
        <v>1465.09129</v>
      </c>
      <c r="Y11" s="275">
        <f>'Sourcing_costs_LT_and stdv'!$C$3*U11/(30*24)</f>
        <v>874.5937296</v>
      </c>
      <c r="Z11" s="275">
        <f>_xlfn.norm.s.inv($B$41)*sqrt('Sourcing_costs_LT_and stdv'!$F$31*(V11^2/(30*24))+(U11/(30*24))^2*('Sourcing_costs_LT_and stdv'!$F$33)^2)</f>
        <v>590.4975608</v>
      </c>
      <c r="AA11" s="270">
        <f>$B$24*EOQ!K11</f>
        <v>131691.0085</v>
      </c>
      <c r="AB11" s="274">
        <f>SQRT($B$24)*EOQ!L11</f>
        <v>361.600522</v>
      </c>
      <c r="AC11" s="357">
        <f t="shared" si="9"/>
        <v>1884</v>
      </c>
      <c r="AD11" s="275">
        <f t="shared" si="10"/>
        <v>1521.58362</v>
      </c>
      <c r="AE11" s="275">
        <f>'Sourcing_costs_LT_and stdv'!$C$3*AA11/(31*24)</f>
        <v>908.6207577</v>
      </c>
      <c r="AF11" s="275">
        <f>_xlfn.norm.s.inv($B$41)*sqrt('Sourcing_costs_LT_and stdv'!$G$31*(AB11^2/(31*24))+(AA11/(31*24))^2*('Sourcing_costs_LT_and stdv'!$G$33)^2)</f>
        <v>612.9628627</v>
      </c>
      <c r="AG11" s="270">
        <f>$B$24*EOQ!M11</f>
        <v>133424.289</v>
      </c>
      <c r="AH11" s="274">
        <f>SQRT($B$24)*EOQ!N11</f>
        <v>369.5622875</v>
      </c>
      <c r="AI11" s="357">
        <f t="shared" si="11"/>
        <v>1884</v>
      </c>
      <c r="AJ11" s="275">
        <f t="shared" si="12"/>
        <v>1592.743092</v>
      </c>
      <c r="AK11" s="275">
        <f>'Sourcing_costs_LT_and stdv'!$C$3*AG11/(30*24)</f>
        <v>951.2657638</v>
      </c>
      <c r="AL11" s="275">
        <f>_xlfn.norm.s.inv($B$41)*sqrt('Sourcing_costs_LT_and stdv'!$H$31*(AH11^2/(30*24))+(AG11/(30*24))^2*('Sourcing_costs_LT_and stdv'!$H$33)^2)</f>
        <v>641.4773285</v>
      </c>
      <c r="AM11" s="270">
        <f>$B$24*EOQ!O11</f>
        <v>124556.7879</v>
      </c>
      <c r="AN11" s="274">
        <f>SQRT($B$24)*EOQ!P11</f>
        <v>348.7470838</v>
      </c>
      <c r="AO11" s="357">
        <f t="shared" si="13"/>
        <v>1884</v>
      </c>
      <c r="AP11" s="275">
        <f t="shared" si="14"/>
        <v>1439.751424</v>
      </c>
      <c r="AQ11" s="275">
        <f>'Sourcing_costs_LT_and stdv'!$C$3*AM11/(31*24)</f>
        <v>859.3971928</v>
      </c>
      <c r="AR11" s="275">
        <f>_xlfn.norm.s.inv($B$41)*sqrt('Sourcing_costs_LT_and stdv'!$I$31*(AN11^2/(31*24))+(AM11/(31*24))^2*('Sourcing_costs_LT_and stdv'!$I$33)^2)</f>
        <v>580.3542307</v>
      </c>
      <c r="AS11" s="270">
        <f>$B$24*EOQ!Q11</f>
        <v>123589.5983</v>
      </c>
      <c r="AT11" s="274">
        <f>SQRT($B$24)*EOQ!R11</f>
        <v>348.1248821</v>
      </c>
      <c r="AU11" s="359">
        <f t="shared" si="15"/>
        <v>1884</v>
      </c>
      <c r="AV11" s="275">
        <f t="shared" si="16"/>
        <v>1428.759095</v>
      </c>
      <c r="AW11" s="275">
        <f>'Sourcing_costs_LT_and stdv'!$C$3*AS11/(31*24)</f>
        <v>852.723931</v>
      </c>
      <c r="AX11" s="275">
        <f>_xlfn.norm.s.inv($B$41)*sqrt('Sourcing_costs_LT_and stdv'!$J$31*(AT11^2/(31*24))+(AS11/(31*24))^2*('Sourcing_costs_LT_and stdv'!$J$33)^2)</f>
        <v>576.0351642</v>
      </c>
      <c r="AY11" s="270">
        <f>$B$24*EOQ!S11</f>
        <v>95588.97957</v>
      </c>
      <c r="AZ11" s="283">
        <f>SQRT($B$24)*EOQ!T11</f>
        <v>305.2779644</v>
      </c>
      <c r="BA11" s="357">
        <f t="shared" si="17"/>
        <v>1884</v>
      </c>
      <c r="BB11" s="275">
        <f t="shared" si="18"/>
        <v>727.5961488</v>
      </c>
      <c r="BC11" s="275">
        <f>'Sourcing_costs_LT_and stdv'!$C$3*AY11/(30*24)</f>
        <v>681.514021</v>
      </c>
      <c r="BD11" s="275">
        <f>_xlfn.norm.s.inv($B$41)*sqrt('Sourcing_costs_LT_and stdv'!$K$31*(AZ11^2/(30*24))+(AY11/(30*24))^2*('Sourcing_costs_LT_and stdv'!$K$33)^2)</f>
        <v>46.08212779</v>
      </c>
      <c r="BE11" s="270">
        <f>$B$24*EOQ!U11</f>
        <v>90197.61557</v>
      </c>
      <c r="BF11" s="274">
        <f>SQRT($B$24)*EOQ!V11</f>
        <v>302.3668243</v>
      </c>
      <c r="BG11" s="357">
        <f t="shared" si="19"/>
        <v>1884</v>
      </c>
      <c r="BH11" s="275">
        <f t="shared" si="20"/>
        <v>665.8296312</v>
      </c>
      <c r="BI11" s="275">
        <f>'Sourcing_costs_LT_and stdv'!$C$3*BE11/(31*24)</f>
        <v>622.3312185</v>
      </c>
      <c r="BJ11" s="275">
        <f>_xlfn.norm.s.inv($B$41)*sqrt('Sourcing_costs_LT_and stdv'!$L$31*(BF11^2/(31*24))+(BE11/(31*24))^2*('Sourcing_costs_LT_and stdv'!$L$33)^2)</f>
        <v>43.49841274</v>
      </c>
      <c r="BK11" s="270">
        <f>$B$24*EOQ!W11</f>
        <v>98030.894</v>
      </c>
      <c r="BL11" s="274">
        <f>SQRT($B$24)*EOQ!X11</f>
        <v>309.2270632</v>
      </c>
      <c r="BM11" s="275">
        <f t="shared" si="21"/>
        <v>14.83614386</v>
      </c>
      <c r="BN11" s="275">
        <f>'Sourcing_costs_LT_and stdv'!$C$3*BJ11/(30*24)</f>
        <v>0.3101275723</v>
      </c>
      <c r="BO11" s="275">
        <f>_xlfn.norm.s.inv($B$41)*sqrt('Sourcing_costs_LT_and stdv'!$M$31*(BL11^2/(30*24))+(BK11/(30*24))^2*('Sourcing_costs_LT_and stdv'!$M$33)^2)</f>
        <v>14.52601629</v>
      </c>
      <c r="BP11" s="270">
        <f>$B$24*EOQ!Y11</f>
        <v>89872.02698</v>
      </c>
      <c r="BQ11" s="274">
        <f>SQRT($B$24)*EOQ!Z11</f>
        <v>300.4276488</v>
      </c>
      <c r="BR11" s="275">
        <f t="shared" si="22"/>
        <v>43.37737705</v>
      </c>
      <c r="BS11" s="275">
        <f>'Sourcing_costs_LT_and stdv'!$C$3*BO11/(31*24)</f>
        <v>0.1002243059</v>
      </c>
      <c r="BT11" s="275">
        <f>_xlfn.norm.s.inv($B$41)*sqrt('Sourcing_costs_LT_and stdv'!$N$31*(BQ11^2/(31*24))+(BP11/(31*24))^2*('Sourcing_costs_LT_and stdv'!$N$33)^2)</f>
        <v>43.27715274</v>
      </c>
    </row>
    <row r="12" ht="14.25" customHeight="1">
      <c r="A12" s="293"/>
      <c r="B12" s="293"/>
      <c r="C12" s="286"/>
      <c r="D12" s="286"/>
      <c r="E12" s="286"/>
      <c r="F12" s="286"/>
      <c r="G12" s="286"/>
      <c r="H12" s="286"/>
      <c r="I12" s="293"/>
      <c r="J12" s="293"/>
      <c r="K12" s="293"/>
      <c r="L12" s="286"/>
      <c r="M12" s="286"/>
      <c r="N12" s="293"/>
      <c r="O12" s="293"/>
      <c r="P12" s="286"/>
      <c r="Q12" s="286"/>
      <c r="R12" s="293"/>
      <c r="S12" s="293"/>
      <c r="T12" s="293"/>
      <c r="U12" s="286"/>
      <c r="V12" s="286"/>
      <c r="W12" s="293"/>
      <c r="X12" s="293"/>
      <c r="Y12" s="286"/>
      <c r="Z12" s="286"/>
      <c r="AA12" s="293"/>
      <c r="AB12" s="293"/>
      <c r="AC12" s="293"/>
      <c r="AD12" s="286"/>
      <c r="AE12" s="286"/>
      <c r="AF12" s="293"/>
      <c r="AG12" s="286"/>
      <c r="AH12" s="286"/>
      <c r="AI12" s="286"/>
      <c r="AJ12" s="293"/>
      <c r="AK12" s="293"/>
      <c r="AL12" s="293"/>
      <c r="AM12" s="286"/>
      <c r="AN12" s="286"/>
      <c r="AO12" s="286"/>
      <c r="AP12" s="286"/>
      <c r="AQ12" s="286"/>
      <c r="AR12" s="286"/>
      <c r="AS12" s="286"/>
      <c r="AT12" s="286"/>
      <c r="AU12" s="286"/>
      <c r="AV12" s="286"/>
      <c r="AW12" s="286"/>
      <c r="AX12" s="286"/>
      <c r="AY12" s="286"/>
      <c r="AZ12" s="286"/>
      <c r="BA12" s="286"/>
      <c r="BB12" s="286"/>
      <c r="BC12" s="286"/>
      <c r="BD12" s="286"/>
      <c r="BE12" s="286"/>
      <c r="BF12" s="286"/>
      <c r="BG12" s="286"/>
      <c r="BH12" s="286"/>
      <c r="BI12" s="286"/>
      <c r="BJ12" s="286"/>
      <c r="BK12" s="286"/>
      <c r="BL12" s="286"/>
      <c r="BM12" s="286"/>
      <c r="BN12" s="286"/>
      <c r="BO12" s="286"/>
      <c r="BP12" s="286"/>
      <c r="BQ12" s="286"/>
      <c r="BR12" s="286"/>
      <c r="BS12" s="286"/>
      <c r="BT12" s="286"/>
      <c r="BU12" s="286"/>
      <c r="BV12" s="286"/>
      <c r="BW12" s="286"/>
      <c r="BX12" s="286"/>
      <c r="BY12" s="286"/>
      <c r="BZ12" s="286"/>
      <c r="CA12" s="286"/>
      <c r="CB12" s="286"/>
      <c r="CC12" s="286"/>
      <c r="CD12" s="286"/>
      <c r="CE12" s="286"/>
      <c r="CF12" s="286"/>
      <c r="CG12" s="286"/>
      <c r="CH12" s="286"/>
      <c r="CI12" s="286"/>
      <c r="CJ12" s="286"/>
      <c r="CK12" s="286"/>
      <c r="CL12" s="286"/>
      <c r="CM12" s="286"/>
      <c r="CN12" s="286"/>
      <c r="CO12" s="286"/>
      <c r="CP12" s="286"/>
      <c r="CQ12" s="286"/>
      <c r="CR12" s="286"/>
      <c r="CS12" s="286"/>
      <c r="CT12" s="286"/>
      <c r="CU12" s="286"/>
      <c r="CV12" s="286"/>
      <c r="CW12" s="286"/>
      <c r="CX12" s="286"/>
      <c r="CY12" s="286"/>
      <c r="CZ12" s="286"/>
      <c r="DA12" s="286"/>
      <c r="DB12" s="286"/>
      <c r="DC12" s="286"/>
      <c r="DD12" s="286"/>
      <c r="DE12" s="286"/>
      <c r="DF12" s="286"/>
      <c r="DG12" s="288"/>
      <c r="DH12" s="288"/>
      <c r="DI12" s="288"/>
      <c r="DJ12" s="288"/>
      <c r="DK12" s="288"/>
      <c r="DL12" s="288"/>
      <c r="DM12" s="288"/>
      <c r="DN12" s="288"/>
      <c r="DO12" s="288"/>
      <c r="DP12" s="288"/>
      <c r="DQ12" s="288"/>
      <c r="DR12" s="288"/>
      <c r="DS12" s="288"/>
      <c r="DT12" s="288"/>
      <c r="DU12" s="288"/>
      <c r="DV12" s="288"/>
      <c r="DW12" s="288"/>
      <c r="DX12" s="288"/>
    </row>
    <row r="13" ht="14.25" customHeight="1">
      <c r="A13" s="289"/>
      <c r="B13" s="290" t="s">
        <v>10</v>
      </c>
      <c r="C13" s="291" t="s">
        <v>83</v>
      </c>
      <c r="D13" s="109"/>
      <c r="E13" s="291" t="s">
        <v>84</v>
      </c>
      <c r="F13" s="109"/>
      <c r="G13" s="291" t="s">
        <v>85</v>
      </c>
      <c r="H13" s="109"/>
      <c r="I13" s="291" t="s">
        <v>86</v>
      </c>
      <c r="J13" s="109"/>
      <c r="K13" s="291" t="s">
        <v>87</v>
      </c>
      <c r="L13" s="109"/>
      <c r="M13" s="291" t="s">
        <v>88</v>
      </c>
      <c r="N13" s="109"/>
      <c r="O13" s="291" t="s">
        <v>89</v>
      </c>
      <c r="P13" s="109"/>
      <c r="Q13" s="291" t="s">
        <v>90</v>
      </c>
      <c r="R13" s="109"/>
      <c r="S13" s="291" t="s">
        <v>91</v>
      </c>
      <c r="T13" s="109"/>
      <c r="U13" s="291" t="s">
        <v>92</v>
      </c>
      <c r="V13" s="109"/>
      <c r="W13" s="291" t="s">
        <v>93</v>
      </c>
      <c r="X13" s="109"/>
      <c r="Y13" s="291" t="s">
        <v>384</v>
      </c>
      <c r="Z13" s="109"/>
      <c r="AA13" s="293" t="s">
        <v>416</v>
      </c>
      <c r="AB13" s="293"/>
      <c r="AC13" s="293"/>
      <c r="AD13" s="293"/>
      <c r="AE13" s="293"/>
      <c r="AF13" s="293"/>
      <c r="AG13" s="293"/>
      <c r="AH13" s="293"/>
      <c r="AI13" s="293"/>
      <c r="AJ13" s="293"/>
      <c r="AK13" s="293"/>
      <c r="AL13" s="293"/>
      <c r="AM13" s="293"/>
      <c r="AN13" s="293"/>
      <c r="AO13" s="293"/>
      <c r="AP13" s="293"/>
      <c r="AQ13" s="293"/>
      <c r="AR13" s="293"/>
      <c r="AS13" s="293"/>
      <c r="AT13" s="293"/>
      <c r="AU13" s="293"/>
      <c r="AV13" s="293"/>
      <c r="AW13" s="293"/>
      <c r="AX13" s="293"/>
      <c r="AY13" s="293"/>
      <c r="AZ13" s="293"/>
      <c r="BA13" s="293"/>
      <c r="BB13" s="293"/>
      <c r="BC13" s="293"/>
      <c r="BD13" s="293"/>
      <c r="BE13" s="293"/>
      <c r="BF13" s="293"/>
      <c r="BG13" s="293"/>
      <c r="BH13" s="293"/>
      <c r="BI13" s="293"/>
      <c r="BJ13" s="293"/>
      <c r="BK13" s="293"/>
      <c r="BL13" s="293"/>
      <c r="BM13" s="293"/>
      <c r="BN13" s="293"/>
      <c r="BO13" s="293"/>
      <c r="BP13" s="293"/>
      <c r="BQ13" s="293"/>
      <c r="BR13" s="293"/>
      <c r="BS13" s="293"/>
      <c r="BT13" s="293"/>
      <c r="BU13" s="293"/>
      <c r="BV13" s="293"/>
      <c r="BW13" s="293"/>
      <c r="BX13" s="293"/>
      <c r="BY13" s="293"/>
      <c r="BZ13" s="293"/>
      <c r="CA13" s="293"/>
      <c r="CB13" s="293"/>
      <c r="CC13" s="293"/>
      <c r="CD13" s="293"/>
      <c r="CE13" s="293"/>
      <c r="CF13" s="293"/>
      <c r="CG13" s="293"/>
      <c r="CH13" s="293"/>
      <c r="CI13" s="293"/>
      <c r="CJ13" s="293"/>
      <c r="CK13" s="293"/>
      <c r="CL13" s="293"/>
      <c r="CM13" s="293"/>
      <c r="CN13" s="293"/>
      <c r="CO13" s="293"/>
      <c r="CP13" s="293"/>
      <c r="CQ13" s="293"/>
      <c r="CR13" s="293"/>
      <c r="CS13" s="293"/>
      <c r="CT13" s="293"/>
      <c r="CU13" s="293"/>
      <c r="CV13" s="293"/>
      <c r="CW13" s="293"/>
      <c r="CX13" s="293"/>
      <c r="CY13" s="293"/>
      <c r="CZ13" s="293"/>
      <c r="DA13" s="293"/>
      <c r="DB13" s="293"/>
      <c r="DC13" s="293"/>
      <c r="DD13" s="293"/>
      <c r="DE13" s="293"/>
      <c r="DF13" s="293"/>
      <c r="DG13" s="288"/>
      <c r="DH13" s="288"/>
      <c r="DI13" s="288"/>
      <c r="DJ13" s="288"/>
      <c r="DK13" s="288"/>
      <c r="DL13" s="288"/>
      <c r="DM13" s="288"/>
      <c r="DN13" s="288"/>
      <c r="DO13" s="288"/>
      <c r="DP13" s="288"/>
      <c r="DQ13" s="288"/>
      <c r="DR13" s="288"/>
      <c r="DS13" s="288"/>
      <c r="DT13" s="288"/>
      <c r="DU13" s="288"/>
      <c r="DV13" s="288"/>
      <c r="DW13" s="288"/>
      <c r="DX13" s="288"/>
    </row>
    <row r="14" ht="14.25" customHeight="1">
      <c r="A14" s="294"/>
      <c r="B14" s="295"/>
      <c r="C14" s="243" t="s">
        <v>387</v>
      </c>
      <c r="D14" s="245" t="s">
        <v>388</v>
      </c>
      <c r="E14" s="243" t="s">
        <v>387</v>
      </c>
      <c r="F14" s="245" t="s">
        <v>388</v>
      </c>
      <c r="G14" s="243" t="s">
        <v>387</v>
      </c>
      <c r="H14" s="245" t="s">
        <v>388</v>
      </c>
      <c r="I14" s="243" t="s">
        <v>387</v>
      </c>
      <c r="J14" s="245" t="s">
        <v>388</v>
      </c>
      <c r="K14" s="243" t="s">
        <v>387</v>
      </c>
      <c r="L14" s="245" t="s">
        <v>388</v>
      </c>
      <c r="M14" s="243" t="s">
        <v>387</v>
      </c>
      <c r="N14" s="245" t="s">
        <v>388</v>
      </c>
      <c r="O14" s="243" t="s">
        <v>387</v>
      </c>
      <c r="P14" s="245" t="s">
        <v>388</v>
      </c>
      <c r="Q14" s="243" t="s">
        <v>387</v>
      </c>
      <c r="R14" s="245" t="s">
        <v>388</v>
      </c>
      <c r="S14" s="243" t="s">
        <v>387</v>
      </c>
      <c r="T14" s="245" t="s">
        <v>388</v>
      </c>
      <c r="U14" s="243" t="s">
        <v>387</v>
      </c>
      <c r="V14" s="245" t="s">
        <v>388</v>
      </c>
      <c r="W14" s="243" t="s">
        <v>387</v>
      </c>
      <c r="X14" s="245" t="s">
        <v>388</v>
      </c>
      <c r="Y14" s="243" t="s">
        <v>387</v>
      </c>
      <c r="Z14" s="245" t="s">
        <v>388</v>
      </c>
      <c r="AA14" s="293"/>
      <c r="AB14" s="293"/>
      <c r="AC14" s="293"/>
      <c r="AD14" s="293"/>
      <c r="AE14" s="293"/>
      <c r="AF14" s="293"/>
      <c r="AG14" s="293"/>
      <c r="AH14" s="293"/>
      <c r="AI14" s="293"/>
      <c r="AJ14" s="293"/>
      <c r="AK14" s="293"/>
      <c r="AL14" s="293"/>
      <c r="AM14" s="293"/>
      <c r="AN14" s="293"/>
      <c r="AO14" s="293"/>
      <c r="AP14" s="293"/>
      <c r="AQ14" s="293"/>
      <c r="AR14" s="293"/>
      <c r="AS14" s="293"/>
      <c r="AT14" s="293"/>
      <c r="AU14" s="293"/>
      <c r="AV14" s="293"/>
      <c r="AW14" s="293"/>
      <c r="AX14" s="293"/>
      <c r="AY14" s="293"/>
      <c r="AZ14" s="293"/>
      <c r="BA14" s="293"/>
      <c r="BB14" s="293"/>
      <c r="BC14" s="293"/>
      <c r="BD14" s="293"/>
      <c r="BE14" s="293"/>
      <c r="BF14" s="293"/>
      <c r="BG14" s="293"/>
      <c r="BH14" s="293"/>
      <c r="BI14" s="293"/>
      <c r="BJ14" s="293"/>
      <c r="BK14" s="293"/>
      <c r="BL14" s="293"/>
      <c r="BM14" s="293"/>
      <c r="BN14" s="293"/>
      <c r="BO14" s="293"/>
      <c r="BP14" s="293"/>
      <c r="BQ14" s="293"/>
      <c r="BR14" s="293"/>
      <c r="BS14" s="293"/>
      <c r="BT14" s="293"/>
      <c r="BU14" s="293"/>
      <c r="BV14" s="293"/>
      <c r="BW14" s="293"/>
      <c r="BX14" s="293"/>
      <c r="BY14" s="293"/>
      <c r="BZ14" s="293"/>
      <c r="CA14" s="293"/>
      <c r="CB14" s="293"/>
      <c r="CC14" s="293"/>
      <c r="CD14" s="293"/>
      <c r="CE14" s="293"/>
      <c r="CF14" s="293"/>
      <c r="CG14" s="293"/>
      <c r="CH14" s="293"/>
      <c r="CI14" s="293"/>
      <c r="CJ14" s="293"/>
      <c r="CK14" s="293"/>
      <c r="CL14" s="293"/>
      <c r="CM14" s="293"/>
      <c r="CN14" s="293"/>
      <c r="CO14" s="293"/>
      <c r="CP14" s="293"/>
      <c r="CQ14" s="293"/>
      <c r="CR14" s="293"/>
      <c r="CS14" s="293"/>
      <c r="CT14" s="293"/>
      <c r="CU14" s="293"/>
      <c r="CV14" s="293"/>
      <c r="CW14" s="293"/>
      <c r="CX14" s="293"/>
      <c r="CY14" s="293"/>
      <c r="CZ14" s="293"/>
      <c r="DA14" s="293"/>
      <c r="DB14" s="293"/>
      <c r="DC14" s="293"/>
      <c r="DD14" s="293"/>
      <c r="DE14" s="293"/>
      <c r="DF14" s="293"/>
      <c r="DG14" s="288"/>
      <c r="DH14" s="288"/>
      <c r="DI14" s="288"/>
      <c r="DJ14" s="288"/>
      <c r="DK14" s="288"/>
      <c r="DL14" s="288"/>
      <c r="DM14" s="288"/>
      <c r="DN14" s="288"/>
      <c r="DO14" s="288"/>
      <c r="DP14" s="288"/>
      <c r="DQ14" s="288"/>
      <c r="DR14" s="288"/>
      <c r="DS14" s="288"/>
      <c r="DT14" s="288"/>
      <c r="DU14" s="288"/>
      <c r="DV14" s="288"/>
      <c r="DW14" s="288"/>
      <c r="DX14" s="288"/>
    </row>
    <row r="15" ht="14.25" customHeight="1">
      <c r="A15" s="294">
        <v>1.0</v>
      </c>
      <c r="B15" s="29" t="s">
        <v>21</v>
      </c>
      <c r="C15" s="297">
        <f t="shared" ref="C15:C22" si="23">SQRT(2*E4*C4/$B$39)</f>
        <v>2498.17192</v>
      </c>
      <c r="D15" s="360"/>
      <c r="E15" s="297">
        <f t="shared" ref="E15:E22" si="24">SQRT(2*I4*K4/$B$39)</f>
        <v>2207.120267</v>
      </c>
      <c r="F15" s="360"/>
      <c r="G15" s="297">
        <f t="shared" ref="G15:G22" si="25">SQRT(2*O4*Q4/$B$39)</f>
        <v>2255.084586</v>
      </c>
      <c r="H15" s="360"/>
      <c r="I15" s="297">
        <f t="shared" ref="I15:I22" si="26">SQRT(2*U4*W4/$B$39)</f>
        <v>2123.264664</v>
      </c>
      <c r="J15" s="360"/>
      <c r="K15" s="297">
        <f t="shared" ref="K15:K22" si="27">SQRT(2*AA4*AC4/$B$39)</f>
        <v>2075.276115</v>
      </c>
      <c r="L15" s="360"/>
      <c r="M15" s="297">
        <f t="shared" ref="M15:M22" si="28">SQRT(2*AG4*AI4/$B$39)</f>
        <v>1919.658373</v>
      </c>
      <c r="N15" s="360"/>
      <c r="O15" s="297">
        <f t="shared" ref="O15:O22" si="29">SQRT(2*AM4*AO4/$B$39)</f>
        <v>1943.455471</v>
      </c>
      <c r="P15" s="360"/>
      <c r="Q15" s="297">
        <f t="shared" ref="Q15:Q22" si="30">SQRT(2*AS4*AU4/$B$39)</f>
        <v>1946.065228</v>
      </c>
      <c r="R15" s="360"/>
      <c r="S15" s="297">
        <f t="shared" ref="S15:S22" si="31">SQRT(2*AY4*BA4/$B$39)</f>
        <v>1796.402442</v>
      </c>
      <c r="T15" s="360"/>
      <c r="U15" s="297">
        <f t="shared" ref="U15:U22" si="32">SQRT(2*BE4*BG4/$B$39)</f>
        <v>1858.369534</v>
      </c>
      <c r="V15" s="360"/>
      <c r="W15" s="297">
        <f t="shared" ref="W15:W22" si="33">SQRT(2*BK4*BG4/$B$39)</f>
        <v>2055.617992</v>
      </c>
      <c r="X15" s="360"/>
      <c r="Y15" s="297">
        <f t="shared" ref="Y15:Y22" si="34">SQRT(2*BG4*BP4/$B$39)</f>
        <v>2038.731379</v>
      </c>
      <c r="Z15" s="360"/>
      <c r="AA15" s="299">
        <f>MAX(C15,E15,G15,I15,K15,M15,O15,Q15,S15,U15,W15,Y15)</f>
        <v>2498.17192</v>
      </c>
      <c r="AB15" s="293"/>
      <c r="AC15" s="293"/>
      <c r="AD15" s="293"/>
      <c r="AE15" s="293"/>
      <c r="AF15" s="293"/>
      <c r="AG15" s="293"/>
      <c r="AH15" s="293"/>
      <c r="AI15" s="293"/>
      <c r="AJ15" s="293"/>
      <c r="AK15" s="293"/>
      <c r="AL15" s="293"/>
      <c r="AM15" s="293"/>
      <c r="AN15" s="293"/>
      <c r="AO15" s="293"/>
      <c r="AP15" s="293"/>
      <c r="AQ15" s="293"/>
      <c r="AR15" s="293"/>
      <c r="AS15" s="293"/>
      <c r="AT15" s="293"/>
      <c r="AU15" s="293"/>
      <c r="AV15" s="293"/>
      <c r="AW15" s="293"/>
      <c r="AX15" s="293"/>
      <c r="AY15" s="293"/>
      <c r="AZ15" s="293"/>
      <c r="BA15" s="293"/>
      <c r="BB15" s="293"/>
      <c r="BC15" s="293"/>
      <c r="BD15" s="293"/>
      <c r="BE15" s="293"/>
      <c r="BF15" s="293"/>
      <c r="BG15" s="293"/>
      <c r="BH15" s="293"/>
      <c r="BI15" s="293"/>
      <c r="BJ15" s="293"/>
      <c r="BK15" s="293"/>
      <c r="BL15" s="293"/>
      <c r="BM15" s="293"/>
      <c r="BN15" s="293"/>
      <c r="BO15" s="293"/>
      <c r="BP15" s="293"/>
      <c r="BQ15" s="293"/>
      <c r="BR15" s="293"/>
      <c r="BS15" s="293"/>
      <c r="BT15" s="293"/>
      <c r="BU15" s="293"/>
      <c r="BV15" s="293"/>
      <c r="BW15" s="293"/>
      <c r="BX15" s="293"/>
      <c r="BY15" s="293"/>
      <c r="BZ15" s="293"/>
      <c r="CA15" s="293"/>
      <c r="CB15" s="293"/>
      <c r="CC15" s="293"/>
      <c r="CD15" s="293"/>
      <c r="CE15" s="293"/>
      <c r="CF15" s="293"/>
      <c r="CG15" s="293"/>
      <c r="CH15" s="293"/>
      <c r="CI15" s="293"/>
      <c r="CJ15" s="293"/>
      <c r="CK15" s="293"/>
      <c r="CL15" s="293"/>
      <c r="CM15" s="293"/>
      <c r="CN15" s="293"/>
      <c r="CO15" s="293"/>
      <c r="CP15" s="293"/>
      <c r="CQ15" s="293"/>
      <c r="CR15" s="293"/>
      <c r="CS15" s="293"/>
      <c r="CT15" s="293"/>
      <c r="CU15" s="293"/>
      <c r="CV15" s="293"/>
      <c r="CW15" s="293"/>
      <c r="CX15" s="293"/>
      <c r="CY15" s="293"/>
      <c r="CZ15" s="293"/>
      <c r="DA15" s="293"/>
      <c r="DB15" s="293"/>
      <c r="DC15" s="293"/>
      <c r="DD15" s="293"/>
      <c r="DE15" s="293"/>
      <c r="DF15" s="293"/>
      <c r="DG15" s="288"/>
      <c r="DH15" s="288"/>
      <c r="DI15" s="288"/>
      <c r="DJ15" s="288"/>
      <c r="DK15" s="288"/>
      <c r="DL15" s="288"/>
      <c r="DM15" s="288"/>
      <c r="DN15" s="288"/>
      <c r="DO15" s="288"/>
      <c r="DP15" s="288"/>
      <c r="DQ15" s="288"/>
      <c r="DR15" s="288"/>
      <c r="DS15" s="288"/>
      <c r="DT15" s="288"/>
      <c r="DU15" s="288"/>
      <c r="DV15" s="288"/>
      <c r="DW15" s="288"/>
      <c r="DX15" s="288"/>
    </row>
    <row r="16" ht="14.25" customHeight="1">
      <c r="A16" s="294">
        <v>2.0</v>
      </c>
      <c r="B16" s="36" t="s">
        <v>23</v>
      </c>
      <c r="C16" s="297">
        <f t="shared" si="23"/>
        <v>1584.660809</v>
      </c>
      <c r="D16" s="360"/>
      <c r="E16" s="297">
        <f t="shared" si="24"/>
        <v>1500.641165</v>
      </c>
      <c r="F16" s="360"/>
      <c r="G16" s="297">
        <f t="shared" si="25"/>
        <v>1720.9889</v>
      </c>
      <c r="H16" s="360"/>
      <c r="I16" s="297">
        <f t="shared" si="26"/>
        <v>1679.82133</v>
      </c>
      <c r="J16" s="360"/>
      <c r="K16" s="297">
        <f t="shared" si="27"/>
        <v>1807.376876</v>
      </c>
      <c r="L16" s="360"/>
      <c r="M16" s="297">
        <f t="shared" si="28"/>
        <v>1644.621334</v>
      </c>
      <c r="N16" s="360"/>
      <c r="O16" s="297">
        <f t="shared" si="29"/>
        <v>1484.827788</v>
      </c>
      <c r="P16" s="360"/>
      <c r="Q16" s="297">
        <f t="shared" si="30"/>
        <v>1843.910717</v>
      </c>
      <c r="R16" s="360"/>
      <c r="S16" s="297">
        <f t="shared" si="31"/>
        <v>1658.277096</v>
      </c>
      <c r="T16" s="360"/>
      <c r="U16" s="297">
        <f t="shared" si="32"/>
        <v>1621.547146</v>
      </c>
      <c r="V16" s="360"/>
      <c r="W16" s="297">
        <f t="shared" si="33"/>
        <v>1632.787795</v>
      </c>
      <c r="X16" s="360"/>
      <c r="Y16" s="297">
        <f t="shared" si="34"/>
        <v>1753.920639</v>
      </c>
      <c r="Z16" s="360"/>
      <c r="AA16" s="299">
        <f>MAX(C16,E16,G16,I16,K16,M16,O16,Q16,S16,U16,W16,Y16,)</f>
        <v>1843.910717</v>
      </c>
      <c r="AB16" s="293"/>
      <c r="AC16" s="293"/>
      <c r="AD16" s="293"/>
      <c r="AE16" s="293"/>
      <c r="AF16" s="293"/>
      <c r="AG16" s="293"/>
      <c r="AH16" s="293"/>
      <c r="AI16" s="293"/>
      <c r="AJ16" s="293"/>
      <c r="AK16" s="293"/>
      <c r="AL16" s="293"/>
      <c r="AM16" s="293"/>
      <c r="AN16" s="293"/>
      <c r="AO16" s="293"/>
      <c r="AP16" s="293"/>
      <c r="AQ16" s="293"/>
      <c r="AR16" s="293"/>
      <c r="AS16" s="293"/>
      <c r="AT16" s="293"/>
      <c r="AU16" s="293"/>
      <c r="AV16" s="293"/>
      <c r="AW16" s="293"/>
      <c r="AX16" s="293"/>
      <c r="AY16" s="293"/>
      <c r="AZ16" s="293"/>
      <c r="BA16" s="293"/>
      <c r="BB16" s="293"/>
      <c r="BC16" s="293"/>
      <c r="BD16" s="293"/>
      <c r="BE16" s="293"/>
      <c r="BF16" s="293"/>
      <c r="BG16" s="293"/>
      <c r="BH16" s="293"/>
      <c r="BI16" s="293"/>
      <c r="BJ16" s="293"/>
      <c r="BK16" s="293"/>
      <c r="BL16" s="293"/>
      <c r="BM16" s="293"/>
      <c r="BN16" s="293"/>
      <c r="BO16" s="293"/>
      <c r="BP16" s="293"/>
      <c r="BQ16" s="293"/>
      <c r="BR16" s="293"/>
      <c r="BS16" s="293"/>
      <c r="BT16" s="293"/>
      <c r="BU16" s="293"/>
      <c r="BV16" s="293"/>
      <c r="BW16" s="293"/>
      <c r="BX16" s="293"/>
      <c r="BY16" s="293"/>
      <c r="BZ16" s="293"/>
      <c r="CA16" s="293"/>
      <c r="CB16" s="293"/>
      <c r="CC16" s="293"/>
      <c r="CD16" s="293"/>
      <c r="CE16" s="293"/>
      <c r="CF16" s="293"/>
      <c r="CG16" s="293"/>
      <c r="CH16" s="293"/>
      <c r="CI16" s="293"/>
      <c r="CJ16" s="293"/>
      <c r="CK16" s="293"/>
      <c r="CL16" s="293"/>
      <c r="CM16" s="293"/>
      <c r="CN16" s="293"/>
      <c r="CO16" s="293"/>
      <c r="CP16" s="293"/>
      <c r="CQ16" s="293"/>
      <c r="CR16" s="293"/>
      <c r="CS16" s="293"/>
      <c r="CT16" s="293"/>
      <c r="CU16" s="293"/>
      <c r="CV16" s="293"/>
      <c r="CW16" s="293"/>
      <c r="CX16" s="293"/>
      <c r="CY16" s="293"/>
      <c r="CZ16" s="293"/>
      <c r="DA16" s="293"/>
      <c r="DB16" s="293"/>
      <c r="DC16" s="293"/>
      <c r="DD16" s="293"/>
      <c r="DE16" s="293"/>
      <c r="DF16" s="293"/>
      <c r="DG16" s="288"/>
      <c r="DH16" s="288"/>
      <c r="DI16" s="288"/>
      <c r="DJ16" s="288"/>
      <c r="DK16" s="288"/>
      <c r="DL16" s="288"/>
      <c r="DM16" s="288"/>
      <c r="DN16" s="288"/>
      <c r="DO16" s="288"/>
      <c r="DP16" s="288"/>
      <c r="DQ16" s="288"/>
      <c r="DR16" s="288"/>
      <c r="DS16" s="288"/>
      <c r="DT16" s="288"/>
      <c r="DU16" s="288"/>
      <c r="DV16" s="288"/>
      <c r="DW16" s="288"/>
      <c r="DX16" s="288"/>
    </row>
    <row r="17" ht="14.25" customHeight="1">
      <c r="A17" s="294">
        <v>3.0</v>
      </c>
      <c r="B17" s="36" t="s">
        <v>25</v>
      </c>
      <c r="C17" s="297">
        <f t="shared" si="23"/>
        <v>549.8350498</v>
      </c>
      <c r="D17" s="360"/>
      <c r="E17" s="297">
        <f t="shared" si="24"/>
        <v>487.1310145</v>
      </c>
      <c r="F17" s="360"/>
      <c r="G17" s="297">
        <f t="shared" si="25"/>
        <v>590.9667025</v>
      </c>
      <c r="H17" s="360"/>
      <c r="I17" s="297">
        <f t="shared" si="26"/>
        <v>616.9695019</v>
      </c>
      <c r="J17" s="360"/>
      <c r="K17" s="297">
        <f t="shared" si="27"/>
        <v>669.8073788</v>
      </c>
      <c r="L17" s="360"/>
      <c r="M17" s="297">
        <f t="shared" si="28"/>
        <v>657.469949</v>
      </c>
      <c r="N17" s="360"/>
      <c r="O17" s="297">
        <f t="shared" si="29"/>
        <v>671.1642052</v>
      </c>
      <c r="P17" s="360"/>
      <c r="Q17" s="297">
        <f t="shared" si="30"/>
        <v>630.7080528</v>
      </c>
      <c r="R17" s="360"/>
      <c r="S17" s="297">
        <f t="shared" si="31"/>
        <v>585.4313552</v>
      </c>
      <c r="T17" s="360"/>
      <c r="U17" s="297">
        <f t="shared" si="32"/>
        <v>677.9782297</v>
      </c>
      <c r="V17" s="360"/>
      <c r="W17" s="297">
        <f t="shared" si="33"/>
        <v>659.43331</v>
      </c>
      <c r="X17" s="360"/>
      <c r="Y17" s="297">
        <f t="shared" si="34"/>
        <v>607.1123752</v>
      </c>
      <c r="Z17" s="360"/>
      <c r="AA17" s="299">
        <f>MAX(C17,E17,G17,I17,K17,M17,O17,Q17,S17,U17,W17,Y17)</f>
        <v>677.9782297</v>
      </c>
      <c r="AB17" s="293"/>
      <c r="AC17" s="293"/>
      <c r="AD17" s="293"/>
      <c r="AE17" s="293"/>
      <c r="AF17" s="293"/>
      <c r="AG17" s="293"/>
      <c r="AH17" s="293"/>
      <c r="AI17" s="293"/>
      <c r="AJ17" s="293"/>
      <c r="AK17" s="293"/>
      <c r="AL17" s="293"/>
      <c r="AM17" s="293"/>
      <c r="AN17" s="293"/>
      <c r="AO17" s="293"/>
      <c r="AP17" s="293"/>
      <c r="AQ17" s="293"/>
      <c r="AR17" s="293"/>
      <c r="AS17" s="293"/>
      <c r="AT17" s="293"/>
      <c r="AU17" s="293"/>
      <c r="AV17" s="293"/>
      <c r="AW17" s="293"/>
      <c r="AX17" s="293"/>
      <c r="AY17" s="293"/>
      <c r="AZ17" s="293"/>
      <c r="BA17" s="293"/>
      <c r="BB17" s="293"/>
      <c r="BC17" s="293"/>
      <c r="BD17" s="293"/>
      <c r="BE17" s="293"/>
      <c r="BF17" s="293"/>
      <c r="BG17" s="293"/>
      <c r="BH17" s="293"/>
      <c r="BI17" s="293"/>
      <c r="BJ17" s="293"/>
      <c r="BK17" s="293"/>
      <c r="BL17" s="293"/>
      <c r="BM17" s="293"/>
      <c r="BN17" s="293"/>
      <c r="BO17" s="293"/>
      <c r="BP17" s="293"/>
      <c r="BQ17" s="293"/>
      <c r="BR17" s="293"/>
      <c r="BS17" s="293"/>
      <c r="BT17" s="293"/>
      <c r="BU17" s="293"/>
      <c r="BV17" s="293"/>
      <c r="BW17" s="293"/>
      <c r="BX17" s="293"/>
      <c r="BY17" s="293"/>
      <c r="BZ17" s="293"/>
      <c r="CA17" s="293"/>
      <c r="CB17" s="293"/>
      <c r="CC17" s="293"/>
      <c r="CD17" s="293"/>
      <c r="CE17" s="293"/>
      <c r="CF17" s="293"/>
      <c r="CG17" s="293"/>
      <c r="CH17" s="293"/>
      <c r="CI17" s="293"/>
      <c r="CJ17" s="293"/>
      <c r="CK17" s="293"/>
      <c r="CL17" s="293"/>
      <c r="CM17" s="293"/>
      <c r="CN17" s="293"/>
      <c r="CO17" s="293"/>
      <c r="CP17" s="293"/>
      <c r="CQ17" s="293"/>
      <c r="CR17" s="293"/>
      <c r="CS17" s="293"/>
      <c r="CT17" s="293"/>
      <c r="CU17" s="293"/>
      <c r="CV17" s="293"/>
      <c r="CW17" s="293"/>
      <c r="CX17" s="293"/>
      <c r="CY17" s="293"/>
      <c r="CZ17" s="293"/>
      <c r="DA17" s="293"/>
      <c r="DB17" s="293"/>
      <c r="DC17" s="293"/>
      <c r="DD17" s="293"/>
      <c r="DE17" s="293"/>
      <c r="DF17" s="293"/>
      <c r="DG17" s="288"/>
      <c r="DH17" s="288"/>
      <c r="DI17" s="288"/>
      <c r="DJ17" s="288"/>
      <c r="DK17" s="288"/>
      <c r="DL17" s="288"/>
      <c r="DM17" s="288"/>
      <c r="DN17" s="288"/>
      <c r="DO17" s="288"/>
      <c r="DP17" s="288"/>
      <c r="DQ17" s="288"/>
      <c r="DR17" s="288"/>
      <c r="DS17" s="288"/>
      <c r="DT17" s="288"/>
      <c r="DU17" s="288"/>
      <c r="DV17" s="288"/>
      <c r="DW17" s="288"/>
      <c r="DX17" s="288"/>
    </row>
    <row r="18" ht="14.25" customHeight="1">
      <c r="A18" s="294">
        <v>4.0</v>
      </c>
      <c r="B18" s="36" t="s">
        <v>27</v>
      </c>
      <c r="C18" s="297">
        <f t="shared" si="23"/>
        <v>1006.888977</v>
      </c>
      <c r="D18" s="360"/>
      <c r="E18" s="297">
        <f t="shared" si="24"/>
        <v>871.5932478</v>
      </c>
      <c r="F18" s="360"/>
      <c r="G18" s="297">
        <f t="shared" si="25"/>
        <v>995.939789</v>
      </c>
      <c r="H18" s="360"/>
      <c r="I18" s="297">
        <f t="shared" si="26"/>
        <v>1032.619307</v>
      </c>
      <c r="J18" s="360"/>
      <c r="K18" s="297">
        <f t="shared" si="27"/>
        <v>1075.455989</v>
      </c>
      <c r="L18" s="360"/>
      <c r="M18" s="297">
        <f t="shared" si="28"/>
        <v>1043.734218</v>
      </c>
      <c r="N18" s="360"/>
      <c r="O18" s="297">
        <f t="shared" si="29"/>
        <v>1046.30003</v>
      </c>
      <c r="P18" s="360"/>
      <c r="Q18" s="297">
        <f t="shared" si="30"/>
        <v>1064.22248</v>
      </c>
      <c r="R18" s="360"/>
      <c r="S18" s="297">
        <f t="shared" si="31"/>
        <v>941.5215435</v>
      </c>
      <c r="T18" s="360"/>
      <c r="U18" s="297">
        <f t="shared" si="32"/>
        <v>1019.318717</v>
      </c>
      <c r="V18" s="360"/>
      <c r="W18" s="297">
        <f t="shared" si="33"/>
        <v>1034.472371</v>
      </c>
      <c r="X18" s="360"/>
      <c r="Y18" s="297">
        <f t="shared" si="34"/>
        <v>959.9538901</v>
      </c>
      <c r="Z18" s="360"/>
      <c r="AA18" s="299">
        <f>MAX(C18,E18,G18,I18,K18,M18,O18,Q18,S18,U18,W18,Y18,)</f>
        <v>1075.455989</v>
      </c>
      <c r="AB18" s="293"/>
      <c r="AC18" s="293"/>
      <c r="AD18" s="293"/>
      <c r="AE18" s="293"/>
      <c r="AF18" s="293"/>
      <c r="AG18" s="293"/>
      <c r="AH18" s="293"/>
      <c r="AI18" s="293"/>
      <c r="AJ18" s="293"/>
      <c r="AK18" s="293"/>
      <c r="AL18" s="293"/>
      <c r="AM18" s="293"/>
      <c r="AN18" s="293"/>
      <c r="AO18" s="293"/>
      <c r="AP18" s="293"/>
      <c r="AQ18" s="293"/>
      <c r="AR18" s="293"/>
      <c r="AS18" s="293"/>
      <c r="AT18" s="293"/>
      <c r="AU18" s="293"/>
      <c r="AV18" s="293"/>
      <c r="AW18" s="293"/>
      <c r="AX18" s="293"/>
      <c r="AY18" s="293"/>
      <c r="AZ18" s="293"/>
      <c r="BA18" s="293"/>
      <c r="BB18" s="293"/>
      <c r="BC18" s="293"/>
      <c r="BD18" s="293"/>
      <c r="BE18" s="293"/>
      <c r="BF18" s="293"/>
      <c r="BG18" s="293"/>
      <c r="BH18" s="293"/>
      <c r="BI18" s="293"/>
      <c r="BJ18" s="293"/>
      <c r="BK18" s="293"/>
      <c r="BL18" s="293"/>
      <c r="BM18" s="293"/>
      <c r="BN18" s="293"/>
      <c r="BO18" s="293"/>
      <c r="BP18" s="293"/>
      <c r="BQ18" s="293"/>
      <c r="BR18" s="293"/>
      <c r="BS18" s="293"/>
      <c r="BT18" s="293"/>
      <c r="BU18" s="293"/>
      <c r="BV18" s="293"/>
      <c r="BW18" s="293"/>
      <c r="BX18" s="293"/>
      <c r="BY18" s="293"/>
      <c r="BZ18" s="293"/>
      <c r="CA18" s="293"/>
      <c r="CB18" s="293"/>
      <c r="CC18" s="293"/>
      <c r="CD18" s="293"/>
      <c r="CE18" s="293"/>
      <c r="CF18" s="293"/>
      <c r="CG18" s="293"/>
      <c r="CH18" s="293"/>
      <c r="CI18" s="293"/>
      <c r="CJ18" s="293"/>
      <c r="CK18" s="293"/>
      <c r="CL18" s="293"/>
      <c r="CM18" s="293"/>
      <c r="CN18" s="293"/>
      <c r="CO18" s="293"/>
      <c r="CP18" s="293"/>
      <c r="CQ18" s="293"/>
      <c r="CR18" s="293"/>
      <c r="CS18" s="293"/>
      <c r="CT18" s="293"/>
      <c r="CU18" s="293"/>
      <c r="CV18" s="293"/>
      <c r="CW18" s="293"/>
      <c r="CX18" s="293"/>
      <c r="CY18" s="293"/>
      <c r="CZ18" s="293"/>
      <c r="DA18" s="293"/>
      <c r="DB18" s="293"/>
      <c r="DC18" s="293"/>
      <c r="DD18" s="293"/>
      <c r="DE18" s="293"/>
      <c r="DF18" s="293"/>
      <c r="DG18" s="288"/>
      <c r="DH18" s="288"/>
      <c r="DI18" s="288"/>
      <c r="DJ18" s="288"/>
      <c r="DK18" s="288"/>
      <c r="DL18" s="288"/>
      <c r="DM18" s="288"/>
      <c r="DN18" s="288"/>
      <c r="DO18" s="288"/>
      <c r="DP18" s="288"/>
      <c r="DQ18" s="288"/>
      <c r="DR18" s="288"/>
      <c r="DS18" s="288"/>
      <c r="DT18" s="288"/>
      <c r="DU18" s="288"/>
      <c r="DV18" s="288"/>
      <c r="DW18" s="288"/>
      <c r="DX18" s="288"/>
    </row>
    <row r="19" ht="14.25" customHeight="1">
      <c r="A19" s="294">
        <v>5.0</v>
      </c>
      <c r="B19" s="36" t="s">
        <v>29</v>
      </c>
      <c r="C19" s="297">
        <f t="shared" si="23"/>
        <v>857.7496442</v>
      </c>
      <c r="D19" s="360"/>
      <c r="E19" s="297">
        <f t="shared" si="24"/>
        <v>730.4015888</v>
      </c>
      <c r="F19" s="360"/>
      <c r="G19" s="297">
        <f t="shared" si="25"/>
        <v>868.7870629</v>
      </c>
      <c r="H19" s="360"/>
      <c r="I19" s="297">
        <f t="shared" si="26"/>
        <v>805.5896405</v>
      </c>
      <c r="J19" s="360"/>
      <c r="K19" s="297">
        <f t="shared" si="27"/>
        <v>818.3270254</v>
      </c>
      <c r="L19" s="360"/>
      <c r="M19" s="297">
        <f t="shared" si="28"/>
        <v>759.8953484</v>
      </c>
      <c r="N19" s="360"/>
      <c r="O19" s="297">
        <f t="shared" si="29"/>
        <v>762.4743641</v>
      </c>
      <c r="P19" s="360"/>
      <c r="Q19" s="297">
        <f t="shared" si="30"/>
        <v>781.7601523</v>
      </c>
      <c r="R19" s="360"/>
      <c r="S19" s="297">
        <f t="shared" si="31"/>
        <v>727.1823531</v>
      </c>
      <c r="T19" s="360"/>
      <c r="U19" s="297">
        <f t="shared" si="32"/>
        <v>777.4610223</v>
      </c>
      <c r="V19" s="360"/>
      <c r="W19" s="297">
        <f t="shared" si="33"/>
        <v>758.5078713</v>
      </c>
      <c r="X19" s="360"/>
      <c r="Y19" s="297">
        <f t="shared" si="34"/>
        <v>756.675037</v>
      </c>
      <c r="Z19" s="360"/>
      <c r="AA19" s="299">
        <f>MAX(C19,E19,G19,I19,K19,M19,O19,Q19,S19,U19,W19,Y19)</f>
        <v>868.7870629</v>
      </c>
      <c r="AB19" s="293"/>
      <c r="AC19" s="293"/>
      <c r="AD19" s="293"/>
      <c r="AE19" s="293"/>
      <c r="AF19" s="293"/>
      <c r="AG19" s="293"/>
      <c r="AH19" s="293"/>
      <c r="AI19" s="293"/>
      <c r="AJ19" s="293"/>
      <c r="AK19" s="293"/>
      <c r="AL19" s="293"/>
      <c r="AM19" s="293"/>
      <c r="AN19" s="293"/>
      <c r="AO19" s="293"/>
      <c r="AP19" s="293"/>
      <c r="AQ19" s="293"/>
      <c r="AR19" s="293"/>
      <c r="AS19" s="293"/>
      <c r="AT19" s="293"/>
      <c r="AU19" s="293"/>
      <c r="AV19" s="293"/>
      <c r="AW19" s="293"/>
      <c r="AX19" s="293"/>
      <c r="AY19" s="293"/>
      <c r="AZ19" s="293"/>
      <c r="BA19" s="293"/>
      <c r="BB19" s="293"/>
      <c r="BC19" s="293"/>
      <c r="BD19" s="293"/>
      <c r="BE19" s="293"/>
      <c r="BF19" s="293"/>
      <c r="BG19" s="293"/>
      <c r="BH19" s="293"/>
      <c r="BI19" s="293"/>
      <c r="BJ19" s="293"/>
      <c r="BK19" s="293"/>
      <c r="BL19" s="293"/>
      <c r="BM19" s="293"/>
      <c r="BN19" s="293"/>
      <c r="BO19" s="293"/>
      <c r="BP19" s="293"/>
      <c r="BQ19" s="293"/>
      <c r="BR19" s="293"/>
      <c r="BS19" s="293"/>
      <c r="BT19" s="293"/>
      <c r="BU19" s="293"/>
      <c r="BV19" s="293"/>
      <c r="BW19" s="293"/>
      <c r="BX19" s="293"/>
      <c r="BY19" s="293"/>
      <c r="BZ19" s="293"/>
      <c r="CA19" s="293"/>
      <c r="CB19" s="293"/>
      <c r="CC19" s="293"/>
      <c r="CD19" s="293"/>
      <c r="CE19" s="293"/>
      <c r="CF19" s="293"/>
      <c r="CG19" s="293"/>
      <c r="CH19" s="293"/>
      <c r="CI19" s="293"/>
      <c r="CJ19" s="293"/>
      <c r="CK19" s="293"/>
      <c r="CL19" s="293"/>
      <c r="CM19" s="293"/>
      <c r="CN19" s="293"/>
      <c r="CO19" s="293"/>
      <c r="CP19" s="293"/>
      <c r="CQ19" s="293"/>
      <c r="CR19" s="293"/>
      <c r="CS19" s="293"/>
      <c r="CT19" s="293"/>
      <c r="CU19" s="293"/>
      <c r="CV19" s="293"/>
      <c r="CW19" s="293"/>
      <c r="CX19" s="293"/>
      <c r="CY19" s="293"/>
      <c r="CZ19" s="293"/>
      <c r="DA19" s="293"/>
      <c r="DB19" s="293"/>
      <c r="DC19" s="293"/>
      <c r="DD19" s="293"/>
      <c r="DE19" s="293"/>
      <c r="DF19" s="293"/>
      <c r="DG19" s="288"/>
      <c r="DH19" s="288"/>
      <c r="DI19" s="288"/>
      <c r="DJ19" s="288"/>
      <c r="DK19" s="288"/>
      <c r="DL19" s="288"/>
      <c r="DM19" s="288"/>
      <c r="DN19" s="288"/>
      <c r="DO19" s="288"/>
      <c r="DP19" s="288"/>
      <c r="DQ19" s="288"/>
      <c r="DR19" s="288"/>
      <c r="DS19" s="288"/>
      <c r="DT19" s="288"/>
      <c r="DU19" s="288"/>
      <c r="DV19" s="288"/>
      <c r="DW19" s="288"/>
      <c r="DX19" s="288"/>
    </row>
    <row r="20" ht="14.25" customHeight="1">
      <c r="A20" s="300">
        <v>6.0</v>
      </c>
      <c r="B20" s="36" t="s">
        <v>31</v>
      </c>
      <c r="C20" s="297">
        <f t="shared" si="23"/>
        <v>373.2730425</v>
      </c>
      <c r="D20" s="361"/>
      <c r="E20" s="297">
        <f t="shared" si="24"/>
        <v>343.7579176</v>
      </c>
      <c r="F20" s="361"/>
      <c r="G20" s="297">
        <f t="shared" si="25"/>
        <v>399.1827732</v>
      </c>
      <c r="H20" s="361"/>
      <c r="I20" s="297">
        <f t="shared" si="26"/>
        <v>418.5062833</v>
      </c>
      <c r="J20" s="361"/>
      <c r="K20" s="297">
        <f t="shared" si="27"/>
        <v>464.3862188</v>
      </c>
      <c r="L20" s="361"/>
      <c r="M20" s="297">
        <f t="shared" si="28"/>
        <v>439.0530692</v>
      </c>
      <c r="N20" s="361"/>
      <c r="O20" s="297">
        <f t="shared" si="29"/>
        <v>484.0743987</v>
      </c>
      <c r="P20" s="361"/>
      <c r="Q20" s="297">
        <f t="shared" si="30"/>
        <v>449.826336</v>
      </c>
      <c r="R20" s="361"/>
      <c r="S20" s="297">
        <f t="shared" si="31"/>
        <v>422.7182029</v>
      </c>
      <c r="T20" s="361"/>
      <c r="U20" s="297">
        <f t="shared" si="32"/>
        <v>1621.547146</v>
      </c>
      <c r="V20" s="361"/>
      <c r="W20" s="297">
        <f t="shared" si="33"/>
        <v>460.4515489</v>
      </c>
      <c r="X20" s="361"/>
      <c r="Y20" s="297">
        <f t="shared" si="34"/>
        <v>405.1357228</v>
      </c>
      <c r="Z20" s="361"/>
      <c r="AA20" s="299">
        <f>MAX(C20,E20,G20,I20,K20,M20,O20,Q20,S20,U20,W20,Y20,)</f>
        <v>1621.547146</v>
      </c>
      <c r="AB20" s="293"/>
      <c r="AC20" s="293"/>
      <c r="AD20" s="293"/>
      <c r="AE20" s="293"/>
      <c r="AF20" s="293"/>
      <c r="AG20" s="293"/>
      <c r="AH20" s="293"/>
      <c r="AI20" s="293"/>
      <c r="AJ20" s="293"/>
      <c r="AK20" s="293"/>
      <c r="AL20" s="293"/>
      <c r="AM20" s="293"/>
      <c r="AN20" s="293"/>
      <c r="AO20" s="293"/>
      <c r="AP20" s="293"/>
      <c r="AQ20" s="293"/>
      <c r="AR20" s="293"/>
      <c r="AS20" s="293"/>
      <c r="AT20" s="293"/>
      <c r="AU20" s="293"/>
      <c r="AV20" s="293"/>
      <c r="AW20" s="293"/>
      <c r="AX20" s="293"/>
      <c r="AY20" s="293"/>
      <c r="AZ20" s="293"/>
      <c r="BA20" s="293"/>
      <c r="BB20" s="293"/>
      <c r="BC20" s="293"/>
      <c r="BD20" s="293"/>
      <c r="BE20" s="293"/>
      <c r="BF20" s="293"/>
      <c r="BG20" s="293"/>
      <c r="BH20" s="293"/>
      <c r="BI20" s="293"/>
      <c r="BJ20" s="293"/>
      <c r="BK20" s="293"/>
      <c r="BL20" s="293"/>
      <c r="BM20" s="293"/>
      <c r="BN20" s="293"/>
      <c r="BO20" s="293"/>
      <c r="BP20" s="293"/>
      <c r="BQ20" s="293"/>
      <c r="BR20" s="293"/>
      <c r="BS20" s="293"/>
      <c r="BT20" s="293"/>
      <c r="BU20" s="293"/>
      <c r="BV20" s="293"/>
      <c r="BW20" s="293"/>
      <c r="BX20" s="293"/>
      <c r="BY20" s="293"/>
      <c r="BZ20" s="293"/>
      <c r="CA20" s="293"/>
      <c r="CB20" s="293"/>
      <c r="CC20" s="293"/>
      <c r="CD20" s="293"/>
      <c r="CE20" s="293"/>
      <c r="CF20" s="293"/>
      <c r="CG20" s="293"/>
      <c r="CH20" s="293"/>
      <c r="CI20" s="293"/>
      <c r="CJ20" s="293"/>
      <c r="CK20" s="293"/>
      <c r="CL20" s="293"/>
      <c r="CM20" s="293"/>
      <c r="CN20" s="293"/>
      <c r="CO20" s="293"/>
      <c r="CP20" s="293"/>
      <c r="CQ20" s="293"/>
      <c r="CR20" s="293"/>
      <c r="CS20" s="293"/>
      <c r="CT20" s="293"/>
      <c r="CU20" s="293"/>
      <c r="CV20" s="293"/>
      <c r="CW20" s="293"/>
      <c r="CX20" s="293"/>
      <c r="CY20" s="293"/>
      <c r="CZ20" s="293"/>
      <c r="DA20" s="293"/>
      <c r="DB20" s="293"/>
      <c r="DC20" s="293"/>
      <c r="DD20" s="293"/>
      <c r="DE20" s="293"/>
      <c r="DF20" s="293"/>
      <c r="DG20" s="288"/>
      <c r="DH20" s="288"/>
      <c r="DI20" s="288"/>
      <c r="DJ20" s="288"/>
      <c r="DK20" s="288"/>
      <c r="DL20" s="288"/>
      <c r="DM20" s="288"/>
      <c r="DN20" s="288"/>
      <c r="DO20" s="288"/>
      <c r="DP20" s="288"/>
      <c r="DQ20" s="288"/>
      <c r="DR20" s="288"/>
      <c r="DS20" s="288"/>
      <c r="DT20" s="288"/>
      <c r="DU20" s="288"/>
      <c r="DV20" s="288"/>
      <c r="DW20" s="288"/>
      <c r="DX20" s="288"/>
    </row>
    <row r="21" ht="14.25" customHeight="1">
      <c r="A21" s="300">
        <v>7.0</v>
      </c>
      <c r="B21" s="36" t="s">
        <v>33</v>
      </c>
      <c r="C21" s="297">
        <f t="shared" si="23"/>
        <v>9.785772836</v>
      </c>
      <c r="D21" s="360"/>
      <c r="E21" s="297">
        <f t="shared" si="24"/>
        <v>0</v>
      </c>
      <c r="F21" s="360"/>
      <c r="G21" s="297">
        <f t="shared" si="25"/>
        <v>0</v>
      </c>
      <c r="H21" s="360"/>
      <c r="I21" s="297">
        <f t="shared" si="26"/>
        <v>16.94945574</v>
      </c>
      <c r="J21" s="360"/>
      <c r="K21" s="297">
        <f t="shared" si="27"/>
        <v>9.785772836</v>
      </c>
      <c r="L21" s="360"/>
      <c r="M21" s="297">
        <f t="shared" si="28"/>
        <v>0</v>
      </c>
      <c r="N21" s="360"/>
      <c r="O21" s="297">
        <f t="shared" si="29"/>
        <v>0</v>
      </c>
      <c r="P21" s="360"/>
      <c r="Q21" s="297">
        <f t="shared" si="30"/>
        <v>27.67834533</v>
      </c>
      <c r="R21" s="360"/>
      <c r="S21" s="297">
        <f t="shared" si="31"/>
        <v>122.6153822</v>
      </c>
      <c r="T21" s="360"/>
      <c r="U21" s="297">
        <f t="shared" si="32"/>
        <v>265.3009466</v>
      </c>
      <c r="V21" s="360"/>
      <c r="W21" s="297">
        <f t="shared" si="33"/>
        <v>244.4485271</v>
      </c>
      <c r="X21" s="360"/>
      <c r="Y21" s="297">
        <f t="shared" si="34"/>
        <v>133.8184309</v>
      </c>
      <c r="Z21" s="360"/>
      <c r="AA21" s="299">
        <f>MAX(C21,E21,G21,I21,K21,M21,O21,Q21,S21,U21,W21,Y21)</f>
        <v>265.3009466</v>
      </c>
      <c r="AB21" s="293"/>
      <c r="AC21" s="293"/>
      <c r="AD21" s="293"/>
      <c r="AE21" s="293"/>
      <c r="AF21" s="293"/>
      <c r="AG21" s="293"/>
      <c r="AH21" s="293"/>
      <c r="AI21" s="293"/>
      <c r="AJ21" s="293"/>
      <c r="AK21" s="293"/>
      <c r="AL21" s="293"/>
      <c r="AM21" s="293"/>
      <c r="AN21" s="293"/>
      <c r="AO21" s="293"/>
      <c r="AP21" s="293"/>
      <c r="AQ21" s="293"/>
      <c r="AR21" s="293"/>
      <c r="AS21" s="293"/>
      <c r="AT21" s="293"/>
      <c r="AU21" s="293"/>
      <c r="AV21" s="293"/>
      <c r="AW21" s="293"/>
      <c r="AX21" s="293"/>
      <c r="AY21" s="293"/>
      <c r="AZ21" s="293"/>
      <c r="BA21" s="293"/>
      <c r="BB21" s="293"/>
      <c r="BC21" s="293"/>
      <c r="BD21" s="293"/>
      <c r="BE21" s="293"/>
      <c r="BF21" s="293"/>
      <c r="BG21" s="293"/>
      <c r="BH21" s="293"/>
      <c r="BI21" s="293"/>
      <c r="BJ21" s="293"/>
      <c r="BK21" s="293"/>
      <c r="BL21" s="293"/>
      <c r="BM21" s="293"/>
      <c r="BN21" s="293"/>
      <c r="BO21" s="293"/>
      <c r="BP21" s="293"/>
      <c r="BQ21" s="293"/>
      <c r="BR21" s="293"/>
      <c r="BS21" s="293"/>
      <c r="BT21" s="293"/>
      <c r="BU21" s="293"/>
      <c r="BV21" s="293"/>
      <c r="BW21" s="293"/>
      <c r="BX21" s="293"/>
      <c r="BY21" s="293"/>
      <c r="BZ21" s="293"/>
      <c r="CA21" s="293"/>
      <c r="CB21" s="293"/>
      <c r="CC21" s="293"/>
      <c r="CD21" s="293"/>
      <c r="CE21" s="293"/>
      <c r="CF21" s="293"/>
      <c r="CG21" s="293"/>
      <c r="CH21" s="293"/>
      <c r="CI21" s="293"/>
      <c r="CJ21" s="293"/>
      <c r="CK21" s="293"/>
      <c r="CL21" s="293"/>
      <c r="CM21" s="293"/>
      <c r="CN21" s="293"/>
      <c r="CO21" s="293"/>
      <c r="CP21" s="293"/>
      <c r="CQ21" s="293"/>
      <c r="CR21" s="293"/>
      <c r="CS21" s="293"/>
      <c r="CT21" s="293"/>
      <c r="CU21" s="293"/>
      <c r="CV21" s="293"/>
      <c r="CW21" s="293"/>
      <c r="CX21" s="293"/>
      <c r="CY21" s="293"/>
      <c r="CZ21" s="293"/>
      <c r="DA21" s="293"/>
      <c r="DB21" s="293"/>
      <c r="DC21" s="293"/>
      <c r="DD21" s="293"/>
      <c r="DE21" s="293"/>
      <c r="DF21" s="293"/>
      <c r="DG21" s="288"/>
      <c r="DH21" s="288"/>
      <c r="DI21" s="288"/>
      <c r="DJ21" s="288"/>
      <c r="DK21" s="288"/>
      <c r="DL21" s="288"/>
      <c r="DM21" s="288"/>
      <c r="DN21" s="288"/>
      <c r="DO21" s="288"/>
      <c r="DP21" s="288"/>
      <c r="DQ21" s="288"/>
      <c r="DR21" s="288"/>
      <c r="DS21" s="288"/>
      <c r="DT21" s="288"/>
      <c r="DU21" s="288"/>
      <c r="DV21" s="288"/>
      <c r="DW21" s="288"/>
      <c r="DX21" s="288"/>
    </row>
    <row r="22" ht="14.25" customHeight="1">
      <c r="A22" s="300">
        <v>8.0</v>
      </c>
      <c r="B22" s="39" t="s">
        <v>35</v>
      </c>
      <c r="C22" s="301">
        <f t="shared" si="23"/>
        <v>1053.914559</v>
      </c>
      <c r="D22" s="362"/>
      <c r="E22" s="301">
        <f t="shared" si="24"/>
        <v>1042.770411</v>
      </c>
      <c r="F22" s="362"/>
      <c r="G22" s="301">
        <f t="shared" si="25"/>
        <v>1164.136858</v>
      </c>
      <c r="H22" s="362"/>
      <c r="I22" s="301">
        <f t="shared" si="26"/>
        <v>1107.566203</v>
      </c>
      <c r="J22" s="362"/>
      <c r="K22" s="301">
        <f t="shared" si="27"/>
        <v>1147.567029</v>
      </c>
      <c r="L22" s="362"/>
      <c r="M22" s="301">
        <f t="shared" si="28"/>
        <v>1155.094321</v>
      </c>
      <c r="N22" s="362"/>
      <c r="O22" s="301">
        <f t="shared" si="29"/>
        <v>1116.050124</v>
      </c>
      <c r="P22" s="362"/>
      <c r="Q22" s="301">
        <f t="shared" si="30"/>
        <v>1111.708587</v>
      </c>
      <c r="R22" s="362"/>
      <c r="S22" s="301">
        <f t="shared" si="31"/>
        <v>977.6961674</v>
      </c>
      <c r="T22" s="362"/>
      <c r="U22" s="301">
        <f t="shared" si="32"/>
        <v>949.7242524</v>
      </c>
      <c r="V22" s="362"/>
      <c r="W22" s="301">
        <f t="shared" si="33"/>
        <v>990.1055196</v>
      </c>
      <c r="X22" s="362"/>
      <c r="Y22" s="301">
        <f t="shared" si="34"/>
        <v>948.0085811</v>
      </c>
      <c r="Z22" s="362"/>
      <c r="AA22" s="299">
        <f>MAX(C22,E22,G22,I22,K22,M22,O22,Q22,S22,U22,W22,Y22,)</f>
        <v>1164.136858</v>
      </c>
      <c r="AB22" s="293"/>
      <c r="AC22" s="293"/>
      <c r="AD22" s="293"/>
      <c r="AE22" s="293"/>
      <c r="AF22" s="293"/>
      <c r="AG22" s="293"/>
      <c r="AH22" s="293"/>
      <c r="AI22" s="293"/>
      <c r="AJ22" s="293"/>
      <c r="AK22" s="293"/>
      <c r="AL22" s="293"/>
      <c r="AM22" s="293"/>
      <c r="AN22" s="293"/>
      <c r="AO22" s="293"/>
      <c r="AP22" s="293"/>
      <c r="AQ22" s="293"/>
      <c r="AR22" s="293"/>
      <c r="AS22" s="293"/>
      <c r="AT22" s="293"/>
      <c r="AU22" s="293"/>
      <c r="AV22" s="293"/>
      <c r="AW22" s="293"/>
      <c r="AX22" s="293"/>
      <c r="AY22" s="293"/>
      <c r="AZ22" s="293"/>
      <c r="BA22" s="293"/>
      <c r="BB22" s="293"/>
      <c r="BC22" s="293"/>
      <c r="BD22" s="293"/>
      <c r="BE22" s="293"/>
      <c r="BF22" s="293"/>
      <c r="BG22" s="293"/>
      <c r="BH22" s="293"/>
      <c r="BI22" s="293"/>
      <c r="BJ22" s="293"/>
      <c r="BK22" s="293"/>
      <c r="BL22" s="293"/>
      <c r="BM22" s="293"/>
      <c r="BN22" s="293"/>
      <c r="BO22" s="293"/>
      <c r="BP22" s="293"/>
      <c r="BQ22" s="293"/>
      <c r="BR22" s="293"/>
      <c r="BS22" s="293"/>
      <c r="BT22" s="293"/>
      <c r="BU22" s="293"/>
      <c r="BV22" s="293"/>
      <c r="BW22" s="293"/>
      <c r="BX22" s="293"/>
      <c r="BY22" s="293"/>
      <c r="BZ22" s="293"/>
      <c r="CA22" s="293"/>
      <c r="CB22" s="293"/>
      <c r="CC22" s="293"/>
      <c r="CD22" s="293"/>
      <c r="CE22" s="293"/>
      <c r="CF22" s="293"/>
      <c r="CG22" s="293"/>
      <c r="CH22" s="293"/>
      <c r="CI22" s="293"/>
      <c r="CJ22" s="293"/>
      <c r="CK22" s="293"/>
      <c r="CL22" s="293"/>
      <c r="CM22" s="293"/>
      <c r="CN22" s="293"/>
      <c r="CO22" s="293"/>
      <c r="CP22" s="293"/>
      <c r="CQ22" s="293"/>
      <c r="CR22" s="293"/>
      <c r="CS22" s="293"/>
      <c r="CT22" s="293"/>
      <c r="CU22" s="293"/>
      <c r="CV22" s="293"/>
      <c r="CW22" s="293"/>
      <c r="CX22" s="293"/>
      <c r="CY22" s="293"/>
      <c r="CZ22" s="293"/>
      <c r="DA22" s="293"/>
      <c r="DB22" s="293"/>
      <c r="DC22" s="293"/>
      <c r="DD22" s="293"/>
      <c r="DE22" s="293"/>
      <c r="DF22" s="293"/>
      <c r="DG22" s="288"/>
      <c r="DH22" s="288"/>
      <c r="DI22" s="288"/>
      <c r="DJ22" s="288"/>
      <c r="DK22" s="288"/>
      <c r="DL22" s="288"/>
      <c r="DM22" s="288"/>
      <c r="DN22" s="288"/>
      <c r="DO22" s="288"/>
      <c r="DP22" s="288"/>
      <c r="DQ22" s="288"/>
      <c r="DR22" s="288"/>
      <c r="DS22" s="288"/>
      <c r="DT22" s="288"/>
      <c r="DU22" s="288"/>
      <c r="DV22" s="288"/>
      <c r="DW22" s="288"/>
      <c r="DX22" s="288"/>
    </row>
    <row r="23" ht="15.0" customHeight="1">
      <c r="A23" s="303"/>
      <c r="B23" s="303"/>
      <c r="C23" s="286"/>
      <c r="D23" s="293"/>
      <c r="E23" s="293"/>
      <c r="F23" s="293"/>
      <c r="G23" s="293"/>
      <c r="H23" s="293"/>
      <c r="I23" s="293"/>
      <c r="J23" s="293"/>
      <c r="K23" s="293"/>
      <c r="L23" s="293"/>
      <c r="M23" s="293"/>
      <c r="N23" s="293"/>
      <c r="O23" s="293"/>
      <c r="P23" s="293"/>
      <c r="Q23" s="293"/>
      <c r="R23" s="293"/>
      <c r="S23" s="293"/>
      <c r="T23" s="293"/>
      <c r="U23" s="293"/>
      <c r="V23" s="293"/>
      <c r="W23" s="293"/>
      <c r="X23" s="293"/>
      <c r="Y23" s="293"/>
      <c r="Z23" s="293"/>
      <c r="AA23" s="293"/>
      <c r="AB23" s="293"/>
      <c r="AC23" s="293"/>
      <c r="AD23" s="293"/>
      <c r="AE23" s="293"/>
      <c r="AF23" s="293"/>
      <c r="AG23" s="293"/>
      <c r="AH23" s="293"/>
      <c r="AI23" s="293"/>
      <c r="AJ23" s="293"/>
      <c r="AK23" s="293"/>
      <c r="AL23" s="293"/>
      <c r="AM23" s="293"/>
      <c r="AN23" s="293"/>
      <c r="AO23" s="293"/>
      <c r="AP23" s="293"/>
      <c r="AQ23" s="293"/>
      <c r="AR23" s="293"/>
      <c r="AS23" s="293"/>
      <c r="AT23" s="293"/>
      <c r="AU23" s="293"/>
      <c r="AV23" s="293"/>
      <c r="AW23" s="293"/>
      <c r="AX23" s="293"/>
      <c r="AY23" s="293"/>
      <c r="AZ23" s="293"/>
      <c r="BA23" s="293"/>
      <c r="BB23" s="293"/>
      <c r="BC23" s="293"/>
      <c r="BD23" s="293"/>
      <c r="BE23" s="293"/>
      <c r="BF23" s="293"/>
      <c r="BG23" s="293"/>
      <c r="BH23" s="293"/>
      <c r="BI23" s="293"/>
      <c r="BJ23" s="293"/>
      <c r="BK23" s="293"/>
      <c r="BL23" s="293"/>
      <c r="BM23" s="293"/>
      <c r="BN23" s="293"/>
      <c r="BO23" s="293"/>
      <c r="BP23" s="293"/>
      <c r="BQ23" s="293"/>
      <c r="BR23" s="293"/>
      <c r="BS23" s="293"/>
      <c r="BT23" s="293"/>
      <c r="BU23" s="293"/>
      <c r="BV23" s="293"/>
      <c r="BW23" s="293"/>
      <c r="BX23" s="293"/>
      <c r="BY23" s="293"/>
      <c r="BZ23" s="293"/>
      <c r="CA23" s="293"/>
      <c r="CB23" s="293"/>
      <c r="CC23" s="293"/>
      <c r="CD23" s="293"/>
      <c r="CE23" s="293"/>
      <c r="CF23" s="293"/>
      <c r="CG23" s="293"/>
      <c r="CH23" s="293"/>
      <c r="CI23" s="293"/>
      <c r="CJ23" s="293"/>
      <c r="CK23" s="293"/>
      <c r="CL23" s="293"/>
      <c r="CM23" s="293"/>
      <c r="CN23" s="293"/>
      <c r="CO23" s="293"/>
      <c r="CP23" s="293"/>
      <c r="CQ23" s="293"/>
      <c r="CR23" s="293"/>
      <c r="CS23" s="293"/>
      <c r="CT23" s="293"/>
      <c r="CU23" s="293"/>
      <c r="CV23" s="293"/>
      <c r="CW23" s="293"/>
      <c r="CX23" s="293"/>
      <c r="CY23" s="293"/>
      <c r="CZ23" s="293"/>
      <c r="DA23" s="293"/>
      <c r="DB23" s="293"/>
      <c r="DC23" s="293"/>
      <c r="DD23" s="293"/>
      <c r="DE23" s="293"/>
      <c r="DF23" s="293"/>
      <c r="DG23" s="288"/>
      <c r="DH23" s="288"/>
      <c r="DI23" s="288"/>
      <c r="DJ23" s="288"/>
      <c r="DK23" s="288"/>
      <c r="DL23" s="288"/>
      <c r="DM23" s="288"/>
      <c r="DN23" s="288"/>
      <c r="DO23" s="288"/>
      <c r="DP23" s="288"/>
      <c r="DQ23" s="288"/>
      <c r="DR23" s="288"/>
      <c r="DS23" s="288"/>
      <c r="DT23" s="288"/>
      <c r="DU23" s="288"/>
      <c r="DV23" s="288"/>
      <c r="DW23" s="288"/>
      <c r="DX23" s="288"/>
    </row>
    <row r="24" ht="14.25" customHeight="1">
      <c r="A24" s="304" t="s">
        <v>389</v>
      </c>
      <c r="B24" s="305">
        <f>SUM(B27:B36)</f>
        <v>95761.35</v>
      </c>
      <c r="C24" s="292"/>
      <c r="D24" s="293"/>
      <c r="E24" s="293"/>
      <c r="F24" s="293"/>
      <c r="G24" s="293"/>
      <c r="H24" s="293"/>
      <c r="I24" s="293"/>
      <c r="J24" s="293"/>
      <c r="K24" s="293"/>
      <c r="L24" s="293"/>
      <c r="M24" s="293"/>
      <c r="N24" s="293"/>
      <c r="O24" s="293"/>
      <c r="P24" s="293"/>
      <c r="Q24" s="293"/>
      <c r="R24" s="293"/>
      <c r="S24" s="293"/>
      <c r="T24" s="293"/>
      <c r="U24" s="293"/>
      <c r="V24" s="293"/>
      <c r="W24" s="293"/>
      <c r="X24" s="293"/>
      <c r="Y24" s="293"/>
      <c r="Z24" s="293"/>
      <c r="AA24" s="293"/>
      <c r="AB24" s="293"/>
      <c r="AC24" s="293"/>
      <c r="AD24" s="293"/>
      <c r="AE24" s="293"/>
      <c r="AF24" s="293"/>
      <c r="AG24" s="293"/>
      <c r="AH24" s="293"/>
      <c r="AI24" s="293"/>
      <c r="AJ24" s="293"/>
      <c r="AK24" s="293"/>
      <c r="AL24" s="293"/>
      <c r="AM24" s="293"/>
      <c r="AN24" s="293"/>
      <c r="AO24" s="293"/>
      <c r="AP24" s="293"/>
      <c r="AQ24" s="293"/>
      <c r="AR24" s="293"/>
      <c r="AS24" s="293"/>
      <c r="AT24" s="293"/>
      <c r="AU24" s="293"/>
      <c r="AV24" s="293"/>
      <c r="AW24" s="293"/>
      <c r="AX24" s="293"/>
      <c r="AY24" s="293"/>
      <c r="AZ24" s="293"/>
      <c r="BA24" s="293"/>
      <c r="BB24" s="293"/>
      <c r="BC24" s="293"/>
      <c r="BD24" s="293"/>
      <c r="BE24" s="293"/>
      <c r="BF24" s="293"/>
      <c r="BG24" s="293"/>
      <c r="BH24" s="293"/>
      <c r="BI24" s="293"/>
      <c r="BJ24" s="293"/>
      <c r="BK24" s="293"/>
      <c r="BL24" s="293"/>
      <c r="BM24" s="293"/>
      <c r="BN24" s="293"/>
      <c r="BO24" s="293"/>
      <c r="BP24" s="293"/>
      <c r="BQ24" s="293"/>
      <c r="BR24" s="293"/>
      <c r="BS24" s="293"/>
      <c r="BT24" s="293"/>
      <c r="BU24" s="293"/>
      <c r="BV24" s="293"/>
      <c r="BW24" s="293"/>
      <c r="BX24" s="293"/>
      <c r="BY24" s="293"/>
      <c r="BZ24" s="293"/>
      <c r="CA24" s="293"/>
      <c r="CB24" s="293"/>
      <c r="CC24" s="293"/>
      <c r="CD24" s="293"/>
      <c r="CE24" s="293"/>
      <c r="CF24" s="293"/>
      <c r="CG24" s="293"/>
      <c r="CH24" s="293"/>
      <c r="CI24" s="293"/>
      <c r="CJ24" s="293"/>
      <c r="CK24" s="293"/>
      <c r="CL24" s="293"/>
      <c r="CM24" s="293"/>
      <c r="CN24" s="293"/>
      <c r="CO24" s="293"/>
      <c r="CP24" s="293"/>
      <c r="CQ24" s="293"/>
      <c r="CR24" s="293"/>
      <c r="CS24" s="293"/>
      <c r="CT24" s="293"/>
      <c r="CU24" s="293"/>
      <c r="CV24" s="293"/>
      <c r="CW24" s="293"/>
      <c r="CX24" s="293"/>
      <c r="CY24" s="293"/>
      <c r="CZ24" s="293"/>
      <c r="DA24" s="293"/>
      <c r="DB24" s="293"/>
      <c r="DC24" s="293"/>
      <c r="DD24" s="293"/>
      <c r="DE24" s="293"/>
      <c r="DF24" s="293"/>
      <c r="DG24" s="288"/>
      <c r="DH24" s="288"/>
      <c r="DI24" s="288"/>
      <c r="DJ24" s="288"/>
      <c r="DK24" s="288"/>
      <c r="DL24" s="288"/>
      <c r="DM24" s="288"/>
      <c r="DN24" s="288"/>
      <c r="DO24" s="288"/>
      <c r="DP24" s="288"/>
      <c r="DQ24" s="288"/>
      <c r="DR24" s="288"/>
      <c r="DS24" s="288"/>
      <c r="DT24" s="288"/>
      <c r="DU24" s="288"/>
      <c r="DV24" s="288"/>
      <c r="DW24" s="288"/>
      <c r="DX24" s="288"/>
    </row>
    <row r="25" ht="14.25" customHeight="1">
      <c r="A25" s="287"/>
      <c r="B25" s="287"/>
      <c r="C25" s="293"/>
      <c r="D25" s="293"/>
      <c r="E25" s="293"/>
      <c r="F25" s="293"/>
      <c r="G25" s="293"/>
      <c r="H25" s="293"/>
      <c r="I25" s="293"/>
      <c r="J25" s="293"/>
      <c r="K25" s="293"/>
      <c r="L25" s="293"/>
      <c r="M25" s="293"/>
      <c r="N25" s="293"/>
      <c r="O25" s="293"/>
      <c r="P25" s="293"/>
      <c r="Q25" s="293"/>
      <c r="R25" s="293"/>
      <c r="S25" s="293"/>
      <c r="T25" s="293"/>
      <c r="U25" s="293"/>
      <c r="V25" s="293"/>
      <c r="W25" s="293"/>
      <c r="X25" s="293"/>
      <c r="Y25" s="293"/>
      <c r="Z25" s="293"/>
      <c r="AA25" s="293"/>
      <c r="AB25" s="293"/>
      <c r="AC25" s="293"/>
      <c r="AD25" s="293"/>
      <c r="AE25" s="293"/>
      <c r="AF25" s="293"/>
      <c r="AG25" s="293"/>
      <c r="AH25" s="293"/>
      <c r="AI25" s="293"/>
      <c r="AJ25" s="293"/>
      <c r="AK25" s="293"/>
      <c r="AL25" s="293"/>
      <c r="AM25" s="293"/>
      <c r="AN25" s="293"/>
      <c r="AO25" s="293"/>
      <c r="AP25" s="293"/>
      <c r="AQ25" s="293"/>
      <c r="AR25" s="293"/>
      <c r="AS25" s="293"/>
      <c r="AT25" s="293"/>
      <c r="AU25" s="293"/>
      <c r="AV25" s="293"/>
      <c r="AW25" s="293"/>
      <c r="AX25" s="293"/>
      <c r="AY25" s="293"/>
      <c r="AZ25" s="293"/>
      <c r="BA25" s="293"/>
      <c r="BB25" s="293"/>
      <c r="BC25" s="293"/>
      <c r="BD25" s="293"/>
      <c r="BE25" s="293"/>
      <c r="BF25" s="293"/>
      <c r="BG25" s="293"/>
      <c r="BH25" s="293"/>
      <c r="BI25" s="293"/>
      <c r="BJ25" s="293"/>
      <c r="BK25" s="293"/>
      <c r="BL25" s="293"/>
      <c r="BM25" s="293"/>
      <c r="BN25" s="293"/>
      <c r="BO25" s="293"/>
      <c r="BP25" s="293"/>
      <c r="BQ25" s="293"/>
      <c r="BR25" s="293"/>
      <c r="BS25" s="293"/>
      <c r="BT25" s="293"/>
      <c r="BU25" s="293"/>
      <c r="BV25" s="293"/>
      <c r="BW25" s="293"/>
      <c r="BX25" s="293"/>
      <c r="BY25" s="293"/>
      <c r="BZ25" s="293"/>
      <c r="CA25" s="293"/>
      <c r="CB25" s="293"/>
      <c r="CC25" s="293"/>
      <c r="CD25" s="293"/>
      <c r="CE25" s="293"/>
      <c r="CF25" s="293"/>
      <c r="CG25" s="293"/>
      <c r="CH25" s="293"/>
      <c r="CI25" s="293"/>
      <c r="CJ25" s="293"/>
      <c r="CK25" s="293"/>
      <c r="CL25" s="293"/>
      <c r="CM25" s="293"/>
      <c r="CN25" s="293"/>
      <c r="CO25" s="293"/>
      <c r="CP25" s="293"/>
      <c r="CQ25" s="293"/>
      <c r="CR25" s="293"/>
      <c r="CS25" s="293"/>
      <c r="CT25" s="293"/>
      <c r="CU25" s="293"/>
      <c r="CV25" s="293"/>
      <c r="CW25" s="293"/>
      <c r="CX25" s="293"/>
      <c r="CY25" s="293"/>
      <c r="CZ25" s="293"/>
      <c r="DA25" s="293"/>
      <c r="DB25" s="293"/>
      <c r="DC25" s="293"/>
      <c r="DD25" s="293"/>
      <c r="DE25" s="293"/>
      <c r="DF25" s="293"/>
      <c r="DG25" s="288"/>
      <c r="DH25" s="288"/>
      <c r="DI25" s="288"/>
      <c r="DJ25" s="288"/>
      <c r="DK25" s="288"/>
      <c r="DL25" s="288"/>
      <c r="DM25" s="288"/>
      <c r="DN25" s="288"/>
      <c r="DO25" s="288"/>
      <c r="DP25" s="288"/>
      <c r="DQ25" s="288"/>
      <c r="DR25" s="288"/>
      <c r="DS25" s="288"/>
      <c r="DT25" s="288"/>
      <c r="DU25" s="288"/>
      <c r="DV25" s="288"/>
      <c r="DW25" s="288"/>
      <c r="DX25" s="288"/>
    </row>
    <row r="26" ht="14.25" customHeight="1">
      <c r="A26" s="307" t="s">
        <v>15</v>
      </c>
      <c r="B26" s="307" t="s">
        <v>390</v>
      </c>
      <c r="C26" s="292"/>
      <c r="D26" s="293"/>
      <c r="E26" s="293"/>
      <c r="F26" s="293"/>
      <c r="G26" s="293"/>
      <c r="H26" s="293"/>
      <c r="I26" s="293"/>
      <c r="J26" s="293"/>
      <c r="K26" s="293"/>
      <c r="L26" s="293"/>
      <c r="M26" s="293"/>
      <c r="N26" s="293"/>
      <c r="O26" s="293"/>
      <c r="P26" s="293"/>
      <c r="Q26" s="293"/>
      <c r="R26" s="293"/>
      <c r="S26" s="293"/>
      <c r="T26" s="293"/>
      <c r="U26" s="293"/>
      <c r="V26" s="293"/>
      <c r="W26" s="293"/>
      <c r="X26" s="293"/>
      <c r="Y26" s="293"/>
      <c r="Z26" s="293"/>
      <c r="AA26" s="293"/>
      <c r="AB26" s="293"/>
      <c r="AC26" s="293"/>
      <c r="AD26" s="293"/>
      <c r="AE26" s="293"/>
      <c r="AF26" s="293"/>
      <c r="AG26" s="293"/>
      <c r="AH26" s="293"/>
      <c r="AI26" s="293"/>
      <c r="AJ26" s="293"/>
      <c r="AK26" s="293"/>
      <c r="AL26" s="293"/>
      <c r="AM26" s="293"/>
      <c r="AN26" s="293"/>
      <c r="AO26" s="293"/>
      <c r="AP26" s="293"/>
      <c r="AQ26" s="293"/>
      <c r="AR26" s="293"/>
      <c r="AS26" s="293"/>
      <c r="AT26" s="293"/>
      <c r="AU26" s="293"/>
      <c r="AV26" s="293"/>
      <c r="AW26" s="293"/>
      <c r="AX26" s="293"/>
      <c r="AY26" s="293"/>
      <c r="AZ26" s="293"/>
      <c r="BA26" s="293"/>
      <c r="BB26" s="293"/>
      <c r="BC26" s="293"/>
      <c r="BD26" s="293"/>
      <c r="BE26" s="293"/>
      <c r="BF26" s="293"/>
      <c r="BG26" s="293"/>
      <c r="BH26" s="293"/>
      <c r="BI26" s="293"/>
      <c r="BJ26" s="293"/>
      <c r="BK26" s="293"/>
      <c r="BL26" s="293"/>
      <c r="BM26" s="293"/>
      <c r="BN26" s="293"/>
      <c r="BO26" s="293"/>
      <c r="BP26" s="293"/>
      <c r="BQ26" s="293"/>
      <c r="BR26" s="293"/>
      <c r="BS26" s="293"/>
      <c r="BT26" s="293"/>
      <c r="BU26" s="293"/>
      <c r="BV26" s="293"/>
      <c r="BW26" s="293"/>
      <c r="BX26" s="293"/>
      <c r="BY26" s="293"/>
      <c r="BZ26" s="293"/>
      <c r="CA26" s="293"/>
      <c r="CB26" s="293"/>
      <c r="CC26" s="293"/>
      <c r="CD26" s="293"/>
      <c r="CE26" s="293"/>
      <c r="CF26" s="293"/>
      <c r="CG26" s="293"/>
      <c r="CH26" s="293"/>
      <c r="CI26" s="293"/>
      <c r="CJ26" s="293"/>
      <c r="CK26" s="293"/>
      <c r="CL26" s="293"/>
      <c r="CM26" s="293"/>
      <c r="CN26" s="293"/>
      <c r="CO26" s="293"/>
      <c r="CP26" s="293"/>
      <c r="CQ26" s="293"/>
      <c r="CR26" s="293"/>
      <c r="CS26" s="293"/>
      <c r="CT26" s="293"/>
      <c r="CU26" s="293"/>
      <c r="CV26" s="293"/>
      <c r="CW26" s="293"/>
      <c r="CX26" s="293"/>
      <c r="CY26" s="293"/>
      <c r="CZ26" s="293"/>
      <c r="DA26" s="293"/>
      <c r="DB26" s="293"/>
      <c r="DC26" s="293"/>
      <c r="DD26" s="293"/>
      <c r="DE26" s="293"/>
      <c r="DF26" s="293"/>
      <c r="DG26" s="288"/>
      <c r="DH26" s="288"/>
      <c r="DI26" s="288"/>
      <c r="DJ26" s="288"/>
      <c r="DK26" s="288"/>
      <c r="DL26" s="288"/>
      <c r="DM26" s="288"/>
      <c r="DN26" s="288"/>
      <c r="DO26" s="288"/>
      <c r="DP26" s="288"/>
      <c r="DQ26" s="288"/>
      <c r="DR26" s="288"/>
      <c r="DS26" s="288"/>
      <c r="DT26" s="288"/>
      <c r="DU26" s="288"/>
      <c r="DV26" s="288"/>
      <c r="DW26" s="288"/>
      <c r="DX26" s="288"/>
    </row>
    <row r="27" ht="14.25" customHeight="1">
      <c r="A27" s="147" t="s">
        <v>22</v>
      </c>
      <c r="B27" s="158">
        <f t="array" ref="B27">XLOOKUP(A27,'HouseHolds per "comuna"'!$B$2:$B$40,'HouseHolds per "comuna"'!$C$2:$C$40)*0.15</f>
        <v>4034.1</v>
      </c>
      <c r="C27" s="292"/>
      <c r="D27" s="293"/>
      <c r="E27" s="293"/>
      <c r="F27" s="293"/>
      <c r="G27" s="293"/>
      <c r="H27" s="293"/>
      <c r="I27" s="293"/>
      <c r="J27" s="293"/>
      <c r="K27" s="293"/>
      <c r="L27" s="293"/>
      <c r="M27" s="293"/>
      <c r="N27" s="293"/>
      <c r="O27" s="293"/>
      <c r="P27" s="293"/>
      <c r="Q27" s="293"/>
      <c r="R27" s="293"/>
      <c r="S27" s="293"/>
      <c r="T27" s="293"/>
      <c r="U27" s="293"/>
      <c r="V27" s="293"/>
      <c r="W27" s="293"/>
      <c r="X27" s="293"/>
      <c r="Y27" s="293"/>
      <c r="Z27" s="293"/>
      <c r="AA27" s="293"/>
      <c r="AB27" s="293"/>
      <c r="AC27" s="293"/>
      <c r="AD27" s="293"/>
      <c r="AE27" s="293"/>
      <c r="AF27" s="293"/>
      <c r="AG27" s="293"/>
      <c r="AH27" s="293"/>
      <c r="AI27" s="293"/>
      <c r="AJ27" s="293"/>
      <c r="AK27" s="293"/>
      <c r="AL27" s="293"/>
      <c r="AM27" s="293"/>
      <c r="AN27" s="293"/>
      <c r="AO27" s="293"/>
      <c r="AP27" s="293"/>
      <c r="AQ27" s="293"/>
      <c r="AR27" s="293"/>
      <c r="AS27" s="293"/>
      <c r="AT27" s="293"/>
      <c r="AU27" s="293"/>
      <c r="AV27" s="293"/>
      <c r="AW27" s="293"/>
      <c r="AX27" s="293"/>
      <c r="AY27" s="293"/>
      <c r="AZ27" s="293"/>
      <c r="BA27" s="293"/>
      <c r="BB27" s="293"/>
      <c r="BC27" s="293"/>
      <c r="BD27" s="293"/>
      <c r="BE27" s="293"/>
      <c r="BF27" s="293"/>
      <c r="BG27" s="293"/>
      <c r="BH27" s="293"/>
      <c r="BI27" s="293"/>
      <c r="BJ27" s="293"/>
      <c r="BK27" s="293"/>
      <c r="BL27" s="293"/>
      <c r="BM27" s="293"/>
      <c r="BN27" s="293"/>
      <c r="BO27" s="293"/>
      <c r="BP27" s="293"/>
      <c r="BQ27" s="293"/>
      <c r="BR27" s="293"/>
      <c r="BS27" s="293"/>
      <c r="BT27" s="293"/>
      <c r="BU27" s="293"/>
      <c r="BV27" s="293"/>
      <c r="BW27" s="293"/>
      <c r="BX27" s="293"/>
      <c r="BY27" s="293"/>
      <c r="BZ27" s="293"/>
      <c r="CA27" s="293"/>
      <c r="CB27" s="293"/>
      <c r="CC27" s="293"/>
      <c r="CD27" s="293"/>
      <c r="CE27" s="293"/>
      <c r="CF27" s="293"/>
      <c r="CG27" s="293"/>
      <c r="CH27" s="293"/>
      <c r="CI27" s="293"/>
      <c r="CJ27" s="293"/>
      <c r="CK27" s="293"/>
      <c r="CL27" s="293"/>
      <c r="CM27" s="293"/>
      <c r="CN27" s="293"/>
      <c r="CO27" s="293"/>
      <c r="CP27" s="293"/>
      <c r="CQ27" s="293"/>
      <c r="CR27" s="293"/>
      <c r="CS27" s="293"/>
      <c r="CT27" s="293"/>
      <c r="CU27" s="293"/>
      <c r="CV27" s="293"/>
      <c r="CW27" s="293"/>
      <c r="CX27" s="293"/>
      <c r="CY27" s="293"/>
      <c r="CZ27" s="293"/>
      <c r="DA27" s="293"/>
      <c r="DB27" s="293"/>
      <c r="DC27" s="293"/>
      <c r="DD27" s="293"/>
      <c r="DE27" s="293"/>
      <c r="DF27" s="293"/>
      <c r="DG27" s="288"/>
      <c r="DH27" s="288"/>
      <c r="DI27" s="288"/>
      <c r="DJ27" s="288"/>
      <c r="DK27" s="288"/>
      <c r="DL27" s="288"/>
      <c r="DM27" s="288"/>
      <c r="DN27" s="288"/>
      <c r="DO27" s="288"/>
      <c r="DP27" s="288"/>
      <c r="DQ27" s="288"/>
      <c r="DR27" s="288"/>
      <c r="DS27" s="288"/>
      <c r="DT27" s="288"/>
      <c r="DU27" s="288"/>
      <c r="DV27" s="288"/>
      <c r="DW27" s="288"/>
      <c r="DX27" s="288"/>
    </row>
    <row r="28" ht="14.25" customHeight="1">
      <c r="A28" s="147" t="s">
        <v>24</v>
      </c>
      <c r="B28" s="158">
        <f t="array" ref="B28">XLOOKUP(A28,'HouseHolds per "comuna"'!$B$2:$B$40,'HouseHolds per "comuna"'!$C$2:$C$40)*0.15</f>
        <v>16000.8</v>
      </c>
      <c r="C28" s="292"/>
      <c r="D28" s="293"/>
      <c r="E28" s="293"/>
      <c r="F28" s="293"/>
      <c r="G28" s="293"/>
      <c r="H28" s="293"/>
      <c r="I28" s="293"/>
      <c r="J28" s="293"/>
      <c r="K28" s="293"/>
      <c r="L28" s="293"/>
      <c r="M28" s="293"/>
      <c r="N28" s="293"/>
      <c r="O28" s="293"/>
      <c r="P28" s="293"/>
      <c r="Q28" s="293"/>
      <c r="R28" s="293"/>
      <c r="S28" s="293"/>
      <c r="T28" s="293"/>
      <c r="U28" s="293"/>
      <c r="V28" s="293"/>
      <c r="W28" s="293"/>
      <c r="X28" s="293"/>
      <c r="Y28" s="293"/>
      <c r="Z28" s="293"/>
      <c r="AA28" s="293"/>
      <c r="AB28" s="293"/>
      <c r="AC28" s="293"/>
      <c r="AD28" s="293"/>
      <c r="AE28" s="293"/>
      <c r="AF28" s="293"/>
      <c r="AG28" s="293"/>
      <c r="AH28" s="293"/>
      <c r="AI28" s="293"/>
      <c r="AJ28" s="293"/>
      <c r="AK28" s="293"/>
      <c r="AL28" s="293"/>
      <c r="AM28" s="293"/>
      <c r="AN28" s="293"/>
      <c r="AO28" s="293"/>
      <c r="AP28" s="293"/>
      <c r="AQ28" s="293"/>
      <c r="AR28" s="293"/>
      <c r="AS28" s="293"/>
      <c r="AT28" s="293"/>
      <c r="AU28" s="293"/>
      <c r="AV28" s="293"/>
      <c r="AW28" s="293"/>
      <c r="AX28" s="293"/>
      <c r="AY28" s="293"/>
      <c r="AZ28" s="293"/>
      <c r="BA28" s="293"/>
      <c r="BB28" s="293"/>
      <c r="BC28" s="293"/>
      <c r="BD28" s="293"/>
      <c r="BE28" s="293"/>
      <c r="BF28" s="293"/>
      <c r="BG28" s="293"/>
      <c r="BH28" s="293"/>
      <c r="BI28" s="293"/>
      <c r="BJ28" s="293"/>
      <c r="BK28" s="293"/>
      <c r="BL28" s="293"/>
      <c r="BM28" s="293"/>
      <c r="BN28" s="293"/>
      <c r="BO28" s="293"/>
      <c r="BP28" s="293"/>
      <c r="BQ28" s="293"/>
      <c r="BR28" s="293"/>
      <c r="BS28" s="293"/>
      <c r="BT28" s="293"/>
      <c r="BU28" s="293"/>
      <c r="BV28" s="293"/>
      <c r="BW28" s="293"/>
      <c r="BX28" s="293"/>
      <c r="BY28" s="293"/>
      <c r="BZ28" s="293"/>
      <c r="CA28" s="293"/>
      <c r="CB28" s="293"/>
      <c r="CC28" s="293"/>
      <c r="CD28" s="293"/>
      <c r="CE28" s="293"/>
      <c r="CF28" s="293"/>
      <c r="CG28" s="293"/>
      <c r="CH28" s="293"/>
      <c r="CI28" s="293"/>
      <c r="CJ28" s="293"/>
      <c r="CK28" s="293"/>
      <c r="CL28" s="293"/>
      <c r="CM28" s="293"/>
      <c r="CN28" s="293"/>
      <c r="CO28" s="293"/>
      <c r="CP28" s="293"/>
      <c r="CQ28" s="293"/>
      <c r="CR28" s="293"/>
      <c r="CS28" s="293"/>
      <c r="CT28" s="293"/>
      <c r="CU28" s="293"/>
      <c r="CV28" s="293"/>
      <c r="CW28" s="293"/>
      <c r="CX28" s="293"/>
      <c r="CY28" s="293"/>
      <c r="CZ28" s="293"/>
      <c r="DA28" s="293"/>
      <c r="DB28" s="293"/>
      <c r="DC28" s="293"/>
      <c r="DD28" s="293"/>
      <c r="DE28" s="293"/>
      <c r="DF28" s="293"/>
      <c r="DG28" s="288"/>
      <c r="DH28" s="288"/>
      <c r="DI28" s="288"/>
      <c r="DJ28" s="288"/>
      <c r="DK28" s="288"/>
      <c r="DL28" s="288"/>
      <c r="DM28" s="288"/>
      <c r="DN28" s="288"/>
      <c r="DO28" s="288"/>
      <c r="DP28" s="288"/>
      <c r="DQ28" s="288"/>
      <c r="DR28" s="288"/>
      <c r="DS28" s="288"/>
      <c r="DT28" s="288"/>
      <c r="DU28" s="288"/>
      <c r="DV28" s="288"/>
      <c r="DW28" s="288"/>
      <c r="DX28" s="288"/>
    </row>
    <row r="29" ht="14.25" customHeight="1">
      <c r="A29" s="147" t="s">
        <v>26</v>
      </c>
      <c r="B29" s="158">
        <f t="array" ref="B29">XLOOKUP(A29,'HouseHolds per "comuna"'!$B$2:$B$40,'HouseHolds per "comuna"'!$C$2:$C$40)*0.15</f>
        <v>9332.25</v>
      </c>
      <c r="C29" s="292"/>
      <c r="D29" s="293"/>
      <c r="E29" s="293"/>
      <c r="F29" s="293"/>
      <c r="G29" s="293"/>
      <c r="H29" s="293"/>
      <c r="I29" s="293"/>
      <c r="J29" s="293"/>
      <c r="K29" s="293"/>
      <c r="L29" s="293"/>
      <c r="M29" s="293"/>
      <c r="N29" s="293"/>
      <c r="O29" s="293"/>
      <c r="P29" s="293"/>
      <c r="Q29" s="293"/>
      <c r="R29" s="293"/>
      <c r="S29" s="293"/>
      <c r="T29" s="293"/>
      <c r="U29" s="293"/>
      <c r="V29" s="293"/>
      <c r="W29" s="293"/>
      <c r="X29" s="293"/>
      <c r="Y29" s="293"/>
      <c r="Z29" s="293"/>
      <c r="AA29" s="293"/>
      <c r="AB29" s="293"/>
      <c r="AC29" s="293"/>
      <c r="AD29" s="293"/>
      <c r="AE29" s="293"/>
      <c r="AF29" s="293"/>
      <c r="AG29" s="293"/>
      <c r="AH29" s="293"/>
      <c r="AI29" s="293"/>
      <c r="AJ29" s="293"/>
      <c r="AK29" s="293"/>
      <c r="AL29" s="293"/>
      <c r="AM29" s="293"/>
      <c r="AN29" s="293"/>
      <c r="AO29" s="293"/>
      <c r="AP29" s="293"/>
      <c r="AQ29" s="293"/>
      <c r="AR29" s="293"/>
      <c r="AS29" s="293"/>
      <c r="AT29" s="293"/>
      <c r="AU29" s="293"/>
      <c r="AV29" s="293"/>
      <c r="AW29" s="293"/>
      <c r="AX29" s="293"/>
      <c r="AY29" s="293"/>
      <c r="AZ29" s="293"/>
      <c r="BA29" s="293"/>
      <c r="BB29" s="293"/>
      <c r="BC29" s="293"/>
      <c r="BD29" s="293"/>
      <c r="BE29" s="293"/>
      <c r="BF29" s="293"/>
      <c r="BG29" s="293"/>
      <c r="BH29" s="293"/>
      <c r="BI29" s="293"/>
      <c r="BJ29" s="293"/>
      <c r="BK29" s="293"/>
      <c r="BL29" s="293"/>
      <c r="BM29" s="293"/>
      <c r="BN29" s="293"/>
      <c r="BO29" s="293"/>
      <c r="BP29" s="293"/>
      <c r="BQ29" s="293"/>
      <c r="BR29" s="293"/>
      <c r="BS29" s="293"/>
      <c r="BT29" s="293"/>
      <c r="BU29" s="293"/>
      <c r="BV29" s="293"/>
      <c r="BW29" s="293"/>
      <c r="BX29" s="293"/>
      <c r="BY29" s="293"/>
      <c r="BZ29" s="293"/>
      <c r="CA29" s="293"/>
      <c r="CB29" s="293"/>
      <c r="CC29" s="293"/>
      <c r="CD29" s="293"/>
      <c r="CE29" s="293"/>
      <c r="CF29" s="293"/>
      <c r="CG29" s="293"/>
      <c r="CH29" s="293"/>
      <c r="CI29" s="293"/>
      <c r="CJ29" s="293"/>
      <c r="CK29" s="293"/>
      <c r="CL29" s="293"/>
      <c r="CM29" s="293"/>
      <c r="CN29" s="293"/>
      <c r="CO29" s="293"/>
      <c r="CP29" s="293"/>
      <c r="CQ29" s="293"/>
      <c r="CR29" s="293"/>
      <c r="CS29" s="293"/>
      <c r="CT29" s="293"/>
      <c r="CU29" s="293"/>
      <c r="CV29" s="293"/>
      <c r="CW29" s="293"/>
      <c r="CX29" s="293"/>
      <c r="CY29" s="293"/>
      <c r="CZ29" s="293"/>
      <c r="DA29" s="293"/>
      <c r="DB29" s="293"/>
      <c r="DC29" s="293"/>
      <c r="DD29" s="293"/>
      <c r="DE29" s="293"/>
      <c r="DF29" s="293"/>
      <c r="DG29" s="288"/>
      <c r="DH29" s="288"/>
      <c r="DI29" s="288"/>
      <c r="DJ29" s="288"/>
      <c r="DK29" s="288"/>
      <c r="DL29" s="288"/>
      <c r="DM29" s="288"/>
      <c r="DN29" s="288"/>
      <c r="DO29" s="288"/>
      <c r="DP29" s="288"/>
      <c r="DQ29" s="288"/>
      <c r="DR29" s="288"/>
      <c r="DS29" s="288"/>
      <c r="DT29" s="288"/>
      <c r="DU29" s="288"/>
      <c r="DV29" s="288"/>
      <c r="DW29" s="288"/>
      <c r="DX29" s="288"/>
    </row>
    <row r="30" ht="14.25" customHeight="1">
      <c r="A30" s="147" t="s">
        <v>28</v>
      </c>
      <c r="B30" s="158">
        <f t="array" ref="B30">XLOOKUP(A30,'HouseHolds per "comuna"'!$B$2:$B$40,'HouseHolds per "comuna"'!$C$2:$C$40)*0.15</f>
        <v>4222.35</v>
      </c>
      <c r="C30" s="292"/>
      <c r="D30" s="293"/>
      <c r="E30" s="293"/>
      <c r="F30" s="293"/>
      <c r="G30" s="293"/>
      <c r="H30" s="293"/>
      <c r="I30" s="293"/>
      <c r="J30" s="293"/>
      <c r="K30" s="293"/>
      <c r="L30" s="293"/>
      <c r="M30" s="293"/>
      <c r="N30" s="293"/>
      <c r="O30" s="293"/>
      <c r="P30" s="293"/>
      <c r="Q30" s="293"/>
      <c r="R30" s="293"/>
      <c r="S30" s="293"/>
      <c r="T30" s="293"/>
      <c r="U30" s="293"/>
      <c r="V30" s="293"/>
      <c r="W30" s="293"/>
      <c r="X30" s="293"/>
      <c r="Y30" s="293"/>
      <c r="Z30" s="293"/>
      <c r="AA30" s="293"/>
      <c r="AB30" s="293"/>
      <c r="AC30" s="293"/>
      <c r="AD30" s="293"/>
      <c r="AE30" s="293"/>
      <c r="AF30" s="293"/>
      <c r="AG30" s="293"/>
      <c r="AH30" s="293"/>
      <c r="AI30" s="293"/>
      <c r="AJ30" s="293"/>
      <c r="AK30" s="293"/>
      <c r="AL30" s="293"/>
      <c r="AM30" s="293"/>
      <c r="AN30" s="293"/>
      <c r="AO30" s="293"/>
      <c r="AP30" s="293"/>
      <c r="AQ30" s="293"/>
      <c r="AR30" s="293"/>
      <c r="AS30" s="293"/>
      <c r="AT30" s="293"/>
      <c r="AU30" s="293"/>
      <c r="AV30" s="293"/>
      <c r="AW30" s="293"/>
      <c r="AX30" s="293"/>
      <c r="AY30" s="293"/>
      <c r="AZ30" s="293"/>
      <c r="BA30" s="293"/>
      <c r="BB30" s="293"/>
      <c r="BC30" s="293"/>
      <c r="BD30" s="293"/>
      <c r="BE30" s="293"/>
      <c r="BF30" s="293"/>
      <c r="BG30" s="293"/>
      <c r="BH30" s="293"/>
      <c r="BI30" s="293"/>
      <c r="BJ30" s="293"/>
      <c r="BK30" s="293"/>
      <c r="BL30" s="293"/>
      <c r="BM30" s="293"/>
      <c r="BN30" s="293"/>
      <c r="BO30" s="293"/>
      <c r="BP30" s="293"/>
      <c r="BQ30" s="293"/>
      <c r="BR30" s="293"/>
      <c r="BS30" s="293"/>
      <c r="BT30" s="293"/>
      <c r="BU30" s="293"/>
      <c r="BV30" s="293"/>
      <c r="BW30" s="293"/>
      <c r="BX30" s="293"/>
      <c r="BY30" s="293"/>
      <c r="BZ30" s="293"/>
      <c r="CA30" s="293"/>
      <c r="CB30" s="293"/>
      <c r="CC30" s="293"/>
      <c r="CD30" s="293"/>
      <c r="CE30" s="293"/>
      <c r="CF30" s="293"/>
      <c r="CG30" s="293"/>
      <c r="CH30" s="293"/>
      <c r="CI30" s="293"/>
      <c r="CJ30" s="293"/>
      <c r="CK30" s="293"/>
      <c r="CL30" s="293"/>
      <c r="CM30" s="293"/>
      <c r="CN30" s="293"/>
      <c r="CO30" s="293"/>
      <c r="CP30" s="293"/>
      <c r="CQ30" s="293"/>
      <c r="CR30" s="293"/>
      <c r="CS30" s="293"/>
      <c r="CT30" s="293"/>
      <c r="CU30" s="293"/>
      <c r="CV30" s="293"/>
      <c r="CW30" s="293"/>
      <c r="CX30" s="293"/>
      <c r="CY30" s="293"/>
      <c r="CZ30" s="293"/>
      <c r="DA30" s="293"/>
      <c r="DB30" s="293"/>
      <c r="DC30" s="293"/>
      <c r="DD30" s="293"/>
      <c r="DE30" s="293"/>
      <c r="DF30" s="293"/>
      <c r="DG30" s="288"/>
      <c r="DH30" s="288"/>
      <c r="DI30" s="288"/>
      <c r="DJ30" s="288"/>
      <c r="DK30" s="288"/>
      <c r="DL30" s="288"/>
      <c r="DM30" s="288"/>
      <c r="DN30" s="288"/>
      <c r="DO30" s="288"/>
      <c r="DP30" s="288"/>
      <c r="DQ30" s="288"/>
      <c r="DR30" s="288"/>
      <c r="DS30" s="288"/>
      <c r="DT30" s="288"/>
      <c r="DU30" s="288"/>
      <c r="DV30" s="288"/>
      <c r="DW30" s="288"/>
      <c r="DX30" s="288"/>
    </row>
    <row r="31" ht="14.25" customHeight="1">
      <c r="A31" s="147" t="s">
        <v>30</v>
      </c>
      <c r="B31" s="158">
        <f t="array" ref="B31">XLOOKUP(A31,'HouseHolds per "comuna"'!$B$2:$B$40,'HouseHolds per "comuna"'!$C$2:$C$40)*0.15</f>
        <v>5797.65</v>
      </c>
      <c r="C31" s="292"/>
      <c r="D31" s="293"/>
      <c r="E31" s="293"/>
      <c r="F31" s="293"/>
      <c r="G31" s="293"/>
      <c r="H31" s="293"/>
      <c r="I31" s="293"/>
      <c r="J31" s="293"/>
      <c r="K31" s="293"/>
      <c r="L31" s="293"/>
      <c r="M31" s="293"/>
      <c r="N31" s="293"/>
      <c r="O31" s="293"/>
      <c r="P31" s="293"/>
      <c r="Q31" s="293"/>
      <c r="R31" s="293"/>
      <c r="S31" s="293"/>
      <c r="T31" s="293"/>
      <c r="U31" s="293"/>
      <c r="V31" s="293"/>
      <c r="W31" s="293"/>
      <c r="X31" s="293"/>
      <c r="Y31" s="293"/>
      <c r="Z31" s="293"/>
      <c r="AA31" s="293"/>
      <c r="AB31" s="293"/>
      <c r="AC31" s="293"/>
      <c r="AD31" s="293"/>
      <c r="AE31" s="293"/>
      <c r="AF31" s="293"/>
      <c r="AG31" s="293"/>
      <c r="AH31" s="293"/>
      <c r="AI31" s="293"/>
      <c r="AJ31" s="293"/>
      <c r="AK31" s="293"/>
      <c r="AL31" s="293"/>
      <c r="AM31" s="293"/>
      <c r="AN31" s="293"/>
      <c r="AO31" s="293"/>
      <c r="AP31" s="293"/>
      <c r="AQ31" s="293"/>
      <c r="AR31" s="293"/>
      <c r="AS31" s="293"/>
      <c r="AT31" s="293"/>
      <c r="AU31" s="293"/>
      <c r="AV31" s="293"/>
      <c r="AW31" s="293"/>
      <c r="AX31" s="293"/>
      <c r="AY31" s="293"/>
      <c r="AZ31" s="293"/>
      <c r="BA31" s="293"/>
      <c r="BB31" s="293"/>
      <c r="BC31" s="293"/>
      <c r="BD31" s="293"/>
      <c r="BE31" s="293"/>
      <c r="BF31" s="293"/>
      <c r="BG31" s="293"/>
      <c r="BH31" s="293"/>
      <c r="BI31" s="293"/>
      <c r="BJ31" s="293"/>
      <c r="BK31" s="293"/>
      <c r="BL31" s="293"/>
      <c r="BM31" s="293"/>
      <c r="BN31" s="293"/>
      <c r="BO31" s="293"/>
      <c r="BP31" s="293"/>
      <c r="BQ31" s="293"/>
      <c r="BR31" s="293"/>
      <c r="BS31" s="293"/>
      <c r="BT31" s="293"/>
      <c r="BU31" s="293"/>
      <c r="BV31" s="293"/>
      <c r="BW31" s="293"/>
      <c r="BX31" s="293"/>
      <c r="BY31" s="293"/>
      <c r="BZ31" s="293"/>
      <c r="CA31" s="293"/>
      <c r="CB31" s="293"/>
      <c r="CC31" s="293"/>
      <c r="CD31" s="293"/>
      <c r="CE31" s="293"/>
      <c r="CF31" s="293"/>
      <c r="CG31" s="293"/>
      <c r="CH31" s="293"/>
      <c r="CI31" s="293"/>
      <c r="CJ31" s="293"/>
      <c r="CK31" s="293"/>
      <c r="CL31" s="293"/>
      <c r="CM31" s="293"/>
      <c r="CN31" s="293"/>
      <c r="CO31" s="293"/>
      <c r="CP31" s="293"/>
      <c r="CQ31" s="293"/>
      <c r="CR31" s="293"/>
      <c r="CS31" s="293"/>
      <c r="CT31" s="293"/>
      <c r="CU31" s="293"/>
      <c r="CV31" s="293"/>
      <c r="CW31" s="293"/>
      <c r="CX31" s="293"/>
      <c r="CY31" s="293"/>
      <c r="CZ31" s="293"/>
      <c r="DA31" s="293"/>
      <c r="DB31" s="293"/>
      <c r="DC31" s="293"/>
      <c r="DD31" s="293"/>
      <c r="DE31" s="293"/>
      <c r="DF31" s="293"/>
      <c r="DG31" s="288"/>
      <c r="DH31" s="288"/>
      <c r="DI31" s="288"/>
      <c r="DJ31" s="288"/>
      <c r="DK31" s="288"/>
      <c r="DL31" s="288"/>
      <c r="DM31" s="288"/>
      <c r="DN31" s="288"/>
      <c r="DO31" s="288"/>
      <c r="DP31" s="288"/>
      <c r="DQ31" s="288"/>
      <c r="DR31" s="288"/>
      <c r="DS31" s="288"/>
      <c r="DT31" s="288"/>
      <c r="DU31" s="288"/>
      <c r="DV31" s="288"/>
      <c r="DW31" s="288"/>
      <c r="DX31" s="288"/>
    </row>
    <row r="32" ht="14.25" customHeight="1">
      <c r="A32" s="147" t="s">
        <v>32</v>
      </c>
      <c r="B32" s="158">
        <f t="array" ref="B32">XLOOKUP(A32,'HouseHolds per "comuna"'!$B$2:$B$40,'HouseHolds per "comuna"'!$C$2:$C$40)*0.15</f>
        <v>4488.15</v>
      </c>
      <c r="C32" s="292"/>
      <c r="D32" s="293"/>
      <c r="E32" s="308" t="s">
        <v>391</v>
      </c>
      <c r="F32" s="309" t="s">
        <v>392</v>
      </c>
      <c r="G32" s="309" t="s">
        <v>393</v>
      </c>
      <c r="H32" s="309" t="s">
        <v>394</v>
      </c>
      <c r="I32" s="309" t="s">
        <v>395</v>
      </c>
      <c r="J32" s="293"/>
      <c r="K32" s="293"/>
      <c r="L32" s="293"/>
      <c r="M32" s="293"/>
      <c r="N32" s="293"/>
      <c r="O32" s="293"/>
      <c r="P32" s="293"/>
      <c r="Q32" s="293"/>
      <c r="R32" s="293"/>
      <c r="S32" s="293"/>
      <c r="T32" s="293"/>
      <c r="U32" s="293"/>
      <c r="V32" s="293"/>
      <c r="W32" s="293"/>
      <c r="X32" s="293"/>
      <c r="Y32" s="293"/>
      <c r="Z32" s="293"/>
      <c r="AA32" s="293"/>
      <c r="AB32" s="293"/>
      <c r="AC32" s="293"/>
      <c r="AD32" s="293"/>
      <c r="AE32" s="293"/>
      <c r="AF32" s="293"/>
      <c r="AG32" s="293"/>
      <c r="AH32" s="293"/>
      <c r="AI32" s="293"/>
      <c r="AJ32" s="293"/>
      <c r="AK32" s="293"/>
      <c r="AL32" s="293"/>
      <c r="AM32" s="293"/>
      <c r="AN32" s="293"/>
      <c r="AO32" s="293"/>
      <c r="AP32" s="293"/>
      <c r="AQ32" s="293"/>
      <c r="AR32" s="293"/>
      <c r="AS32" s="293"/>
      <c r="AT32" s="293"/>
      <c r="AU32" s="293"/>
      <c r="AV32" s="293"/>
      <c r="AW32" s="293"/>
      <c r="AX32" s="293"/>
      <c r="AY32" s="293"/>
      <c r="AZ32" s="293"/>
      <c r="BA32" s="293"/>
      <c r="BB32" s="293"/>
      <c r="BC32" s="293"/>
      <c r="BD32" s="293"/>
      <c r="BE32" s="293"/>
      <c r="BF32" s="293"/>
      <c r="BG32" s="293"/>
      <c r="BH32" s="293"/>
      <c r="BI32" s="293"/>
      <c r="BJ32" s="293"/>
      <c r="BK32" s="293"/>
      <c r="BL32" s="293"/>
      <c r="BM32" s="293"/>
      <c r="BN32" s="293"/>
      <c r="BO32" s="293"/>
      <c r="BP32" s="293"/>
      <c r="BQ32" s="293"/>
      <c r="BR32" s="293"/>
      <c r="BS32" s="293"/>
      <c r="BT32" s="293"/>
      <c r="BU32" s="293"/>
      <c r="BV32" s="293"/>
      <c r="BW32" s="293"/>
      <c r="BX32" s="293"/>
      <c r="BY32" s="293"/>
      <c r="BZ32" s="293"/>
      <c r="CA32" s="293"/>
      <c r="CB32" s="293"/>
      <c r="CC32" s="293"/>
      <c r="CD32" s="293"/>
      <c r="CE32" s="293"/>
      <c r="CF32" s="293"/>
      <c r="CG32" s="293"/>
      <c r="CH32" s="293"/>
      <c r="CI32" s="293"/>
      <c r="CJ32" s="293"/>
      <c r="CK32" s="293"/>
      <c r="CL32" s="293"/>
      <c r="CM32" s="293"/>
      <c r="CN32" s="293"/>
      <c r="CO32" s="293"/>
      <c r="CP32" s="293"/>
      <c r="CQ32" s="293"/>
      <c r="CR32" s="293"/>
      <c r="CS32" s="293"/>
      <c r="CT32" s="293"/>
      <c r="CU32" s="293"/>
      <c r="CV32" s="293"/>
      <c r="CW32" s="293"/>
      <c r="CX32" s="293"/>
      <c r="CY32" s="293"/>
      <c r="CZ32" s="293"/>
      <c r="DA32" s="293"/>
      <c r="DB32" s="293"/>
      <c r="DC32" s="293"/>
      <c r="DD32" s="293"/>
      <c r="DE32" s="293"/>
      <c r="DF32" s="293"/>
      <c r="DG32" s="288"/>
      <c r="DH32" s="288"/>
      <c r="DI32" s="288"/>
      <c r="DJ32" s="288"/>
      <c r="DK32" s="288"/>
      <c r="DL32" s="288"/>
      <c r="DM32" s="288"/>
      <c r="DN32" s="288"/>
      <c r="DO32" s="288"/>
      <c r="DP32" s="288"/>
      <c r="DQ32" s="288"/>
      <c r="DR32" s="288"/>
      <c r="DS32" s="288"/>
      <c r="DT32" s="288"/>
      <c r="DU32" s="288"/>
      <c r="DV32" s="288"/>
      <c r="DW32" s="288"/>
      <c r="DX32" s="288"/>
    </row>
    <row r="33" ht="14.25" customHeight="1">
      <c r="A33" s="147" t="s">
        <v>34</v>
      </c>
      <c r="B33" s="158">
        <f t="array" ref="B33">XLOOKUP(A33,'HouseHolds per "comuna"'!$B$2:$B$40,'HouseHolds per "comuna"'!$C$2:$C$40)*0.15</f>
        <v>7107.6</v>
      </c>
      <c r="C33" s="292"/>
      <c r="D33" s="293"/>
      <c r="E33" s="310" t="s">
        <v>396</v>
      </c>
      <c r="F33" s="311" t="s">
        <v>397</v>
      </c>
      <c r="G33" s="311" t="s">
        <v>398</v>
      </c>
      <c r="H33" s="311" t="s">
        <v>399</v>
      </c>
      <c r="I33" s="311" t="s">
        <v>400</v>
      </c>
      <c r="J33" s="293"/>
      <c r="K33" s="293"/>
      <c r="L33" s="293"/>
      <c r="M33" s="293"/>
      <c r="N33" s="293"/>
      <c r="O33" s="293"/>
      <c r="P33" s="293"/>
      <c r="Q33" s="293"/>
      <c r="R33" s="293"/>
      <c r="S33" s="293"/>
      <c r="T33" s="293"/>
      <c r="U33" s="293"/>
      <c r="V33" s="293"/>
      <c r="W33" s="293"/>
      <c r="X33" s="293"/>
      <c r="Y33" s="293"/>
      <c r="Z33" s="293"/>
      <c r="AA33" s="293"/>
      <c r="AB33" s="293"/>
      <c r="AC33" s="293"/>
      <c r="AD33" s="293"/>
      <c r="AE33" s="293"/>
      <c r="AF33" s="293"/>
      <c r="AG33" s="293"/>
      <c r="AH33" s="293"/>
      <c r="AI33" s="293"/>
      <c r="AJ33" s="293"/>
      <c r="AK33" s="293"/>
      <c r="AL33" s="293"/>
      <c r="AM33" s="293"/>
      <c r="AN33" s="293"/>
      <c r="AO33" s="293"/>
      <c r="AP33" s="293"/>
      <c r="AQ33" s="293"/>
      <c r="AR33" s="293"/>
      <c r="AS33" s="293"/>
      <c r="AT33" s="293"/>
      <c r="AU33" s="293"/>
      <c r="AV33" s="293"/>
      <c r="AW33" s="293"/>
      <c r="AX33" s="293"/>
      <c r="AY33" s="293"/>
      <c r="AZ33" s="293"/>
      <c r="BA33" s="293"/>
      <c r="BB33" s="293"/>
      <c r="BC33" s="293"/>
      <c r="BD33" s="293"/>
      <c r="BE33" s="293"/>
      <c r="BF33" s="293"/>
      <c r="BG33" s="293"/>
      <c r="BH33" s="293"/>
      <c r="BI33" s="293"/>
      <c r="BJ33" s="293"/>
      <c r="BK33" s="293"/>
      <c r="BL33" s="293"/>
      <c r="BM33" s="293"/>
      <c r="BN33" s="293"/>
      <c r="BO33" s="293"/>
      <c r="BP33" s="293"/>
      <c r="BQ33" s="293"/>
      <c r="BR33" s="293"/>
      <c r="BS33" s="293"/>
      <c r="BT33" s="293"/>
      <c r="BU33" s="293"/>
      <c r="BV33" s="293"/>
      <c r="BW33" s="293"/>
      <c r="BX33" s="293"/>
      <c r="BY33" s="293"/>
      <c r="BZ33" s="293"/>
      <c r="CA33" s="293"/>
      <c r="CB33" s="293"/>
      <c r="CC33" s="293"/>
      <c r="CD33" s="293"/>
      <c r="CE33" s="293"/>
      <c r="CF33" s="293"/>
      <c r="CG33" s="293"/>
      <c r="CH33" s="293"/>
      <c r="CI33" s="293"/>
      <c r="CJ33" s="293"/>
      <c r="CK33" s="293"/>
      <c r="CL33" s="293"/>
      <c r="CM33" s="293"/>
      <c r="CN33" s="293"/>
      <c r="CO33" s="293"/>
      <c r="CP33" s="293"/>
      <c r="CQ33" s="293"/>
      <c r="CR33" s="293"/>
      <c r="CS33" s="293"/>
      <c r="CT33" s="293"/>
      <c r="CU33" s="293"/>
      <c r="CV33" s="293"/>
      <c r="CW33" s="293"/>
      <c r="CX33" s="293"/>
      <c r="CY33" s="293"/>
      <c r="CZ33" s="293"/>
      <c r="DA33" s="293"/>
      <c r="DB33" s="293"/>
      <c r="DC33" s="293"/>
      <c r="DD33" s="293"/>
      <c r="DE33" s="293"/>
      <c r="DF33" s="293"/>
      <c r="DG33" s="288"/>
      <c r="DH33" s="288"/>
      <c r="DI33" s="288"/>
      <c r="DJ33" s="288"/>
      <c r="DK33" s="288"/>
      <c r="DL33" s="288"/>
      <c r="DM33" s="288"/>
      <c r="DN33" s="288"/>
      <c r="DO33" s="288"/>
      <c r="DP33" s="288"/>
      <c r="DQ33" s="288"/>
      <c r="DR33" s="288"/>
      <c r="DS33" s="288"/>
      <c r="DT33" s="288"/>
      <c r="DU33" s="288"/>
      <c r="DV33" s="288"/>
      <c r="DW33" s="288"/>
      <c r="DX33" s="288"/>
    </row>
    <row r="34" ht="14.25" customHeight="1">
      <c r="A34" s="147" t="s">
        <v>36</v>
      </c>
      <c r="B34" s="158">
        <f t="array" ref="B34">XLOOKUP(A34,'HouseHolds per "comuna"'!$B$2:$B$40,'HouseHolds per "comuna"'!$C$2:$C$40)*0.15</f>
        <v>23308.65</v>
      </c>
      <c r="C34" s="292"/>
      <c r="D34" s="293"/>
      <c r="E34" s="293"/>
      <c r="F34" s="293"/>
      <c r="G34" s="293"/>
      <c r="H34" s="293"/>
      <c r="I34" s="293"/>
      <c r="J34" s="293"/>
      <c r="K34" s="293"/>
      <c r="L34" s="293"/>
      <c r="M34" s="293"/>
      <c r="N34" s="293"/>
      <c r="O34" s="293"/>
      <c r="P34" s="293"/>
      <c r="Q34" s="293"/>
      <c r="R34" s="293"/>
      <c r="S34" s="293"/>
      <c r="T34" s="293"/>
      <c r="U34" s="293"/>
      <c r="V34" s="293"/>
      <c r="W34" s="293"/>
      <c r="X34" s="293"/>
      <c r="Y34" s="293"/>
      <c r="Z34" s="293"/>
      <c r="AA34" s="293"/>
      <c r="AB34" s="293"/>
      <c r="AC34" s="293"/>
      <c r="AD34" s="293"/>
      <c r="AE34" s="293"/>
      <c r="AF34" s="293"/>
      <c r="AG34" s="293"/>
      <c r="AH34" s="293"/>
      <c r="AI34" s="293"/>
      <c r="AJ34" s="293"/>
      <c r="AK34" s="293"/>
      <c r="AL34" s="293"/>
      <c r="AM34" s="293"/>
      <c r="AN34" s="293"/>
      <c r="AO34" s="293"/>
      <c r="AP34" s="293"/>
      <c r="AQ34" s="293"/>
      <c r="AR34" s="293"/>
      <c r="AS34" s="293"/>
      <c r="AT34" s="293"/>
      <c r="AU34" s="293"/>
      <c r="AV34" s="293"/>
      <c r="AW34" s="293"/>
      <c r="AX34" s="293"/>
      <c r="AY34" s="293"/>
      <c r="AZ34" s="293"/>
      <c r="BA34" s="293"/>
      <c r="BB34" s="293"/>
      <c r="BC34" s="293"/>
      <c r="BD34" s="293"/>
      <c r="BE34" s="293"/>
      <c r="BF34" s="293"/>
      <c r="BG34" s="293"/>
      <c r="BH34" s="293"/>
      <c r="BI34" s="293"/>
      <c r="BJ34" s="293"/>
      <c r="BK34" s="293"/>
      <c r="BL34" s="293"/>
      <c r="BM34" s="293"/>
      <c r="BN34" s="293"/>
      <c r="BO34" s="293"/>
      <c r="BP34" s="293"/>
      <c r="BQ34" s="293"/>
      <c r="BR34" s="293"/>
      <c r="BS34" s="293"/>
      <c r="BT34" s="293"/>
      <c r="BU34" s="293"/>
      <c r="BV34" s="293"/>
      <c r="BW34" s="293"/>
      <c r="BX34" s="293"/>
      <c r="BY34" s="293"/>
      <c r="BZ34" s="293"/>
      <c r="CA34" s="293"/>
      <c r="CB34" s="293"/>
      <c r="CC34" s="293"/>
      <c r="CD34" s="293"/>
      <c r="CE34" s="293"/>
      <c r="CF34" s="293"/>
      <c r="CG34" s="293"/>
      <c r="CH34" s="293"/>
      <c r="CI34" s="293"/>
      <c r="CJ34" s="293"/>
      <c r="CK34" s="293"/>
      <c r="CL34" s="293"/>
      <c r="CM34" s="293"/>
      <c r="CN34" s="293"/>
      <c r="CO34" s="293"/>
      <c r="CP34" s="293"/>
      <c r="CQ34" s="293"/>
      <c r="CR34" s="293"/>
      <c r="CS34" s="293"/>
      <c r="CT34" s="293"/>
      <c r="CU34" s="293"/>
      <c r="CV34" s="293"/>
      <c r="CW34" s="293"/>
      <c r="CX34" s="293"/>
      <c r="CY34" s="293"/>
      <c r="CZ34" s="293"/>
      <c r="DA34" s="293"/>
      <c r="DB34" s="293"/>
      <c r="DC34" s="293"/>
      <c r="DD34" s="293"/>
      <c r="DE34" s="293"/>
      <c r="DF34" s="293"/>
      <c r="DG34" s="288"/>
      <c r="DH34" s="288"/>
      <c r="DI34" s="288"/>
      <c r="DJ34" s="288"/>
      <c r="DK34" s="288"/>
      <c r="DL34" s="288"/>
      <c r="DM34" s="288"/>
      <c r="DN34" s="288"/>
      <c r="DO34" s="288"/>
      <c r="DP34" s="288"/>
      <c r="DQ34" s="288"/>
      <c r="DR34" s="288"/>
      <c r="DS34" s="288"/>
      <c r="DT34" s="288"/>
      <c r="DU34" s="288"/>
      <c r="DV34" s="288"/>
      <c r="DW34" s="288"/>
      <c r="DX34" s="288"/>
    </row>
    <row r="35" ht="14.25" customHeight="1">
      <c r="A35" s="147" t="s">
        <v>38</v>
      </c>
      <c r="B35" s="158">
        <f t="array" ref="B35">XLOOKUP(A35,'HouseHolds per "comuna"'!$B$2:$B$40,'HouseHolds per "comuna"'!$C$2:$C$40)*0.15</f>
        <v>17274.15</v>
      </c>
      <c r="C35" s="292"/>
      <c r="D35" s="293"/>
      <c r="E35" s="293"/>
      <c r="F35" s="293"/>
      <c r="G35" s="293"/>
      <c r="H35" s="293"/>
      <c r="I35" s="293"/>
      <c r="J35" s="293"/>
      <c r="K35" s="293"/>
      <c r="L35" s="293"/>
      <c r="M35" s="293"/>
      <c r="N35" s="293"/>
      <c r="O35" s="293"/>
      <c r="P35" s="293"/>
      <c r="Q35" s="293"/>
      <c r="R35" s="293"/>
      <c r="S35" s="293"/>
      <c r="T35" s="293"/>
      <c r="U35" s="293"/>
      <c r="V35" s="293"/>
      <c r="W35" s="293"/>
      <c r="X35" s="293"/>
      <c r="Y35" s="293"/>
      <c r="Z35" s="293"/>
      <c r="AA35" s="293"/>
      <c r="AB35" s="293"/>
      <c r="AC35" s="293"/>
      <c r="AD35" s="293"/>
      <c r="AE35" s="293"/>
      <c r="AF35" s="293"/>
      <c r="AG35" s="293"/>
      <c r="AH35" s="293"/>
      <c r="AI35" s="293"/>
      <c r="AJ35" s="293"/>
      <c r="AK35" s="293"/>
      <c r="AL35" s="293"/>
      <c r="AM35" s="293"/>
      <c r="AN35" s="293"/>
      <c r="AO35" s="293"/>
      <c r="AP35" s="293"/>
      <c r="AQ35" s="293"/>
      <c r="AR35" s="293"/>
      <c r="AS35" s="293"/>
      <c r="AT35" s="293"/>
      <c r="AU35" s="293"/>
      <c r="AV35" s="293"/>
      <c r="AW35" s="293"/>
      <c r="AX35" s="293"/>
      <c r="AY35" s="293"/>
      <c r="AZ35" s="293"/>
      <c r="BA35" s="293"/>
      <c r="BB35" s="293"/>
      <c r="BC35" s="293"/>
      <c r="BD35" s="293"/>
      <c r="BE35" s="293"/>
      <c r="BF35" s="293"/>
      <c r="BG35" s="293"/>
      <c r="BH35" s="293"/>
      <c r="BI35" s="293"/>
      <c r="BJ35" s="293"/>
      <c r="BK35" s="293"/>
      <c r="BL35" s="293"/>
      <c r="BM35" s="293"/>
      <c r="BN35" s="293"/>
      <c r="BO35" s="293"/>
      <c r="BP35" s="293"/>
      <c r="BQ35" s="293"/>
      <c r="BR35" s="293"/>
      <c r="BS35" s="293"/>
      <c r="BT35" s="293"/>
      <c r="BU35" s="293"/>
      <c r="BV35" s="293"/>
      <c r="BW35" s="293"/>
      <c r="BX35" s="293"/>
      <c r="BY35" s="293"/>
      <c r="BZ35" s="293"/>
      <c r="CA35" s="293"/>
      <c r="CB35" s="293"/>
      <c r="CC35" s="293"/>
      <c r="CD35" s="293"/>
      <c r="CE35" s="293"/>
      <c r="CF35" s="293"/>
      <c r="CG35" s="293"/>
      <c r="CH35" s="293"/>
      <c r="CI35" s="293"/>
      <c r="CJ35" s="293"/>
      <c r="CK35" s="293"/>
      <c r="CL35" s="293"/>
      <c r="CM35" s="293"/>
      <c r="CN35" s="293"/>
      <c r="CO35" s="293"/>
      <c r="CP35" s="293"/>
      <c r="CQ35" s="293"/>
      <c r="CR35" s="293"/>
      <c r="CS35" s="293"/>
      <c r="CT35" s="293"/>
      <c r="CU35" s="293"/>
      <c r="CV35" s="293"/>
      <c r="CW35" s="293"/>
      <c r="CX35" s="293"/>
      <c r="CY35" s="293"/>
      <c r="CZ35" s="293"/>
      <c r="DA35" s="293"/>
      <c r="DB35" s="293"/>
      <c r="DC35" s="293"/>
      <c r="DD35" s="293"/>
      <c r="DE35" s="293"/>
      <c r="DF35" s="293"/>
      <c r="DG35" s="288"/>
      <c r="DH35" s="288"/>
      <c r="DI35" s="288"/>
      <c r="DJ35" s="288"/>
      <c r="DK35" s="288"/>
      <c r="DL35" s="288"/>
      <c r="DM35" s="288"/>
      <c r="DN35" s="288"/>
      <c r="DO35" s="288"/>
      <c r="DP35" s="288"/>
      <c r="DQ35" s="288"/>
      <c r="DR35" s="288"/>
      <c r="DS35" s="288"/>
      <c r="DT35" s="288"/>
      <c r="DU35" s="288"/>
      <c r="DV35" s="288"/>
      <c r="DW35" s="288"/>
      <c r="DX35" s="288"/>
    </row>
    <row r="36" ht="14.25" customHeight="1">
      <c r="A36" s="147" t="s">
        <v>402</v>
      </c>
      <c r="B36" s="158">
        <f t="array" ref="B36">XLOOKUP(A36,'HouseHolds per "comuna"'!$B$2:$B$40,'HouseHolds per "comuna"'!$C$2:$C$40)*0.15</f>
        <v>4195.65</v>
      </c>
      <c r="C36" s="292"/>
      <c r="D36" s="293"/>
      <c r="E36" s="293"/>
      <c r="F36" s="293"/>
      <c r="G36" s="293"/>
      <c r="H36" s="293"/>
      <c r="I36" s="293"/>
      <c r="J36" s="293"/>
      <c r="K36" s="293"/>
      <c r="L36" s="293"/>
      <c r="M36" s="293"/>
      <c r="N36" s="293"/>
      <c r="O36" s="293"/>
      <c r="P36" s="293"/>
      <c r="Q36" s="293"/>
      <c r="R36" s="293"/>
      <c r="S36" s="293"/>
      <c r="T36" s="293"/>
      <c r="U36" s="293"/>
      <c r="V36" s="293"/>
      <c r="W36" s="293"/>
      <c r="X36" s="293"/>
      <c r="Y36" s="293"/>
      <c r="Z36" s="293"/>
      <c r="AA36" s="293"/>
      <c r="AB36" s="293"/>
      <c r="AC36" s="293"/>
      <c r="AD36" s="293"/>
      <c r="AE36" s="293"/>
      <c r="AF36" s="293"/>
      <c r="AG36" s="293"/>
      <c r="AH36" s="293"/>
      <c r="AI36" s="293"/>
      <c r="AJ36" s="293"/>
      <c r="AK36" s="293"/>
      <c r="AL36" s="293"/>
      <c r="AM36" s="293"/>
      <c r="AN36" s="293"/>
      <c r="AO36" s="293"/>
      <c r="AP36" s="293"/>
      <c r="AQ36" s="293"/>
      <c r="AR36" s="293"/>
      <c r="AS36" s="293"/>
      <c r="AT36" s="293"/>
      <c r="AU36" s="293"/>
      <c r="AV36" s="293"/>
      <c r="AW36" s="293"/>
      <c r="AX36" s="293"/>
      <c r="AY36" s="293"/>
      <c r="AZ36" s="293"/>
      <c r="BA36" s="293"/>
      <c r="BB36" s="293"/>
      <c r="BC36" s="293"/>
      <c r="BD36" s="293"/>
      <c r="BE36" s="293"/>
      <c r="BF36" s="293"/>
      <c r="BG36" s="293"/>
      <c r="BH36" s="293"/>
      <c r="BI36" s="293"/>
      <c r="BJ36" s="293"/>
      <c r="BK36" s="293"/>
      <c r="BL36" s="293"/>
      <c r="BM36" s="293"/>
      <c r="BN36" s="293"/>
      <c r="BO36" s="293"/>
      <c r="BP36" s="293"/>
      <c r="BQ36" s="293"/>
      <c r="BR36" s="293"/>
      <c r="BS36" s="293"/>
      <c r="BT36" s="293"/>
      <c r="BU36" s="293"/>
      <c r="BV36" s="293"/>
      <c r="BW36" s="293"/>
      <c r="BX36" s="293"/>
      <c r="BY36" s="293"/>
      <c r="BZ36" s="293"/>
      <c r="CA36" s="293"/>
      <c r="CB36" s="293"/>
      <c r="CC36" s="293"/>
      <c r="CD36" s="293"/>
      <c r="CE36" s="293"/>
      <c r="CF36" s="293"/>
      <c r="CG36" s="293"/>
      <c r="CH36" s="293"/>
      <c r="CI36" s="293"/>
      <c r="CJ36" s="293"/>
      <c r="CK36" s="293"/>
      <c r="CL36" s="293"/>
      <c r="CM36" s="293"/>
      <c r="CN36" s="293"/>
      <c r="CO36" s="293"/>
      <c r="CP36" s="293"/>
      <c r="CQ36" s="293"/>
      <c r="CR36" s="293"/>
      <c r="CS36" s="293"/>
      <c r="CT36" s="293"/>
      <c r="CU36" s="293"/>
      <c r="CV36" s="293"/>
      <c r="CW36" s="293"/>
      <c r="CX36" s="293"/>
      <c r="CY36" s="293"/>
      <c r="CZ36" s="293"/>
      <c r="DA36" s="293"/>
      <c r="DB36" s="293"/>
      <c r="DC36" s="293"/>
      <c r="DD36" s="293"/>
      <c r="DE36" s="293"/>
      <c r="DF36" s="293"/>
      <c r="DG36" s="288"/>
      <c r="DH36" s="288"/>
      <c r="DI36" s="288"/>
      <c r="DJ36" s="288"/>
      <c r="DK36" s="288"/>
      <c r="DL36" s="288"/>
      <c r="DM36" s="288"/>
      <c r="DN36" s="288"/>
      <c r="DO36" s="288"/>
      <c r="DP36" s="288"/>
      <c r="DQ36" s="288"/>
      <c r="DR36" s="288"/>
      <c r="DS36" s="288"/>
      <c r="DT36" s="288"/>
      <c r="DU36" s="288"/>
      <c r="DV36" s="288"/>
      <c r="DW36" s="288"/>
      <c r="DX36" s="288"/>
    </row>
    <row r="37" ht="16.5" customHeight="1">
      <c r="A37" s="287"/>
      <c r="B37" s="287"/>
      <c r="C37" s="293"/>
      <c r="D37" s="293"/>
      <c r="E37" s="293"/>
      <c r="F37" s="293"/>
      <c r="G37" s="293"/>
      <c r="H37" s="293"/>
      <c r="I37" s="293"/>
      <c r="J37" s="293"/>
      <c r="K37" s="293"/>
      <c r="L37" s="293"/>
      <c r="M37" s="293"/>
      <c r="N37" s="293"/>
      <c r="O37" s="293"/>
      <c r="P37" s="293"/>
      <c r="Q37" s="293"/>
      <c r="R37" s="293"/>
      <c r="S37" s="293"/>
      <c r="T37" s="293"/>
      <c r="U37" s="293"/>
      <c r="V37" s="293"/>
      <c r="W37" s="293"/>
      <c r="X37" s="293"/>
      <c r="Y37" s="293"/>
      <c r="Z37" s="293"/>
      <c r="AA37" s="293"/>
      <c r="AB37" s="293"/>
      <c r="AC37" s="293"/>
      <c r="AD37" s="293"/>
      <c r="AE37" s="293"/>
      <c r="AF37" s="293"/>
      <c r="AG37" s="293"/>
      <c r="AH37" s="293"/>
      <c r="AI37" s="293"/>
      <c r="AJ37" s="293"/>
      <c r="AK37" s="293"/>
      <c r="AL37" s="293"/>
      <c r="AM37" s="293"/>
      <c r="AN37" s="293"/>
      <c r="AO37" s="293"/>
      <c r="AP37" s="293"/>
      <c r="AQ37" s="293"/>
      <c r="AR37" s="293"/>
      <c r="AS37" s="293"/>
      <c r="AT37" s="293"/>
      <c r="AU37" s="293"/>
      <c r="AV37" s="293"/>
      <c r="AW37" s="293"/>
      <c r="AX37" s="293"/>
      <c r="AY37" s="293"/>
      <c r="AZ37" s="293"/>
      <c r="BA37" s="293"/>
      <c r="BB37" s="293"/>
      <c r="BC37" s="293"/>
      <c r="BD37" s="293"/>
      <c r="BE37" s="293"/>
      <c r="BF37" s="293"/>
      <c r="BG37" s="293"/>
      <c r="BH37" s="293"/>
      <c r="BI37" s="293"/>
      <c r="BJ37" s="293"/>
      <c r="BK37" s="293"/>
      <c r="BL37" s="293"/>
      <c r="BM37" s="293"/>
      <c r="BN37" s="293"/>
      <c r="BO37" s="293"/>
      <c r="BP37" s="293"/>
      <c r="BQ37" s="293"/>
      <c r="BR37" s="293"/>
      <c r="BS37" s="293"/>
      <c r="BT37" s="293"/>
      <c r="BU37" s="293"/>
      <c r="BV37" s="293"/>
      <c r="BW37" s="293"/>
      <c r="BX37" s="293"/>
      <c r="BY37" s="293"/>
      <c r="BZ37" s="293"/>
      <c r="CA37" s="293"/>
      <c r="CB37" s="293"/>
      <c r="CC37" s="293"/>
      <c r="CD37" s="293"/>
      <c r="CE37" s="293"/>
      <c r="CF37" s="293"/>
      <c r="CG37" s="293"/>
      <c r="CH37" s="293"/>
      <c r="CI37" s="293"/>
      <c r="CJ37" s="293"/>
      <c r="CK37" s="293"/>
      <c r="CL37" s="293"/>
      <c r="CM37" s="293"/>
      <c r="CN37" s="293"/>
      <c r="CO37" s="293"/>
      <c r="CP37" s="293"/>
      <c r="CQ37" s="293"/>
      <c r="CR37" s="293"/>
      <c r="CS37" s="293"/>
      <c r="CT37" s="293"/>
      <c r="CU37" s="293"/>
      <c r="CV37" s="293"/>
      <c r="CW37" s="293"/>
      <c r="CX37" s="293"/>
      <c r="CY37" s="293"/>
      <c r="CZ37" s="293"/>
      <c r="DA37" s="293"/>
      <c r="DB37" s="293"/>
      <c r="DC37" s="293"/>
      <c r="DD37" s="293"/>
      <c r="DE37" s="293"/>
      <c r="DF37" s="293"/>
      <c r="DG37" s="288"/>
      <c r="DH37" s="288"/>
      <c r="DI37" s="288"/>
      <c r="DJ37" s="288"/>
      <c r="DK37" s="288"/>
      <c r="DL37" s="288"/>
      <c r="DM37" s="288"/>
      <c r="DN37" s="288"/>
      <c r="DO37" s="288"/>
      <c r="DP37" s="288"/>
      <c r="DQ37" s="288"/>
      <c r="DR37" s="288"/>
      <c r="DS37" s="288"/>
      <c r="DT37" s="288"/>
      <c r="DU37" s="288"/>
      <c r="DV37" s="288"/>
      <c r="DW37" s="288"/>
      <c r="DX37" s="288"/>
    </row>
    <row r="38" ht="32.25" customHeight="1">
      <c r="A38" s="318" t="s">
        <v>403</v>
      </c>
      <c r="B38" s="363">
        <v>0.2</v>
      </c>
      <c r="C38" s="292"/>
      <c r="D38" s="293"/>
      <c r="E38" s="293"/>
      <c r="F38" s="293"/>
      <c r="G38" s="293"/>
      <c r="H38" s="293"/>
      <c r="I38" s="293"/>
      <c r="J38" s="293"/>
      <c r="K38" s="293"/>
      <c r="L38" s="293"/>
      <c r="M38" s="293"/>
      <c r="N38" s="293"/>
      <c r="O38" s="293"/>
      <c r="P38" s="293"/>
      <c r="Q38" s="293"/>
      <c r="R38" s="293"/>
      <c r="S38" s="293"/>
      <c r="T38" s="293"/>
      <c r="U38" s="293"/>
      <c r="V38" s="293"/>
      <c r="W38" s="293"/>
      <c r="X38" s="293"/>
      <c r="Y38" s="293"/>
      <c r="Z38" s="293"/>
      <c r="AA38" s="293"/>
      <c r="AB38" s="293"/>
      <c r="AC38" s="293"/>
      <c r="AD38" s="293"/>
      <c r="AE38" s="293"/>
      <c r="AF38" s="293"/>
      <c r="AG38" s="293"/>
      <c r="AH38" s="293"/>
      <c r="AI38" s="293"/>
      <c r="AJ38" s="293"/>
      <c r="AK38" s="293"/>
      <c r="AL38" s="293"/>
      <c r="AM38" s="293"/>
      <c r="AN38" s="293"/>
      <c r="AO38" s="293"/>
      <c r="AP38" s="293"/>
      <c r="AQ38" s="293"/>
      <c r="AR38" s="293"/>
      <c r="AS38" s="293"/>
      <c r="AT38" s="293"/>
      <c r="AU38" s="293"/>
      <c r="AV38" s="293"/>
      <c r="AW38" s="293"/>
      <c r="AX38" s="293"/>
      <c r="AY38" s="293"/>
      <c r="AZ38" s="293"/>
      <c r="BA38" s="293"/>
      <c r="BB38" s="293"/>
      <c r="BC38" s="293"/>
      <c r="BD38" s="293"/>
      <c r="BE38" s="293"/>
      <c r="BF38" s="293"/>
      <c r="BG38" s="293"/>
      <c r="BH38" s="293"/>
      <c r="BI38" s="293"/>
      <c r="BJ38" s="293"/>
      <c r="BK38" s="293"/>
      <c r="BL38" s="293"/>
      <c r="BM38" s="293"/>
      <c r="BN38" s="293"/>
      <c r="BO38" s="293"/>
      <c r="BP38" s="293"/>
      <c r="BQ38" s="293"/>
      <c r="BR38" s="293"/>
      <c r="BS38" s="293"/>
      <c r="BT38" s="293"/>
      <c r="BU38" s="293"/>
      <c r="BV38" s="293"/>
      <c r="BW38" s="293"/>
      <c r="BX38" s="293"/>
      <c r="BY38" s="293"/>
      <c r="BZ38" s="293"/>
      <c r="CA38" s="293"/>
      <c r="CB38" s="293"/>
      <c r="CC38" s="293"/>
      <c r="CD38" s="293"/>
      <c r="CE38" s="293"/>
      <c r="CF38" s="293"/>
      <c r="CG38" s="293"/>
      <c r="CH38" s="293"/>
      <c r="CI38" s="293"/>
      <c r="CJ38" s="293"/>
      <c r="CK38" s="293"/>
      <c r="CL38" s="293"/>
      <c r="CM38" s="293"/>
      <c r="CN38" s="293"/>
      <c r="CO38" s="293"/>
      <c r="CP38" s="293"/>
      <c r="CQ38" s="293"/>
      <c r="CR38" s="293"/>
      <c r="CS38" s="293"/>
      <c r="CT38" s="293"/>
      <c r="CU38" s="293"/>
      <c r="CV38" s="293"/>
      <c r="CW38" s="293"/>
      <c r="CX38" s="293"/>
      <c r="CY38" s="293"/>
      <c r="CZ38" s="293"/>
      <c r="DA38" s="293"/>
      <c r="DB38" s="293"/>
      <c r="DC38" s="293"/>
      <c r="DD38" s="293"/>
      <c r="DE38" s="293"/>
      <c r="DF38" s="293"/>
      <c r="DG38" s="288"/>
      <c r="DH38" s="288"/>
      <c r="DI38" s="288"/>
      <c r="DJ38" s="288"/>
      <c r="DK38" s="288"/>
      <c r="DL38" s="288"/>
      <c r="DM38" s="288"/>
      <c r="DN38" s="288"/>
      <c r="DO38" s="288"/>
      <c r="DP38" s="288"/>
      <c r="DQ38" s="288"/>
      <c r="DR38" s="288"/>
      <c r="DS38" s="288"/>
      <c r="DT38" s="288"/>
      <c r="DU38" s="288"/>
      <c r="DV38" s="288"/>
      <c r="DW38" s="288"/>
      <c r="DX38" s="288"/>
    </row>
    <row r="39" ht="14.25" customHeight="1">
      <c r="A39" s="320" t="s">
        <v>404</v>
      </c>
      <c r="B39" s="364">
        <f>B38*E4</f>
        <v>376.8</v>
      </c>
      <c r="C39" s="292"/>
      <c r="D39" s="293"/>
      <c r="E39" s="293"/>
      <c r="F39" s="293"/>
      <c r="G39" s="293"/>
      <c r="H39" s="293"/>
      <c r="I39" s="293"/>
      <c r="J39" s="293"/>
      <c r="K39" s="293"/>
      <c r="L39" s="293"/>
      <c r="M39" s="293"/>
      <c r="N39" s="293"/>
      <c r="O39" s="293"/>
      <c r="P39" s="293"/>
      <c r="Q39" s="293"/>
      <c r="R39" s="293"/>
      <c r="S39" s="293"/>
      <c r="T39" s="293"/>
      <c r="U39" s="293"/>
      <c r="V39" s="293"/>
      <c r="W39" s="293"/>
      <c r="X39" s="293"/>
      <c r="Y39" s="293"/>
      <c r="Z39" s="293"/>
      <c r="AA39" s="293"/>
      <c r="AB39" s="293"/>
      <c r="AC39" s="293"/>
      <c r="AD39" s="293"/>
      <c r="AE39" s="293"/>
      <c r="AF39" s="293"/>
      <c r="AG39" s="293"/>
      <c r="AH39" s="293"/>
      <c r="AI39" s="293"/>
      <c r="AJ39" s="293"/>
      <c r="AK39" s="293"/>
      <c r="AL39" s="293"/>
      <c r="AM39" s="293"/>
      <c r="AN39" s="293"/>
      <c r="AO39" s="293"/>
      <c r="AP39" s="293"/>
      <c r="AQ39" s="293"/>
      <c r="AR39" s="293"/>
      <c r="AS39" s="293"/>
      <c r="AT39" s="293"/>
      <c r="AU39" s="293"/>
      <c r="AV39" s="293"/>
      <c r="AW39" s="293"/>
      <c r="AX39" s="293"/>
      <c r="AY39" s="293"/>
      <c r="AZ39" s="293"/>
      <c r="BA39" s="293"/>
      <c r="BB39" s="293"/>
      <c r="BC39" s="293"/>
      <c r="BD39" s="293"/>
      <c r="BE39" s="293"/>
      <c r="BF39" s="293"/>
      <c r="BG39" s="293"/>
      <c r="BH39" s="293"/>
      <c r="BI39" s="293"/>
      <c r="BJ39" s="293"/>
      <c r="BK39" s="293"/>
      <c r="BL39" s="293"/>
      <c r="BM39" s="293"/>
      <c r="BN39" s="293"/>
      <c r="BO39" s="293"/>
      <c r="BP39" s="293"/>
      <c r="BQ39" s="293"/>
      <c r="BR39" s="293"/>
      <c r="BS39" s="293"/>
      <c r="BT39" s="293"/>
      <c r="BU39" s="293"/>
      <c r="BV39" s="293"/>
      <c r="BW39" s="293"/>
      <c r="BX39" s="293"/>
      <c r="BY39" s="293"/>
      <c r="BZ39" s="293"/>
      <c r="CA39" s="293"/>
      <c r="CB39" s="293"/>
      <c r="CC39" s="293"/>
      <c r="CD39" s="293"/>
      <c r="CE39" s="293"/>
      <c r="CF39" s="293"/>
      <c r="CG39" s="293"/>
      <c r="CH39" s="293"/>
      <c r="CI39" s="293"/>
      <c r="CJ39" s="293"/>
      <c r="CK39" s="293"/>
      <c r="CL39" s="293"/>
      <c r="CM39" s="293"/>
      <c r="CN39" s="293"/>
      <c r="CO39" s="293"/>
      <c r="CP39" s="293"/>
      <c r="CQ39" s="293"/>
      <c r="CR39" s="293"/>
      <c r="CS39" s="293"/>
      <c r="CT39" s="293"/>
      <c r="CU39" s="293"/>
      <c r="CV39" s="293"/>
      <c r="CW39" s="293"/>
      <c r="CX39" s="293"/>
      <c r="CY39" s="293"/>
      <c r="CZ39" s="293"/>
      <c r="DA39" s="293"/>
      <c r="DB39" s="293"/>
      <c r="DC39" s="293"/>
      <c r="DD39" s="293"/>
      <c r="DE39" s="293"/>
      <c r="DF39" s="293"/>
      <c r="DG39" s="288"/>
      <c r="DH39" s="288"/>
      <c r="DI39" s="288"/>
      <c r="DJ39" s="288"/>
      <c r="DK39" s="288"/>
      <c r="DL39" s="288"/>
      <c r="DM39" s="288"/>
      <c r="DN39" s="288"/>
      <c r="DO39" s="288"/>
      <c r="DP39" s="288"/>
      <c r="DQ39" s="288"/>
      <c r="DR39" s="288"/>
      <c r="DS39" s="288"/>
      <c r="DT39" s="288"/>
      <c r="DU39" s="288"/>
      <c r="DV39" s="288"/>
      <c r="DW39" s="288"/>
      <c r="DX39" s="288"/>
    </row>
    <row r="40" ht="14.25" customHeight="1">
      <c r="A40" s="287"/>
      <c r="B40" s="287"/>
      <c r="C40" s="293"/>
      <c r="D40" s="293"/>
      <c r="E40" s="293"/>
      <c r="F40" s="293"/>
      <c r="G40" s="293"/>
      <c r="H40" s="293"/>
      <c r="I40" s="293"/>
      <c r="J40" s="293"/>
      <c r="K40" s="293"/>
      <c r="L40" s="293"/>
      <c r="M40" s="293"/>
      <c r="N40" s="293"/>
      <c r="O40" s="293"/>
      <c r="P40" s="293"/>
      <c r="Q40" s="293"/>
      <c r="R40" s="293"/>
      <c r="S40" s="293"/>
      <c r="T40" s="293"/>
      <c r="U40" s="293"/>
      <c r="V40" s="293"/>
      <c r="W40" s="293"/>
      <c r="X40" s="293"/>
      <c r="Y40" s="293"/>
      <c r="Z40" s="293"/>
      <c r="AA40" s="293"/>
      <c r="AB40" s="293"/>
      <c r="AC40" s="293"/>
      <c r="AD40" s="293"/>
      <c r="AE40" s="293"/>
      <c r="AF40" s="293"/>
      <c r="AG40" s="293"/>
      <c r="AH40" s="293"/>
      <c r="AI40" s="293"/>
      <c r="AJ40" s="293"/>
      <c r="AK40" s="293"/>
      <c r="AL40" s="293"/>
      <c r="AM40" s="293"/>
      <c r="AN40" s="293"/>
      <c r="AO40" s="293"/>
      <c r="AP40" s="293"/>
      <c r="AQ40" s="293"/>
      <c r="AR40" s="293"/>
      <c r="AS40" s="293"/>
      <c r="AT40" s="293"/>
      <c r="AU40" s="293"/>
      <c r="AV40" s="293"/>
      <c r="AW40" s="293"/>
      <c r="AX40" s="293"/>
      <c r="AY40" s="293"/>
      <c r="AZ40" s="293"/>
      <c r="BA40" s="293"/>
      <c r="BB40" s="293"/>
      <c r="BC40" s="293"/>
      <c r="BD40" s="293"/>
      <c r="BE40" s="293"/>
      <c r="BF40" s="293"/>
      <c r="BG40" s="293"/>
      <c r="BH40" s="293"/>
      <c r="BI40" s="293"/>
      <c r="BJ40" s="293"/>
      <c r="BK40" s="293"/>
      <c r="BL40" s="293"/>
      <c r="BM40" s="293"/>
      <c r="BN40" s="293"/>
      <c r="BO40" s="293"/>
      <c r="BP40" s="293"/>
      <c r="BQ40" s="293"/>
      <c r="BR40" s="293"/>
      <c r="BS40" s="293"/>
      <c r="BT40" s="293"/>
      <c r="BU40" s="293"/>
      <c r="BV40" s="293"/>
      <c r="BW40" s="293"/>
      <c r="BX40" s="293"/>
      <c r="BY40" s="293"/>
      <c r="BZ40" s="293"/>
      <c r="CA40" s="293"/>
      <c r="CB40" s="293"/>
      <c r="CC40" s="293"/>
      <c r="CD40" s="293"/>
      <c r="CE40" s="293"/>
      <c r="CF40" s="293"/>
      <c r="CG40" s="293"/>
      <c r="CH40" s="293"/>
      <c r="CI40" s="293"/>
      <c r="CJ40" s="293"/>
      <c r="CK40" s="293"/>
      <c r="CL40" s="293"/>
      <c r="CM40" s="293"/>
      <c r="CN40" s="293"/>
      <c r="CO40" s="293"/>
      <c r="CP40" s="293"/>
      <c r="CQ40" s="293"/>
      <c r="CR40" s="293"/>
      <c r="CS40" s="293"/>
      <c r="CT40" s="293"/>
      <c r="CU40" s="293"/>
      <c r="CV40" s="293"/>
      <c r="CW40" s="293"/>
      <c r="CX40" s="293"/>
      <c r="CY40" s="293"/>
      <c r="CZ40" s="293"/>
      <c r="DA40" s="293"/>
      <c r="DB40" s="293"/>
      <c r="DC40" s="293"/>
      <c r="DD40" s="293"/>
      <c r="DE40" s="293"/>
      <c r="DF40" s="293"/>
      <c r="DG40" s="288"/>
      <c r="DH40" s="288"/>
      <c r="DI40" s="288"/>
      <c r="DJ40" s="288"/>
      <c r="DK40" s="288"/>
      <c r="DL40" s="288"/>
      <c r="DM40" s="288"/>
      <c r="DN40" s="288"/>
      <c r="DO40" s="288"/>
      <c r="DP40" s="288"/>
      <c r="DQ40" s="288"/>
      <c r="DR40" s="288"/>
      <c r="DS40" s="288"/>
      <c r="DT40" s="288"/>
      <c r="DU40" s="288"/>
      <c r="DV40" s="288"/>
      <c r="DW40" s="288"/>
      <c r="DX40" s="288"/>
    </row>
    <row r="41" ht="14.25" customHeight="1">
      <c r="A41" s="322" t="s">
        <v>405</v>
      </c>
      <c r="B41" s="365">
        <v>0.95</v>
      </c>
      <c r="C41" s="292"/>
      <c r="D41" s="293"/>
      <c r="E41" s="293"/>
      <c r="F41" s="293"/>
      <c r="G41" s="293"/>
      <c r="H41" s="293"/>
      <c r="I41" s="293"/>
      <c r="J41" s="293"/>
      <c r="K41" s="293"/>
      <c r="L41" s="293"/>
      <c r="M41" s="293"/>
      <c r="N41" s="293"/>
      <c r="O41" s="293"/>
      <c r="P41" s="293"/>
      <c r="Q41" s="293"/>
      <c r="R41" s="293"/>
      <c r="S41" s="293"/>
      <c r="T41" s="293"/>
      <c r="U41" s="293"/>
      <c r="V41" s="293"/>
      <c r="W41" s="293"/>
      <c r="X41" s="293"/>
      <c r="Y41" s="293"/>
      <c r="Z41" s="293"/>
      <c r="AA41" s="293"/>
      <c r="AB41" s="293"/>
      <c r="AC41" s="293"/>
      <c r="AD41" s="293"/>
      <c r="AE41" s="293"/>
      <c r="AF41" s="293"/>
      <c r="AG41" s="293"/>
      <c r="AH41" s="293"/>
      <c r="AI41" s="293"/>
      <c r="AJ41" s="293"/>
      <c r="AK41" s="293"/>
      <c r="AL41" s="293"/>
      <c r="AM41" s="293"/>
      <c r="AN41" s="293"/>
      <c r="AO41" s="293"/>
      <c r="AP41" s="293"/>
      <c r="AQ41" s="293"/>
      <c r="AR41" s="293"/>
      <c r="AS41" s="293"/>
      <c r="AT41" s="293"/>
      <c r="AU41" s="293"/>
      <c r="AV41" s="293"/>
      <c r="AW41" s="293"/>
      <c r="AX41" s="293"/>
      <c r="AY41" s="293"/>
      <c r="AZ41" s="293"/>
      <c r="BA41" s="293"/>
      <c r="BB41" s="293"/>
      <c r="BC41" s="293"/>
      <c r="BD41" s="293"/>
      <c r="BE41" s="293"/>
      <c r="BF41" s="293"/>
      <c r="BG41" s="293"/>
      <c r="BH41" s="293"/>
      <c r="BI41" s="293"/>
      <c r="BJ41" s="293"/>
      <c r="BK41" s="293"/>
      <c r="BL41" s="293"/>
      <c r="BM41" s="293"/>
      <c r="BN41" s="293"/>
      <c r="BO41" s="293"/>
      <c r="BP41" s="293"/>
      <c r="BQ41" s="293"/>
      <c r="BR41" s="293"/>
      <c r="BS41" s="293"/>
      <c r="BT41" s="293"/>
      <c r="BU41" s="293"/>
      <c r="BV41" s="293"/>
      <c r="BW41" s="293"/>
      <c r="BX41" s="293"/>
      <c r="BY41" s="293"/>
      <c r="BZ41" s="293"/>
      <c r="CA41" s="293"/>
      <c r="CB41" s="293"/>
      <c r="CC41" s="293"/>
      <c r="CD41" s="293"/>
      <c r="CE41" s="293"/>
      <c r="CF41" s="293"/>
      <c r="CG41" s="293"/>
      <c r="CH41" s="293"/>
      <c r="CI41" s="293"/>
      <c r="CJ41" s="293"/>
      <c r="CK41" s="293"/>
      <c r="CL41" s="293"/>
      <c r="CM41" s="293"/>
      <c r="CN41" s="293"/>
      <c r="CO41" s="293"/>
      <c r="CP41" s="293"/>
      <c r="CQ41" s="293"/>
      <c r="CR41" s="293"/>
      <c r="CS41" s="293"/>
      <c r="CT41" s="293"/>
      <c r="CU41" s="293"/>
      <c r="CV41" s="293"/>
      <c r="CW41" s="293"/>
      <c r="CX41" s="293"/>
      <c r="CY41" s="293"/>
      <c r="CZ41" s="293"/>
      <c r="DA41" s="293"/>
      <c r="DB41" s="293"/>
      <c r="DC41" s="293"/>
      <c r="DD41" s="293"/>
      <c r="DE41" s="293"/>
      <c r="DF41" s="293"/>
      <c r="DG41" s="288"/>
      <c r="DH41" s="288"/>
      <c r="DI41" s="288"/>
      <c r="DJ41" s="288"/>
      <c r="DK41" s="288"/>
      <c r="DL41" s="288"/>
      <c r="DM41" s="288"/>
      <c r="DN41" s="288"/>
      <c r="DO41" s="288"/>
      <c r="DP41" s="288"/>
      <c r="DQ41" s="288"/>
      <c r="DR41" s="288"/>
      <c r="DS41" s="288"/>
      <c r="DT41" s="288"/>
      <c r="DU41" s="288"/>
      <c r="DV41" s="288"/>
      <c r="DW41" s="288"/>
      <c r="DX41" s="288"/>
    </row>
    <row r="42" ht="14.25" customHeight="1">
      <c r="A42" s="286"/>
      <c r="B42" s="286"/>
      <c r="C42" s="293"/>
      <c r="D42" s="293"/>
      <c r="E42" s="293"/>
      <c r="F42" s="293"/>
      <c r="G42" s="293"/>
      <c r="H42" s="293"/>
      <c r="I42" s="293"/>
      <c r="J42" s="293"/>
      <c r="K42" s="293"/>
      <c r="L42" s="293"/>
      <c r="M42" s="293"/>
      <c r="N42" s="293"/>
      <c r="O42" s="293"/>
      <c r="P42" s="293"/>
      <c r="Q42" s="293"/>
      <c r="R42" s="293"/>
      <c r="S42" s="293"/>
      <c r="T42" s="293"/>
      <c r="U42" s="293"/>
      <c r="V42" s="293"/>
      <c r="W42" s="293"/>
      <c r="X42" s="293"/>
      <c r="Y42" s="293"/>
      <c r="Z42" s="293"/>
      <c r="AA42" s="293"/>
      <c r="AB42" s="293"/>
      <c r="AC42" s="293"/>
      <c r="AD42" s="293"/>
      <c r="AE42" s="293"/>
      <c r="AF42" s="293"/>
      <c r="AG42" s="293"/>
      <c r="AH42" s="293"/>
      <c r="AI42" s="293"/>
      <c r="AJ42" s="293"/>
      <c r="AK42" s="293"/>
      <c r="AL42" s="293"/>
      <c r="AM42" s="293"/>
      <c r="AN42" s="293"/>
      <c r="AO42" s="293"/>
      <c r="AP42" s="293"/>
      <c r="AQ42" s="293"/>
      <c r="AR42" s="293"/>
      <c r="AS42" s="293"/>
      <c r="AT42" s="293"/>
      <c r="AU42" s="293"/>
      <c r="AV42" s="293"/>
      <c r="AW42" s="293"/>
      <c r="AX42" s="293"/>
      <c r="AY42" s="293"/>
      <c r="AZ42" s="293"/>
      <c r="BA42" s="293"/>
      <c r="BB42" s="293"/>
      <c r="BC42" s="293"/>
      <c r="BD42" s="293"/>
      <c r="BE42" s="293"/>
      <c r="BF42" s="293"/>
      <c r="BG42" s="293"/>
      <c r="BH42" s="293"/>
      <c r="BI42" s="293"/>
      <c r="BJ42" s="293"/>
      <c r="BK42" s="293"/>
      <c r="BL42" s="293"/>
      <c r="BM42" s="293"/>
      <c r="BN42" s="293"/>
      <c r="BO42" s="293"/>
      <c r="BP42" s="293"/>
      <c r="BQ42" s="293"/>
      <c r="BR42" s="293"/>
      <c r="BS42" s="293"/>
      <c r="BT42" s="293"/>
      <c r="BU42" s="293"/>
      <c r="BV42" s="293"/>
      <c r="BW42" s="293"/>
      <c r="BX42" s="293"/>
      <c r="BY42" s="293"/>
      <c r="BZ42" s="293"/>
      <c r="CA42" s="293"/>
      <c r="CB42" s="293"/>
      <c r="CC42" s="293"/>
      <c r="CD42" s="293"/>
      <c r="CE42" s="293"/>
      <c r="CF42" s="293"/>
      <c r="CG42" s="293"/>
      <c r="CH42" s="293"/>
      <c r="CI42" s="293"/>
      <c r="CJ42" s="293"/>
      <c r="CK42" s="293"/>
      <c r="CL42" s="293"/>
      <c r="CM42" s="293"/>
      <c r="CN42" s="293"/>
      <c r="CO42" s="293"/>
      <c r="CP42" s="293"/>
      <c r="CQ42" s="293"/>
      <c r="CR42" s="293"/>
      <c r="CS42" s="293"/>
      <c r="CT42" s="293"/>
      <c r="CU42" s="293"/>
      <c r="CV42" s="293"/>
      <c r="CW42" s="293"/>
      <c r="CX42" s="293"/>
      <c r="CY42" s="293"/>
      <c r="CZ42" s="293"/>
      <c r="DA42" s="293"/>
      <c r="DB42" s="293"/>
      <c r="DC42" s="293"/>
      <c r="DD42" s="293"/>
      <c r="DE42" s="293"/>
      <c r="DF42" s="293"/>
      <c r="DG42" s="288"/>
      <c r="DH42" s="288"/>
      <c r="DI42" s="288"/>
      <c r="DJ42" s="288"/>
      <c r="DK42" s="288"/>
      <c r="DL42" s="288"/>
      <c r="DM42" s="288"/>
      <c r="DN42" s="288"/>
      <c r="DO42" s="288"/>
      <c r="DP42" s="288"/>
      <c r="DQ42" s="288"/>
      <c r="DR42" s="288"/>
      <c r="DS42" s="288"/>
      <c r="DT42" s="288"/>
      <c r="DU42" s="288"/>
      <c r="DV42" s="288"/>
      <c r="DW42" s="288"/>
      <c r="DX42" s="288"/>
    </row>
    <row r="43" ht="14.25" customHeight="1">
      <c r="A43" s="293"/>
      <c r="B43" s="293"/>
      <c r="C43" s="293"/>
      <c r="D43" s="293"/>
      <c r="E43" s="293"/>
      <c r="F43" s="293"/>
      <c r="G43" s="293"/>
      <c r="H43" s="293"/>
      <c r="I43" s="293"/>
      <c r="J43" s="293"/>
      <c r="K43" s="293"/>
      <c r="L43" s="293"/>
      <c r="M43" s="293"/>
      <c r="N43" s="293"/>
      <c r="O43" s="293"/>
      <c r="P43" s="293"/>
      <c r="Q43" s="293"/>
      <c r="R43" s="293"/>
      <c r="S43" s="293"/>
      <c r="T43" s="293"/>
      <c r="U43" s="293"/>
      <c r="V43" s="293"/>
      <c r="W43" s="293"/>
      <c r="X43" s="293"/>
      <c r="Y43" s="293"/>
      <c r="Z43" s="293"/>
      <c r="AA43" s="293"/>
      <c r="AB43" s="293"/>
      <c r="AC43" s="293"/>
      <c r="AD43" s="293"/>
      <c r="AE43" s="293"/>
      <c r="AF43" s="293"/>
      <c r="AG43" s="293"/>
      <c r="AH43" s="293"/>
      <c r="AI43" s="293"/>
      <c r="AJ43" s="293"/>
      <c r="AK43" s="293"/>
      <c r="AL43" s="293"/>
      <c r="AM43" s="293"/>
      <c r="AN43" s="293"/>
      <c r="AO43" s="293"/>
      <c r="AP43" s="293"/>
      <c r="AQ43" s="293"/>
      <c r="AR43" s="293"/>
      <c r="AS43" s="293"/>
      <c r="AT43" s="293"/>
      <c r="AU43" s="293"/>
      <c r="AV43" s="293"/>
      <c r="AW43" s="293"/>
      <c r="AX43" s="293"/>
      <c r="AY43" s="293"/>
      <c r="AZ43" s="293"/>
      <c r="BA43" s="293"/>
      <c r="BB43" s="293"/>
      <c r="BC43" s="293"/>
      <c r="BD43" s="293"/>
      <c r="BE43" s="293"/>
      <c r="BF43" s="293"/>
      <c r="BG43" s="293"/>
      <c r="BH43" s="293"/>
      <c r="BI43" s="293"/>
      <c r="BJ43" s="293"/>
      <c r="BK43" s="293"/>
      <c r="BL43" s="293"/>
      <c r="BM43" s="293"/>
      <c r="BN43" s="293"/>
      <c r="BO43" s="293"/>
      <c r="BP43" s="293"/>
      <c r="BQ43" s="293"/>
      <c r="BR43" s="293"/>
      <c r="BS43" s="293"/>
      <c r="BT43" s="293"/>
      <c r="BU43" s="293"/>
      <c r="BV43" s="293"/>
      <c r="BW43" s="293"/>
      <c r="BX43" s="293"/>
      <c r="BY43" s="293"/>
      <c r="BZ43" s="293"/>
      <c r="CA43" s="293"/>
      <c r="CB43" s="293"/>
      <c r="CC43" s="293"/>
      <c r="CD43" s="293"/>
      <c r="CE43" s="293"/>
      <c r="CF43" s="293"/>
      <c r="CG43" s="293"/>
      <c r="CH43" s="293"/>
      <c r="CI43" s="293"/>
      <c r="CJ43" s="293"/>
      <c r="CK43" s="293"/>
      <c r="CL43" s="293"/>
      <c r="CM43" s="293"/>
      <c r="CN43" s="293"/>
      <c r="CO43" s="293"/>
      <c r="CP43" s="293"/>
      <c r="CQ43" s="293"/>
      <c r="CR43" s="293"/>
      <c r="CS43" s="293"/>
      <c r="CT43" s="293"/>
      <c r="CU43" s="293"/>
      <c r="CV43" s="293"/>
      <c r="CW43" s="293"/>
      <c r="CX43" s="293"/>
      <c r="CY43" s="293"/>
      <c r="CZ43" s="293"/>
      <c r="DA43" s="293"/>
      <c r="DB43" s="293"/>
      <c r="DC43" s="293"/>
      <c r="DD43" s="293"/>
      <c r="DE43" s="293"/>
      <c r="DF43" s="293"/>
      <c r="DG43" s="288"/>
      <c r="DH43" s="288"/>
      <c r="DI43" s="288"/>
      <c r="DJ43" s="288"/>
      <c r="DK43" s="288"/>
      <c r="DL43" s="288"/>
      <c r="DM43" s="288"/>
      <c r="DN43" s="288"/>
      <c r="DO43" s="288"/>
      <c r="DP43" s="288"/>
      <c r="DQ43" s="288"/>
      <c r="DR43" s="288"/>
      <c r="DS43" s="288"/>
      <c r="DT43" s="288"/>
      <c r="DU43" s="288"/>
      <c r="DV43" s="288"/>
      <c r="DW43" s="288"/>
      <c r="DX43" s="288"/>
    </row>
    <row r="44" ht="14.25" customHeight="1">
      <c r="A44" s="293"/>
      <c r="B44" s="293"/>
      <c r="C44" s="293"/>
      <c r="D44" s="293"/>
      <c r="E44" s="293"/>
      <c r="F44" s="293"/>
      <c r="G44" s="293"/>
      <c r="H44" s="293"/>
      <c r="I44" s="293"/>
      <c r="J44" s="293"/>
      <c r="K44" s="293"/>
      <c r="L44" s="293"/>
      <c r="M44" s="293"/>
      <c r="N44" s="293"/>
      <c r="O44" s="293"/>
      <c r="P44" s="293"/>
      <c r="Q44" s="293"/>
      <c r="R44" s="293"/>
      <c r="S44" s="293"/>
      <c r="T44" s="293"/>
      <c r="U44" s="293"/>
      <c r="V44" s="293"/>
      <c r="W44" s="293"/>
      <c r="X44" s="293"/>
      <c r="Y44" s="293"/>
      <c r="Z44" s="293"/>
      <c r="AA44" s="293"/>
      <c r="AB44" s="293"/>
      <c r="AC44" s="293"/>
      <c r="AD44" s="293"/>
      <c r="AE44" s="293"/>
      <c r="AF44" s="293"/>
      <c r="AG44" s="293"/>
      <c r="AH44" s="293"/>
      <c r="AI44" s="293"/>
      <c r="AJ44" s="293"/>
      <c r="AK44" s="293"/>
      <c r="AL44" s="293"/>
      <c r="AM44" s="293"/>
      <c r="AN44" s="293"/>
      <c r="AO44" s="293"/>
      <c r="AP44" s="293"/>
      <c r="AQ44" s="293"/>
      <c r="AR44" s="293"/>
      <c r="AS44" s="293"/>
      <c r="AT44" s="293"/>
      <c r="AU44" s="293"/>
      <c r="AV44" s="293"/>
      <c r="AW44" s="293"/>
      <c r="AX44" s="293"/>
      <c r="AY44" s="293"/>
      <c r="AZ44" s="293"/>
      <c r="BA44" s="293"/>
      <c r="BB44" s="293"/>
      <c r="BC44" s="293"/>
      <c r="BD44" s="293"/>
      <c r="BE44" s="293"/>
      <c r="BF44" s="293"/>
      <c r="BG44" s="293"/>
      <c r="BH44" s="293"/>
      <c r="BI44" s="293"/>
      <c r="BJ44" s="293"/>
      <c r="BK44" s="293"/>
      <c r="BL44" s="293"/>
      <c r="BM44" s="293"/>
      <c r="BN44" s="293"/>
      <c r="BO44" s="293"/>
      <c r="BP44" s="293"/>
      <c r="BQ44" s="293"/>
      <c r="BR44" s="293"/>
      <c r="BS44" s="293"/>
      <c r="BT44" s="293"/>
      <c r="BU44" s="293"/>
      <c r="BV44" s="293"/>
      <c r="BW44" s="293"/>
      <c r="BX44" s="293"/>
      <c r="BY44" s="293"/>
      <c r="BZ44" s="293"/>
      <c r="CA44" s="293"/>
      <c r="CB44" s="293"/>
      <c r="CC44" s="293"/>
      <c r="CD44" s="293"/>
      <c r="CE44" s="293"/>
      <c r="CF44" s="293"/>
      <c r="CG44" s="293"/>
      <c r="CH44" s="293"/>
      <c r="CI44" s="293"/>
      <c r="CJ44" s="293"/>
      <c r="CK44" s="293"/>
      <c r="CL44" s="293"/>
      <c r="CM44" s="293"/>
      <c r="CN44" s="293"/>
      <c r="CO44" s="293"/>
      <c r="CP44" s="293"/>
      <c r="CQ44" s="293"/>
      <c r="CR44" s="293"/>
      <c r="CS44" s="293"/>
      <c r="CT44" s="293"/>
      <c r="CU44" s="293"/>
      <c r="CV44" s="293"/>
      <c r="CW44" s="293"/>
      <c r="CX44" s="293"/>
      <c r="CY44" s="293"/>
      <c r="CZ44" s="293"/>
      <c r="DA44" s="293"/>
      <c r="DB44" s="293"/>
      <c r="DC44" s="293"/>
      <c r="DD44" s="293"/>
      <c r="DE44" s="293"/>
      <c r="DF44" s="293"/>
      <c r="DG44" s="288"/>
      <c r="DH44" s="288"/>
      <c r="DI44" s="288"/>
      <c r="DJ44" s="288"/>
      <c r="DK44" s="288"/>
      <c r="DL44" s="288"/>
      <c r="DM44" s="288"/>
      <c r="DN44" s="288"/>
      <c r="DO44" s="288"/>
      <c r="DP44" s="288"/>
      <c r="DQ44" s="288"/>
      <c r="DR44" s="288"/>
      <c r="DS44" s="288"/>
      <c r="DT44" s="288"/>
      <c r="DU44" s="288"/>
      <c r="DV44" s="288"/>
      <c r="DW44" s="288"/>
      <c r="DX44" s="288"/>
    </row>
    <row r="45" ht="14.25" customHeight="1">
      <c r="A45" s="293"/>
      <c r="B45" s="293"/>
      <c r="C45" s="293"/>
      <c r="D45" s="293"/>
      <c r="E45" s="293"/>
      <c r="F45" s="293"/>
      <c r="G45" s="293"/>
      <c r="H45" s="293"/>
      <c r="I45" s="293"/>
      <c r="J45" s="293"/>
      <c r="K45" s="293"/>
      <c r="L45" s="293"/>
      <c r="M45" s="293"/>
      <c r="N45" s="293"/>
      <c r="O45" s="293"/>
      <c r="P45" s="293"/>
      <c r="Q45" s="293"/>
      <c r="R45" s="293"/>
      <c r="S45" s="293"/>
      <c r="T45" s="293"/>
      <c r="U45" s="293"/>
      <c r="V45" s="293"/>
      <c r="W45" s="293"/>
      <c r="X45" s="293"/>
      <c r="Y45" s="293"/>
      <c r="Z45" s="293"/>
      <c r="AA45" s="293"/>
      <c r="AB45" s="293"/>
      <c r="AC45" s="293"/>
      <c r="AD45" s="293"/>
      <c r="AE45" s="293"/>
      <c r="AF45" s="293"/>
      <c r="AG45" s="293"/>
      <c r="AH45" s="293"/>
      <c r="AI45" s="293"/>
      <c r="AJ45" s="293"/>
      <c r="AK45" s="293"/>
      <c r="AL45" s="293"/>
      <c r="AM45" s="293"/>
      <c r="AN45" s="293"/>
      <c r="AO45" s="293"/>
      <c r="AP45" s="293"/>
      <c r="AQ45" s="293"/>
      <c r="AR45" s="293"/>
      <c r="AS45" s="293"/>
      <c r="AT45" s="293"/>
      <c r="AU45" s="293"/>
      <c r="AV45" s="293"/>
      <c r="AW45" s="293"/>
      <c r="AX45" s="293"/>
      <c r="AY45" s="293"/>
      <c r="AZ45" s="293"/>
      <c r="BA45" s="293"/>
      <c r="BB45" s="293"/>
      <c r="BC45" s="293"/>
      <c r="BD45" s="293"/>
      <c r="BE45" s="293"/>
      <c r="BF45" s="293"/>
      <c r="BG45" s="293"/>
      <c r="BH45" s="293"/>
      <c r="BI45" s="293"/>
      <c r="BJ45" s="293"/>
      <c r="BK45" s="293"/>
      <c r="BL45" s="293"/>
      <c r="BM45" s="293"/>
      <c r="BN45" s="293"/>
      <c r="BO45" s="293"/>
      <c r="BP45" s="293"/>
      <c r="BQ45" s="293"/>
      <c r="BR45" s="293"/>
      <c r="BS45" s="293"/>
      <c r="BT45" s="293"/>
      <c r="BU45" s="293"/>
      <c r="BV45" s="293"/>
      <c r="BW45" s="293"/>
      <c r="BX45" s="293"/>
      <c r="BY45" s="293"/>
      <c r="BZ45" s="293"/>
      <c r="CA45" s="293"/>
      <c r="CB45" s="293"/>
      <c r="CC45" s="293"/>
      <c r="CD45" s="293"/>
      <c r="CE45" s="293"/>
      <c r="CF45" s="293"/>
      <c r="CG45" s="293"/>
      <c r="CH45" s="293"/>
      <c r="CI45" s="293"/>
      <c r="CJ45" s="293"/>
      <c r="CK45" s="293"/>
      <c r="CL45" s="293"/>
      <c r="CM45" s="293"/>
      <c r="CN45" s="293"/>
      <c r="CO45" s="293"/>
      <c r="CP45" s="293"/>
      <c r="CQ45" s="293"/>
      <c r="CR45" s="293"/>
      <c r="CS45" s="293"/>
      <c r="CT45" s="293"/>
      <c r="CU45" s="293"/>
      <c r="CV45" s="293"/>
      <c r="CW45" s="293"/>
      <c r="CX45" s="293"/>
      <c r="CY45" s="293"/>
      <c r="CZ45" s="293"/>
      <c r="DA45" s="293"/>
      <c r="DB45" s="293"/>
      <c r="DC45" s="293"/>
      <c r="DD45" s="293"/>
      <c r="DE45" s="293"/>
      <c r="DF45" s="293"/>
      <c r="DG45" s="288"/>
      <c r="DH45" s="288"/>
      <c r="DI45" s="288"/>
      <c r="DJ45" s="288"/>
      <c r="DK45" s="288"/>
      <c r="DL45" s="288"/>
      <c r="DM45" s="288"/>
      <c r="DN45" s="288"/>
      <c r="DO45" s="288"/>
      <c r="DP45" s="288"/>
      <c r="DQ45" s="288"/>
      <c r="DR45" s="288"/>
      <c r="DS45" s="288"/>
      <c r="DT45" s="288"/>
      <c r="DU45" s="288"/>
      <c r="DV45" s="288"/>
      <c r="DW45" s="288"/>
      <c r="DX45" s="288"/>
    </row>
    <row r="46" ht="14.25" customHeight="1">
      <c r="A46" s="293"/>
      <c r="B46" s="293"/>
      <c r="C46" s="293"/>
      <c r="D46" s="293"/>
      <c r="E46" s="293"/>
      <c r="F46" s="293"/>
      <c r="G46" s="293"/>
      <c r="H46" s="293"/>
      <c r="I46" s="293"/>
      <c r="J46" s="293"/>
      <c r="K46" s="293"/>
      <c r="L46" s="293"/>
      <c r="M46" s="293"/>
      <c r="N46" s="293"/>
      <c r="O46" s="293"/>
      <c r="P46" s="293"/>
      <c r="Q46" s="293"/>
      <c r="R46" s="293"/>
      <c r="S46" s="293"/>
      <c r="T46" s="293"/>
      <c r="U46" s="293"/>
      <c r="V46" s="293"/>
      <c r="W46" s="293"/>
      <c r="X46" s="293"/>
      <c r="Y46" s="293"/>
      <c r="Z46" s="293"/>
      <c r="AA46" s="293"/>
      <c r="AB46" s="293"/>
      <c r="AC46" s="293"/>
      <c r="AD46" s="293"/>
      <c r="AE46" s="293"/>
      <c r="AF46" s="293"/>
      <c r="AG46" s="293"/>
      <c r="AH46" s="293"/>
      <c r="AI46" s="293"/>
      <c r="AJ46" s="293"/>
      <c r="AK46" s="293"/>
      <c r="AL46" s="293"/>
      <c r="AM46" s="293"/>
      <c r="AN46" s="293"/>
      <c r="AO46" s="293"/>
      <c r="AP46" s="293"/>
      <c r="AQ46" s="293"/>
      <c r="AR46" s="293"/>
      <c r="AS46" s="293"/>
      <c r="AT46" s="293"/>
      <c r="AU46" s="293"/>
      <c r="AV46" s="293"/>
      <c r="AW46" s="293"/>
      <c r="AX46" s="293"/>
      <c r="AY46" s="293"/>
      <c r="AZ46" s="293"/>
      <c r="BA46" s="293"/>
      <c r="BB46" s="293"/>
      <c r="BC46" s="293"/>
      <c r="BD46" s="293"/>
      <c r="BE46" s="293"/>
      <c r="BF46" s="293"/>
      <c r="BG46" s="293"/>
      <c r="BH46" s="293"/>
      <c r="BI46" s="293"/>
      <c r="BJ46" s="293"/>
      <c r="BK46" s="293"/>
      <c r="BL46" s="293"/>
      <c r="BM46" s="293"/>
      <c r="BN46" s="293"/>
      <c r="BO46" s="293"/>
      <c r="BP46" s="293"/>
      <c r="BQ46" s="293"/>
      <c r="BR46" s="293"/>
      <c r="BS46" s="293"/>
      <c r="BT46" s="293"/>
      <c r="BU46" s="293"/>
      <c r="BV46" s="293"/>
      <c r="BW46" s="293"/>
      <c r="BX46" s="293"/>
      <c r="BY46" s="293"/>
      <c r="BZ46" s="293"/>
      <c r="CA46" s="293"/>
      <c r="CB46" s="293"/>
      <c r="CC46" s="293"/>
      <c r="CD46" s="293"/>
      <c r="CE46" s="293"/>
      <c r="CF46" s="293"/>
      <c r="CG46" s="293"/>
      <c r="CH46" s="293"/>
      <c r="CI46" s="293"/>
      <c r="CJ46" s="293"/>
      <c r="CK46" s="293"/>
      <c r="CL46" s="293"/>
      <c r="CM46" s="293"/>
      <c r="CN46" s="293"/>
      <c r="CO46" s="293"/>
      <c r="CP46" s="293"/>
      <c r="CQ46" s="293"/>
      <c r="CR46" s="293"/>
      <c r="CS46" s="293"/>
      <c r="CT46" s="293"/>
      <c r="CU46" s="293"/>
      <c r="CV46" s="293"/>
      <c r="CW46" s="293"/>
      <c r="CX46" s="293"/>
      <c r="CY46" s="293"/>
      <c r="CZ46" s="293"/>
      <c r="DA46" s="293"/>
      <c r="DB46" s="293"/>
      <c r="DC46" s="293"/>
      <c r="DD46" s="293"/>
      <c r="DE46" s="293"/>
      <c r="DF46" s="293"/>
      <c r="DG46" s="288"/>
      <c r="DH46" s="288"/>
      <c r="DI46" s="288"/>
      <c r="DJ46" s="288"/>
      <c r="DK46" s="288"/>
      <c r="DL46" s="288"/>
      <c r="DM46" s="288"/>
      <c r="DN46" s="288"/>
      <c r="DO46" s="288"/>
      <c r="DP46" s="288"/>
      <c r="DQ46" s="288"/>
      <c r="DR46" s="288"/>
      <c r="DS46" s="288"/>
      <c r="DT46" s="288"/>
      <c r="DU46" s="288"/>
      <c r="DV46" s="288"/>
      <c r="DW46" s="288"/>
      <c r="DX46" s="288"/>
    </row>
    <row r="47" ht="14.25" customHeight="1">
      <c r="A47" s="293"/>
      <c r="B47" s="293"/>
      <c r="C47" s="293"/>
      <c r="D47" s="293"/>
      <c r="E47" s="293"/>
      <c r="F47" s="293"/>
      <c r="G47" s="293"/>
      <c r="H47" s="293"/>
      <c r="I47" s="293"/>
      <c r="J47" s="293"/>
      <c r="K47" s="293"/>
      <c r="L47" s="293"/>
      <c r="M47" s="293"/>
      <c r="N47" s="293"/>
      <c r="O47" s="293"/>
      <c r="P47" s="293"/>
      <c r="Q47" s="293"/>
      <c r="R47" s="293"/>
      <c r="S47" s="293"/>
      <c r="T47" s="293"/>
      <c r="U47" s="293"/>
      <c r="V47" s="293"/>
      <c r="W47" s="293"/>
      <c r="X47" s="293"/>
      <c r="Y47" s="293"/>
      <c r="Z47" s="293"/>
      <c r="AA47" s="293"/>
      <c r="AB47" s="293"/>
      <c r="AC47" s="293"/>
      <c r="AD47" s="293"/>
      <c r="AE47" s="293"/>
      <c r="AF47" s="293"/>
      <c r="AG47" s="293"/>
      <c r="AH47" s="293"/>
      <c r="AI47" s="293"/>
      <c r="AJ47" s="293"/>
      <c r="AK47" s="293"/>
      <c r="AL47" s="293"/>
      <c r="AM47" s="293"/>
      <c r="AN47" s="293"/>
      <c r="AO47" s="293"/>
      <c r="AP47" s="293"/>
      <c r="AQ47" s="293"/>
      <c r="AR47" s="293"/>
      <c r="AS47" s="293"/>
      <c r="AT47" s="293"/>
      <c r="AU47" s="293"/>
      <c r="AV47" s="293"/>
      <c r="AW47" s="293"/>
      <c r="AX47" s="293"/>
      <c r="AY47" s="293"/>
      <c r="AZ47" s="293"/>
      <c r="BA47" s="293"/>
      <c r="BB47" s="293"/>
      <c r="BC47" s="293"/>
      <c r="BD47" s="293"/>
      <c r="BE47" s="293"/>
      <c r="BF47" s="293"/>
      <c r="BG47" s="293"/>
      <c r="BH47" s="293"/>
      <c r="BI47" s="293"/>
      <c r="BJ47" s="293"/>
      <c r="BK47" s="293"/>
      <c r="BL47" s="293"/>
      <c r="BM47" s="293"/>
      <c r="BN47" s="293"/>
      <c r="BO47" s="293"/>
      <c r="BP47" s="293"/>
      <c r="BQ47" s="293"/>
      <c r="BR47" s="293"/>
      <c r="BS47" s="293"/>
      <c r="BT47" s="293"/>
      <c r="BU47" s="293"/>
      <c r="BV47" s="293"/>
      <c r="BW47" s="293"/>
      <c r="BX47" s="293"/>
      <c r="BY47" s="293"/>
      <c r="BZ47" s="293"/>
      <c r="CA47" s="293"/>
      <c r="CB47" s="293"/>
      <c r="CC47" s="293"/>
      <c r="CD47" s="293"/>
      <c r="CE47" s="293"/>
      <c r="CF47" s="293"/>
      <c r="CG47" s="293"/>
      <c r="CH47" s="293"/>
      <c r="CI47" s="293"/>
      <c r="CJ47" s="293"/>
      <c r="CK47" s="293"/>
      <c r="CL47" s="293"/>
      <c r="CM47" s="293"/>
      <c r="CN47" s="293"/>
      <c r="CO47" s="293"/>
      <c r="CP47" s="293"/>
      <c r="CQ47" s="293"/>
      <c r="CR47" s="293"/>
      <c r="CS47" s="293"/>
      <c r="CT47" s="293"/>
      <c r="CU47" s="293"/>
      <c r="CV47" s="293"/>
      <c r="CW47" s="293"/>
      <c r="CX47" s="293"/>
      <c r="CY47" s="293"/>
      <c r="CZ47" s="293"/>
      <c r="DA47" s="293"/>
      <c r="DB47" s="293"/>
      <c r="DC47" s="293"/>
      <c r="DD47" s="293"/>
      <c r="DE47" s="293"/>
      <c r="DF47" s="293"/>
      <c r="DG47" s="288"/>
      <c r="DH47" s="288"/>
      <c r="DI47" s="288"/>
      <c r="DJ47" s="288"/>
      <c r="DK47" s="288"/>
      <c r="DL47" s="288"/>
      <c r="DM47" s="288"/>
      <c r="DN47" s="288"/>
      <c r="DO47" s="288"/>
      <c r="DP47" s="288"/>
      <c r="DQ47" s="288"/>
      <c r="DR47" s="288"/>
      <c r="DS47" s="288"/>
      <c r="DT47" s="288"/>
      <c r="DU47" s="288"/>
      <c r="DV47" s="288"/>
      <c r="DW47" s="288"/>
      <c r="DX47" s="288"/>
    </row>
    <row r="48" ht="14.25" customHeight="1">
      <c r="A48" s="293"/>
      <c r="B48" s="293"/>
      <c r="C48" s="293"/>
      <c r="D48" s="293"/>
      <c r="E48" s="293"/>
      <c r="F48" s="293"/>
      <c r="G48" s="293"/>
      <c r="H48" s="293"/>
      <c r="I48" s="293"/>
      <c r="J48" s="293"/>
      <c r="K48" s="293"/>
      <c r="L48" s="293"/>
      <c r="M48" s="293"/>
      <c r="N48" s="293"/>
      <c r="O48" s="293"/>
      <c r="P48" s="293"/>
      <c r="Q48" s="293"/>
      <c r="R48" s="293"/>
      <c r="S48" s="293"/>
      <c r="T48" s="293"/>
      <c r="U48" s="293"/>
      <c r="V48" s="293"/>
      <c r="W48" s="293"/>
      <c r="X48" s="293"/>
      <c r="Y48" s="293"/>
      <c r="Z48" s="293"/>
      <c r="AA48" s="293"/>
      <c r="AB48" s="293"/>
      <c r="AC48" s="293"/>
      <c r="AD48" s="293"/>
      <c r="AE48" s="293"/>
      <c r="AF48" s="293"/>
      <c r="AG48" s="293"/>
      <c r="AH48" s="293"/>
      <c r="AI48" s="293"/>
      <c r="AJ48" s="293"/>
      <c r="AK48" s="293"/>
      <c r="AL48" s="293"/>
      <c r="AM48" s="293"/>
      <c r="AN48" s="293"/>
      <c r="AO48" s="293"/>
      <c r="AP48" s="293"/>
      <c r="AQ48" s="293"/>
      <c r="AR48" s="293"/>
      <c r="AS48" s="293"/>
      <c r="AT48" s="293"/>
      <c r="AU48" s="293"/>
      <c r="AV48" s="293"/>
      <c r="AW48" s="293"/>
      <c r="AX48" s="293"/>
      <c r="AY48" s="293"/>
      <c r="AZ48" s="293"/>
      <c r="BA48" s="293"/>
      <c r="BB48" s="293"/>
      <c r="BC48" s="293"/>
      <c r="BD48" s="293"/>
      <c r="BE48" s="293"/>
      <c r="BF48" s="293"/>
      <c r="BG48" s="293"/>
      <c r="BH48" s="293"/>
      <c r="BI48" s="293"/>
      <c r="BJ48" s="293"/>
      <c r="BK48" s="293"/>
      <c r="BL48" s="293"/>
      <c r="BM48" s="293"/>
      <c r="BN48" s="293"/>
      <c r="BO48" s="293"/>
      <c r="BP48" s="293"/>
      <c r="BQ48" s="293"/>
      <c r="BR48" s="293"/>
      <c r="BS48" s="293"/>
      <c r="BT48" s="293"/>
      <c r="BU48" s="293"/>
      <c r="BV48" s="293"/>
      <c r="BW48" s="293"/>
      <c r="BX48" s="293"/>
      <c r="BY48" s="293"/>
      <c r="BZ48" s="293"/>
      <c r="CA48" s="293"/>
      <c r="CB48" s="293"/>
      <c r="CC48" s="293"/>
      <c r="CD48" s="293"/>
      <c r="CE48" s="293"/>
      <c r="CF48" s="293"/>
      <c r="CG48" s="293"/>
      <c r="CH48" s="293"/>
      <c r="CI48" s="293"/>
      <c r="CJ48" s="293"/>
      <c r="CK48" s="293"/>
      <c r="CL48" s="293"/>
      <c r="CM48" s="293"/>
      <c r="CN48" s="293"/>
      <c r="CO48" s="293"/>
      <c r="CP48" s="293"/>
      <c r="CQ48" s="293"/>
      <c r="CR48" s="293"/>
      <c r="CS48" s="293"/>
      <c r="CT48" s="293"/>
      <c r="CU48" s="293"/>
      <c r="CV48" s="293"/>
      <c r="CW48" s="293"/>
      <c r="CX48" s="293"/>
      <c r="CY48" s="293"/>
      <c r="CZ48" s="293"/>
      <c r="DA48" s="293"/>
      <c r="DB48" s="293"/>
      <c r="DC48" s="293"/>
      <c r="DD48" s="293"/>
      <c r="DE48" s="293"/>
      <c r="DF48" s="293"/>
      <c r="DG48" s="288"/>
      <c r="DH48" s="288"/>
      <c r="DI48" s="288"/>
      <c r="DJ48" s="288"/>
      <c r="DK48" s="288"/>
      <c r="DL48" s="288"/>
      <c r="DM48" s="288"/>
      <c r="DN48" s="288"/>
      <c r="DO48" s="288"/>
      <c r="DP48" s="288"/>
      <c r="DQ48" s="288"/>
      <c r="DR48" s="288"/>
      <c r="DS48" s="288"/>
      <c r="DT48" s="288"/>
      <c r="DU48" s="288"/>
      <c r="DV48" s="288"/>
      <c r="DW48" s="288"/>
      <c r="DX48" s="288"/>
    </row>
    <row r="49" ht="14.25" customHeight="1">
      <c r="A49" s="293"/>
      <c r="B49" s="293"/>
      <c r="C49" s="293"/>
      <c r="D49" s="293"/>
      <c r="E49" s="293"/>
      <c r="F49" s="293"/>
      <c r="G49" s="293"/>
      <c r="H49" s="293"/>
      <c r="I49" s="293"/>
      <c r="J49" s="293"/>
      <c r="K49" s="293"/>
      <c r="L49" s="293"/>
      <c r="M49" s="293"/>
      <c r="N49" s="293"/>
      <c r="O49" s="293"/>
      <c r="P49" s="293"/>
      <c r="Q49" s="293"/>
      <c r="R49" s="293"/>
      <c r="S49" s="293"/>
      <c r="T49" s="293"/>
      <c r="U49" s="293"/>
      <c r="V49" s="293"/>
      <c r="W49" s="293"/>
      <c r="X49" s="293"/>
      <c r="Y49" s="293"/>
      <c r="Z49" s="293"/>
      <c r="AA49" s="293"/>
      <c r="AB49" s="293"/>
      <c r="AC49" s="293"/>
      <c r="AD49" s="293"/>
      <c r="AE49" s="293"/>
      <c r="AF49" s="293"/>
      <c r="AG49" s="293"/>
      <c r="AH49" s="293"/>
      <c r="AI49" s="293"/>
      <c r="AJ49" s="293"/>
      <c r="AK49" s="293"/>
      <c r="AL49" s="293"/>
      <c r="AM49" s="293"/>
      <c r="AN49" s="293"/>
      <c r="AO49" s="293"/>
      <c r="AP49" s="293"/>
      <c r="AQ49" s="293"/>
      <c r="AR49" s="293"/>
      <c r="AS49" s="293"/>
      <c r="AT49" s="293"/>
      <c r="AU49" s="293"/>
      <c r="AV49" s="293"/>
      <c r="AW49" s="293"/>
      <c r="AX49" s="293"/>
      <c r="AY49" s="293"/>
      <c r="AZ49" s="293"/>
      <c r="BA49" s="293"/>
      <c r="BB49" s="293"/>
      <c r="BC49" s="293"/>
      <c r="BD49" s="293"/>
      <c r="BE49" s="293"/>
      <c r="BF49" s="293"/>
      <c r="BG49" s="293"/>
      <c r="BH49" s="293"/>
      <c r="BI49" s="293"/>
      <c r="BJ49" s="293"/>
      <c r="BK49" s="293"/>
      <c r="BL49" s="293"/>
      <c r="BM49" s="293"/>
      <c r="BN49" s="293"/>
      <c r="BO49" s="293"/>
      <c r="BP49" s="293"/>
      <c r="BQ49" s="293"/>
      <c r="BR49" s="293"/>
      <c r="BS49" s="293"/>
      <c r="BT49" s="293"/>
      <c r="BU49" s="293"/>
      <c r="BV49" s="293"/>
      <c r="BW49" s="293"/>
      <c r="BX49" s="293"/>
      <c r="BY49" s="293"/>
      <c r="BZ49" s="293"/>
      <c r="CA49" s="293"/>
      <c r="CB49" s="293"/>
      <c r="CC49" s="293"/>
      <c r="CD49" s="293"/>
      <c r="CE49" s="293"/>
      <c r="CF49" s="293"/>
      <c r="CG49" s="293"/>
      <c r="CH49" s="293"/>
      <c r="CI49" s="293"/>
      <c r="CJ49" s="293"/>
      <c r="CK49" s="293"/>
      <c r="CL49" s="293"/>
      <c r="CM49" s="293"/>
      <c r="CN49" s="293"/>
      <c r="CO49" s="293"/>
      <c r="CP49" s="293"/>
      <c r="CQ49" s="293"/>
      <c r="CR49" s="293"/>
      <c r="CS49" s="293"/>
      <c r="CT49" s="293"/>
      <c r="CU49" s="293"/>
      <c r="CV49" s="293"/>
      <c r="CW49" s="293"/>
      <c r="CX49" s="293"/>
      <c r="CY49" s="293"/>
      <c r="CZ49" s="293"/>
      <c r="DA49" s="293"/>
      <c r="DB49" s="293"/>
      <c r="DC49" s="293"/>
      <c r="DD49" s="293"/>
      <c r="DE49" s="293"/>
      <c r="DF49" s="293"/>
      <c r="DG49" s="288"/>
      <c r="DH49" s="288"/>
      <c r="DI49" s="288"/>
      <c r="DJ49" s="288"/>
      <c r="DK49" s="288"/>
      <c r="DL49" s="288"/>
      <c r="DM49" s="288"/>
      <c r="DN49" s="288"/>
      <c r="DO49" s="288"/>
      <c r="DP49" s="288"/>
      <c r="DQ49" s="288"/>
      <c r="DR49" s="288"/>
      <c r="DS49" s="288"/>
      <c r="DT49" s="288"/>
      <c r="DU49" s="288"/>
      <c r="DV49" s="288"/>
      <c r="DW49" s="288"/>
      <c r="DX49" s="288"/>
    </row>
    <row r="50" ht="14.25" customHeight="1">
      <c r="A50" s="293"/>
      <c r="B50" s="293"/>
      <c r="C50" s="293"/>
      <c r="D50" s="293"/>
      <c r="E50" s="293"/>
      <c r="F50" s="293"/>
      <c r="G50" s="293"/>
      <c r="H50" s="293"/>
      <c r="I50" s="293"/>
      <c r="J50" s="293"/>
      <c r="K50" s="293"/>
      <c r="L50" s="293"/>
      <c r="M50" s="293"/>
      <c r="N50" s="293"/>
      <c r="O50" s="293"/>
      <c r="P50" s="293"/>
      <c r="Q50" s="293"/>
      <c r="R50" s="293"/>
      <c r="S50" s="293"/>
      <c r="T50" s="293"/>
      <c r="U50" s="293"/>
      <c r="V50" s="293"/>
      <c r="W50" s="293"/>
      <c r="X50" s="293"/>
      <c r="Y50" s="293"/>
      <c r="Z50" s="293"/>
      <c r="AA50" s="293"/>
      <c r="AB50" s="293"/>
      <c r="AC50" s="293"/>
      <c r="AD50" s="293"/>
      <c r="AE50" s="293"/>
      <c r="AF50" s="293"/>
      <c r="AG50" s="293"/>
      <c r="AH50" s="293"/>
      <c r="AI50" s="293"/>
      <c r="AJ50" s="293"/>
      <c r="AK50" s="293"/>
      <c r="AL50" s="293"/>
      <c r="AM50" s="293"/>
      <c r="AN50" s="293"/>
      <c r="AO50" s="293"/>
      <c r="AP50" s="293"/>
      <c r="AQ50" s="293"/>
      <c r="AR50" s="293"/>
      <c r="AS50" s="293"/>
      <c r="AT50" s="293"/>
      <c r="AU50" s="293"/>
      <c r="AV50" s="293"/>
      <c r="AW50" s="293"/>
      <c r="AX50" s="293"/>
      <c r="AY50" s="293"/>
      <c r="AZ50" s="293"/>
      <c r="BA50" s="293"/>
      <c r="BB50" s="293"/>
      <c r="BC50" s="293"/>
      <c r="BD50" s="293"/>
      <c r="BE50" s="293"/>
      <c r="BF50" s="293"/>
      <c r="BG50" s="293"/>
      <c r="BH50" s="293"/>
      <c r="BI50" s="293"/>
      <c r="BJ50" s="293"/>
      <c r="BK50" s="293"/>
      <c r="BL50" s="293"/>
      <c r="BM50" s="293"/>
      <c r="BN50" s="293"/>
      <c r="BO50" s="293"/>
      <c r="BP50" s="293"/>
      <c r="BQ50" s="293"/>
      <c r="BR50" s="293"/>
      <c r="BS50" s="293"/>
      <c r="BT50" s="293"/>
      <c r="BU50" s="293"/>
      <c r="BV50" s="293"/>
      <c r="BW50" s="293"/>
      <c r="BX50" s="293"/>
      <c r="BY50" s="293"/>
      <c r="BZ50" s="293"/>
      <c r="CA50" s="293"/>
      <c r="CB50" s="293"/>
      <c r="CC50" s="293"/>
      <c r="CD50" s="293"/>
      <c r="CE50" s="293"/>
      <c r="CF50" s="293"/>
      <c r="CG50" s="293"/>
      <c r="CH50" s="293"/>
      <c r="CI50" s="293"/>
      <c r="CJ50" s="293"/>
      <c r="CK50" s="293"/>
      <c r="CL50" s="293"/>
      <c r="CM50" s="293"/>
      <c r="CN50" s="293"/>
      <c r="CO50" s="293"/>
      <c r="CP50" s="293"/>
      <c r="CQ50" s="293"/>
      <c r="CR50" s="293"/>
      <c r="CS50" s="293"/>
      <c r="CT50" s="293"/>
      <c r="CU50" s="293"/>
      <c r="CV50" s="293"/>
      <c r="CW50" s="293"/>
      <c r="CX50" s="293"/>
      <c r="CY50" s="293"/>
      <c r="CZ50" s="293"/>
      <c r="DA50" s="293"/>
      <c r="DB50" s="293"/>
      <c r="DC50" s="293"/>
      <c r="DD50" s="293"/>
      <c r="DE50" s="293"/>
      <c r="DF50" s="293"/>
      <c r="DG50" s="288"/>
      <c r="DH50" s="288"/>
      <c r="DI50" s="288"/>
      <c r="DJ50" s="288"/>
      <c r="DK50" s="288"/>
      <c r="DL50" s="288"/>
      <c r="DM50" s="288"/>
      <c r="DN50" s="288"/>
      <c r="DO50" s="288"/>
      <c r="DP50" s="288"/>
      <c r="DQ50" s="288"/>
      <c r="DR50" s="288"/>
      <c r="DS50" s="288"/>
      <c r="DT50" s="288"/>
      <c r="DU50" s="288"/>
      <c r="DV50" s="288"/>
      <c r="DW50" s="288"/>
      <c r="DX50" s="288"/>
    </row>
    <row r="51" ht="14.25" customHeight="1">
      <c r="A51" s="293"/>
      <c r="B51" s="293"/>
      <c r="C51" s="293"/>
      <c r="D51" s="293"/>
      <c r="E51" s="293"/>
      <c r="F51" s="293"/>
      <c r="G51" s="293"/>
      <c r="H51" s="293"/>
      <c r="I51" s="293"/>
      <c r="J51" s="293"/>
      <c r="K51" s="293"/>
      <c r="L51" s="293"/>
      <c r="M51" s="293"/>
      <c r="N51" s="293"/>
      <c r="O51" s="293"/>
      <c r="P51" s="293"/>
      <c r="Q51" s="293"/>
      <c r="R51" s="293"/>
      <c r="S51" s="293"/>
      <c r="T51" s="293"/>
      <c r="U51" s="293"/>
      <c r="V51" s="293"/>
      <c r="W51" s="293"/>
      <c r="X51" s="293"/>
      <c r="Y51" s="293"/>
      <c r="Z51" s="293"/>
      <c r="AA51" s="293"/>
      <c r="AB51" s="293"/>
      <c r="AC51" s="293"/>
      <c r="AD51" s="293"/>
      <c r="AE51" s="293"/>
      <c r="AF51" s="293"/>
      <c r="AG51" s="293"/>
      <c r="AH51" s="293"/>
      <c r="AI51" s="293"/>
      <c r="AJ51" s="293"/>
      <c r="AK51" s="293"/>
      <c r="AL51" s="293"/>
      <c r="AM51" s="293"/>
      <c r="AN51" s="293"/>
      <c r="AO51" s="293"/>
      <c r="AP51" s="293"/>
      <c r="AQ51" s="293"/>
      <c r="AR51" s="293"/>
      <c r="AS51" s="293"/>
      <c r="AT51" s="293"/>
      <c r="AU51" s="293"/>
      <c r="AV51" s="293"/>
      <c r="AW51" s="293"/>
      <c r="AX51" s="293"/>
      <c r="AY51" s="293"/>
      <c r="AZ51" s="293"/>
      <c r="BA51" s="293"/>
      <c r="BB51" s="293"/>
      <c r="BC51" s="293"/>
      <c r="BD51" s="293"/>
      <c r="BE51" s="293"/>
      <c r="BF51" s="293"/>
      <c r="BG51" s="293"/>
      <c r="BH51" s="293"/>
      <c r="BI51" s="293"/>
      <c r="BJ51" s="293"/>
      <c r="BK51" s="293"/>
      <c r="BL51" s="293"/>
      <c r="BM51" s="293"/>
      <c r="BN51" s="293"/>
      <c r="BO51" s="293"/>
      <c r="BP51" s="293"/>
      <c r="BQ51" s="293"/>
      <c r="BR51" s="293"/>
      <c r="BS51" s="293"/>
      <c r="BT51" s="293"/>
      <c r="BU51" s="293"/>
      <c r="BV51" s="293"/>
      <c r="BW51" s="293"/>
      <c r="BX51" s="293"/>
      <c r="BY51" s="293"/>
      <c r="BZ51" s="293"/>
      <c r="CA51" s="293"/>
      <c r="CB51" s="293"/>
      <c r="CC51" s="293"/>
      <c r="CD51" s="293"/>
      <c r="CE51" s="293"/>
      <c r="CF51" s="293"/>
      <c r="CG51" s="293"/>
      <c r="CH51" s="293"/>
      <c r="CI51" s="293"/>
      <c r="CJ51" s="293"/>
      <c r="CK51" s="293"/>
      <c r="CL51" s="293"/>
      <c r="CM51" s="293"/>
      <c r="CN51" s="293"/>
      <c r="CO51" s="293"/>
      <c r="CP51" s="293"/>
      <c r="CQ51" s="293"/>
      <c r="CR51" s="293"/>
      <c r="CS51" s="293"/>
      <c r="CT51" s="293"/>
      <c r="CU51" s="293"/>
      <c r="CV51" s="293"/>
      <c r="CW51" s="293"/>
      <c r="CX51" s="293"/>
      <c r="CY51" s="293"/>
      <c r="CZ51" s="293"/>
      <c r="DA51" s="293"/>
      <c r="DB51" s="293"/>
      <c r="DC51" s="293"/>
      <c r="DD51" s="293"/>
      <c r="DE51" s="293"/>
      <c r="DF51" s="293"/>
      <c r="DG51" s="288"/>
      <c r="DH51" s="288"/>
      <c r="DI51" s="288"/>
      <c r="DJ51" s="288"/>
      <c r="DK51" s="288"/>
      <c r="DL51" s="288"/>
      <c r="DM51" s="288"/>
      <c r="DN51" s="288"/>
      <c r="DO51" s="288"/>
      <c r="DP51" s="288"/>
      <c r="DQ51" s="288"/>
      <c r="DR51" s="288"/>
      <c r="DS51" s="288"/>
      <c r="DT51" s="288"/>
      <c r="DU51" s="288"/>
      <c r="DV51" s="288"/>
      <c r="DW51" s="288"/>
      <c r="DX51" s="288"/>
    </row>
    <row r="52" ht="14.25" customHeight="1">
      <c r="A52" s="293"/>
      <c r="B52" s="293"/>
      <c r="C52" s="293"/>
      <c r="D52" s="293"/>
      <c r="E52" s="293"/>
      <c r="F52" s="293"/>
      <c r="G52" s="293"/>
      <c r="H52" s="293"/>
      <c r="I52" s="293"/>
      <c r="J52" s="293"/>
      <c r="K52" s="293"/>
      <c r="L52" s="293"/>
      <c r="M52" s="293"/>
      <c r="N52" s="293"/>
      <c r="O52" s="293"/>
      <c r="P52" s="293"/>
      <c r="Q52" s="293"/>
      <c r="R52" s="293"/>
      <c r="S52" s="293"/>
      <c r="T52" s="293"/>
      <c r="U52" s="293"/>
      <c r="V52" s="293"/>
      <c r="W52" s="293"/>
      <c r="X52" s="293"/>
      <c r="Y52" s="293"/>
      <c r="Z52" s="293"/>
      <c r="AA52" s="293"/>
      <c r="AB52" s="293"/>
      <c r="AC52" s="293"/>
      <c r="AD52" s="293"/>
      <c r="AE52" s="293"/>
      <c r="AF52" s="293"/>
      <c r="AG52" s="293"/>
      <c r="AH52" s="293"/>
      <c r="AI52" s="293"/>
      <c r="AJ52" s="293"/>
      <c r="AK52" s="293"/>
      <c r="AL52" s="293"/>
      <c r="AM52" s="293"/>
      <c r="AN52" s="293"/>
      <c r="AO52" s="293"/>
      <c r="AP52" s="293"/>
      <c r="AQ52" s="293"/>
      <c r="AR52" s="293"/>
      <c r="AS52" s="293"/>
      <c r="AT52" s="293"/>
      <c r="AU52" s="293"/>
      <c r="AV52" s="293"/>
      <c r="AW52" s="293"/>
      <c r="AX52" s="293"/>
      <c r="AY52" s="293"/>
      <c r="AZ52" s="293"/>
      <c r="BA52" s="293"/>
      <c r="BB52" s="293"/>
      <c r="BC52" s="293"/>
      <c r="BD52" s="293"/>
      <c r="BE52" s="293"/>
      <c r="BF52" s="293"/>
      <c r="BG52" s="293"/>
      <c r="BH52" s="293"/>
      <c r="BI52" s="293"/>
      <c r="BJ52" s="293"/>
      <c r="BK52" s="293"/>
      <c r="BL52" s="293"/>
      <c r="BM52" s="293"/>
      <c r="BN52" s="293"/>
      <c r="BO52" s="293"/>
      <c r="BP52" s="293"/>
      <c r="BQ52" s="293"/>
      <c r="BR52" s="293"/>
      <c r="BS52" s="293"/>
      <c r="BT52" s="293"/>
      <c r="BU52" s="293"/>
      <c r="BV52" s="293"/>
      <c r="BW52" s="293"/>
      <c r="BX52" s="293"/>
      <c r="BY52" s="293"/>
      <c r="BZ52" s="293"/>
      <c r="CA52" s="293"/>
      <c r="CB52" s="293"/>
      <c r="CC52" s="293"/>
      <c r="CD52" s="293"/>
      <c r="CE52" s="293"/>
      <c r="CF52" s="293"/>
      <c r="CG52" s="293"/>
      <c r="CH52" s="293"/>
      <c r="CI52" s="293"/>
      <c r="CJ52" s="293"/>
      <c r="CK52" s="293"/>
      <c r="CL52" s="293"/>
      <c r="CM52" s="293"/>
      <c r="CN52" s="293"/>
      <c r="CO52" s="293"/>
      <c r="CP52" s="293"/>
      <c r="CQ52" s="293"/>
      <c r="CR52" s="293"/>
      <c r="CS52" s="293"/>
      <c r="CT52" s="293"/>
      <c r="CU52" s="293"/>
      <c r="CV52" s="293"/>
      <c r="CW52" s="293"/>
      <c r="CX52" s="293"/>
      <c r="CY52" s="293"/>
      <c r="CZ52" s="293"/>
      <c r="DA52" s="293"/>
      <c r="DB52" s="293"/>
      <c r="DC52" s="293"/>
      <c r="DD52" s="293"/>
      <c r="DE52" s="293"/>
      <c r="DF52" s="293"/>
      <c r="DG52" s="288"/>
      <c r="DH52" s="288"/>
      <c r="DI52" s="288"/>
      <c r="DJ52" s="288"/>
      <c r="DK52" s="288"/>
      <c r="DL52" s="288"/>
      <c r="DM52" s="288"/>
      <c r="DN52" s="288"/>
      <c r="DO52" s="288"/>
      <c r="DP52" s="288"/>
      <c r="DQ52" s="288"/>
      <c r="DR52" s="288"/>
      <c r="DS52" s="288"/>
      <c r="DT52" s="288"/>
      <c r="DU52" s="288"/>
      <c r="DV52" s="288"/>
      <c r="DW52" s="288"/>
      <c r="DX52" s="288"/>
    </row>
    <row r="53" ht="14.25" customHeight="1">
      <c r="A53" s="293"/>
      <c r="B53" s="293"/>
      <c r="C53" s="293"/>
      <c r="D53" s="293"/>
      <c r="E53" s="293"/>
      <c r="F53" s="293"/>
      <c r="G53" s="293"/>
      <c r="H53" s="293"/>
      <c r="I53" s="293"/>
      <c r="J53" s="293"/>
      <c r="K53" s="293"/>
      <c r="L53" s="293"/>
      <c r="M53" s="293"/>
      <c r="N53" s="293"/>
      <c r="O53" s="293"/>
      <c r="P53" s="293"/>
      <c r="Q53" s="293"/>
      <c r="R53" s="293"/>
      <c r="S53" s="293"/>
      <c r="T53" s="293"/>
      <c r="U53" s="293"/>
      <c r="V53" s="293"/>
      <c r="W53" s="293"/>
      <c r="X53" s="293"/>
      <c r="Y53" s="293"/>
      <c r="Z53" s="293"/>
      <c r="AA53" s="293"/>
      <c r="AB53" s="293"/>
      <c r="AC53" s="293"/>
      <c r="AD53" s="293"/>
      <c r="AE53" s="293"/>
      <c r="AF53" s="293"/>
      <c r="AG53" s="293"/>
      <c r="AH53" s="293"/>
      <c r="AI53" s="293"/>
      <c r="AJ53" s="293"/>
      <c r="AK53" s="293"/>
      <c r="AL53" s="293"/>
      <c r="AM53" s="293"/>
      <c r="AN53" s="293"/>
      <c r="AO53" s="293"/>
      <c r="AP53" s="293"/>
      <c r="AQ53" s="293"/>
      <c r="AR53" s="293"/>
      <c r="AS53" s="293"/>
      <c r="AT53" s="293"/>
      <c r="AU53" s="293"/>
      <c r="AV53" s="293"/>
      <c r="AW53" s="293"/>
      <c r="AX53" s="293"/>
      <c r="AY53" s="293"/>
      <c r="AZ53" s="293"/>
      <c r="BA53" s="293"/>
      <c r="BB53" s="293"/>
      <c r="BC53" s="293"/>
      <c r="BD53" s="293"/>
      <c r="BE53" s="293"/>
      <c r="BF53" s="293"/>
      <c r="BG53" s="293"/>
      <c r="BH53" s="293"/>
      <c r="BI53" s="293"/>
      <c r="BJ53" s="293"/>
      <c r="BK53" s="293"/>
      <c r="BL53" s="293"/>
      <c r="BM53" s="293"/>
      <c r="BN53" s="293"/>
      <c r="BO53" s="293"/>
      <c r="BP53" s="293"/>
      <c r="BQ53" s="293"/>
      <c r="BR53" s="293"/>
      <c r="BS53" s="293"/>
      <c r="BT53" s="293"/>
      <c r="BU53" s="293"/>
      <c r="BV53" s="293"/>
      <c r="BW53" s="293"/>
      <c r="BX53" s="293"/>
      <c r="BY53" s="293"/>
      <c r="BZ53" s="293"/>
      <c r="CA53" s="293"/>
      <c r="CB53" s="293"/>
      <c r="CC53" s="293"/>
      <c r="CD53" s="293"/>
      <c r="CE53" s="293"/>
      <c r="CF53" s="293"/>
      <c r="CG53" s="293"/>
      <c r="CH53" s="293"/>
      <c r="CI53" s="293"/>
      <c r="CJ53" s="293"/>
      <c r="CK53" s="293"/>
      <c r="CL53" s="293"/>
      <c r="CM53" s="293"/>
      <c r="CN53" s="293"/>
      <c r="CO53" s="293"/>
      <c r="CP53" s="293"/>
      <c r="CQ53" s="293"/>
      <c r="CR53" s="293"/>
      <c r="CS53" s="293"/>
      <c r="CT53" s="293"/>
      <c r="CU53" s="293"/>
      <c r="CV53" s="293"/>
      <c r="CW53" s="293"/>
      <c r="CX53" s="293"/>
      <c r="CY53" s="293"/>
      <c r="CZ53" s="293"/>
      <c r="DA53" s="293"/>
      <c r="DB53" s="293"/>
      <c r="DC53" s="293"/>
      <c r="DD53" s="293"/>
      <c r="DE53" s="293"/>
      <c r="DF53" s="293"/>
      <c r="DG53" s="288"/>
      <c r="DH53" s="288"/>
      <c r="DI53" s="288"/>
      <c r="DJ53" s="288"/>
      <c r="DK53" s="288"/>
      <c r="DL53" s="288"/>
      <c r="DM53" s="288"/>
      <c r="DN53" s="288"/>
      <c r="DO53" s="288"/>
      <c r="DP53" s="288"/>
      <c r="DQ53" s="288"/>
      <c r="DR53" s="288"/>
      <c r="DS53" s="288"/>
      <c r="DT53" s="288"/>
      <c r="DU53" s="288"/>
      <c r="DV53" s="288"/>
      <c r="DW53" s="288"/>
      <c r="DX53" s="288"/>
    </row>
    <row r="54" ht="14.25" customHeight="1">
      <c r="A54" s="293"/>
      <c r="B54" s="293"/>
      <c r="C54" s="293"/>
      <c r="D54" s="293"/>
      <c r="E54" s="293"/>
      <c r="F54" s="293"/>
      <c r="G54" s="293"/>
      <c r="H54" s="293"/>
      <c r="I54" s="293"/>
      <c r="J54" s="293"/>
      <c r="K54" s="293"/>
      <c r="L54" s="293"/>
      <c r="M54" s="293"/>
      <c r="N54" s="293"/>
      <c r="O54" s="293"/>
      <c r="P54" s="293"/>
      <c r="Q54" s="293"/>
      <c r="R54" s="293"/>
      <c r="S54" s="293"/>
      <c r="T54" s="293"/>
      <c r="U54" s="293"/>
      <c r="V54" s="293"/>
      <c r="W54" s="293"/>
      <c r="X54" s="293"/>
      <c r="Y54" s="293"/>
      <c r="Z54" s="293"/>
      <c r="AA54" s="293"/>
      <c r="AB54" s="293"/>
      <c r="AC54" s="293"/>
      <c r="AD54" s="293"/>
      <c r="AE54" s="293"/>
      <c r="AF54" s="293"/>
      <c r="AG54" s="293"/>
      <c r="AH54" s="293"/>
      <c r="AI54" s="293"/>
      <c r="AJ54" s="293"/>
      <c r="AK54" s="293"/>
      <c r="AL54" s="293"/>
      <c r="AM54" s="293"/>
      <c r="AN54" s="293"/>
      <c r="AO54" s="293"/>
      <c r="AP54" s="293"/>
      <c r="AQ54" s="293"/>
      <c r="AR54" s="293"/>
      <c r="AS54" s="293"/>
      <c r="AT54" s="293"/>
      <c r="AU54" s="293"/>
      <c r="AV54" s="293"/>
      <c r="AW54" s="293"/>
      <c r="AX54" s="293"/>
      <c r="AY54" s="293"/>
      <c r="AZ54" s="293"/>
      <c r="BA54" s="293"/>
      <c r="BB54" s="293"/>
      <c r="BC54" s="293"/>
      <c r="BD54" s="293"/>
      <c r="BE54" s="293"/>
      <c r="BF54" s="293"/>
      <c r="BG54" s="293"/>
      <c r="BH54" s="293"/>
      <c r="BI54" s="293"/>
      <c r="BJ54" s="293"/>
      <c r="BK54" s="293"/>
      <c r="BL54" s="293"/>
      <c r="BM54" s="293"/>
      <c r="BN54" s="293"/>
      <c r="BO54" s="293"/>
      <c r="BP54" s="293"/>
      <c r="BQ54" s="293"/>
      <c r="BR54" s="293"/>
      <c r="BS54" s="293"/>
      <c r="BT54" s="293"/>
      <c r="BU54" s="293"/>
      <c r="BV54" s="293"/>
      <c r="BW54" s="293"/>
      <c r="BX54" s="293"/>
      <c r="BY54" s="293"/>
      <c r="BZ54" s="293"/>
      <c r="CA54" s="293"/>
      <c r="CB54" s="293"/>
      <c r="CC54" s="293"/>
      <c r="CD54" s="293"/>
      <c r="CE54" s="293"/>
      <c r="CF54" s="293"/>
      <c r="CG54" s="293"/>
      <c r="CH54" s="293"/>
      <c r="CI54" s="293"/>
      <c r="CJ54" s="293"/>
      <c r="CK54" s="293"/>
      <c r="CL54" s="293"/>
      <c r="CM54" s="293"/>
      <c r="CN54" s="293"/>
      <c r="CO54" s="293"/>
      <c r="CP54" s="293"/>
      <c r="CQ54" s="293"/>
      <c r="CR54" s="293"/>
      <c r="CS54" s="293"/>
      <c r="CT54" s="293"/>
      <c r="CU54" s="293"/>
      <c r="CV54" s="293"/>
      <c r="CW54" s="293"/>
      <c r="CX54" s="293"/>
      <c r="CY54" s="293"/>
      <c r="CZ54" s="293"/>
      <c r="DA54" s="293"/>
      <c r="DB54" s="293"/>
      <c r="DC54" s="293"/>
      <c r="DD54" s="293"/>
      <c r="DE54" s="293"/>
      <c r="DF54" s="293"/>
      <c r="DG54" s="288"/>
      <c r="DH54" s="288"/>
      <c r="DI54" s="288"/>
      <c r="DJ54" s="288"/>
      <c r="DK54" s="288"/>
      <c r="DL54" s="288"/>
      <c r="DM54" s="288"/>
      <c r="DN54" s="288"/>
      <c r="DO54" s="288"/>
      <c r="DP54" s="288"/>
      <c r="DQ54" s="288"/>
      <c r="DR54" s="288"/>
      <c r="DS54" s="288"/>
      <c r="DT54" s="288"/>
      <c r="DU54" s="288"/>
      <c r="DV54" s="288"/>
      <c r="DW54" s="288"/>
      <c r="DX54" s="288"/>
    </row>
    <row r="55" ht="14.25" customHeight="1">
      <c r="A55" s="293"/>
      <c r="B55" s="293"/>
      <c r="C55" s="293"/>
      <c r="D55" s="293"/>
      <c r="E55" s="293"/>
      <c r="F55" s="293"/>
      <c r="G55" s="293"/>
      <c r="H55" s="293"/>
      <c r="I55" s="293"/>
      <c r="J55" s="293"/>
      <c r="K55" s="293"/>
      <c r="L55" s="293"/>
      <c r="M55" s="293"/>
      <c r="N55" s="293"/>
      <c r="O55" s="293"/>
      <c r="P55" s="293"/>
      <c r="Q55" s="293"/>
      <c r="R55" s="293"/>
      <c r="S55" s="293"/>
      <c r="T55" s="293"/>
      <c r="U55" s="293"/>
      <c r="V55" s="293"/>
      <c r="W55" s="293"/>
      <c r="X55" s="293"/>
      <c r="Y55" s="293"/>
      <c r="Z55" s="293"/>
      <c r="AA55" s="293"/>
      <c r="AB55" s="293"/>
      <c r="AC55" s="293"/>
      <c r="AD55" s="293"/>
      <c r="AE55" s="293"/>
      <c r="AF55" s="293"/>
      <c r="AG55" s="293"/>
      <c r="AH55" s="293"/>
      <c r="AI55" s="293"/>
      <c r="AJ55" s="293"/>
      <c r="AK55" s="293"/>
      <c r="AL55" s="293"/>
      <c r="AM55" s="293"/>
      <c r="AN55" s="293"/>
      <c r="AO55" s="293"/>
      <c r="AP55" s="293"/>
      <c r="AQ55" s="293"/>
      <c r="AR55" s="293"/>
      <c r="AS55" s="293"/>
      <c r="AT55" s="293"/>
      <c r="AU55" s="293"/>
      <c r="AV55" s="293"/>
      <c r="AW55" s="293"/>
      <c r="AX55" s="293"/>
      <c r="AY55" s="293"/>
      <c r="AZ55" s="293"/>
      <c r="BA55" s="293"/>
      <c r="BB55" s="293"/>
      <c r="BC55" s="293"/>
      <c r="BD55" s="293"/>
      <c r="BE55" s="293"/>
      <c r="BF55" s="293"/>
      <c r="BG55" s="293"/>
      <c r="BH55" s="293"/>
      <c r="BI55" s="293"/>
      <c r="BJ55" s="293"/>
      <c r="BK55" s="293"/>
      <c r="BL55" s="293"/>
      <c r="BM55" s="293"/>
      <c r="BN55" s="293"/>
      <c r="BO55" s="293"/>
      <c r="BP55" s="293"/>
      <c r="BQ55" s="293"/>
      <c r="BR55" s="293"/>
      <c r="BS55" s="293"/>
      <c r="BT55" s="293"/>
      <c r="BU55" s="293"/>
      <c r="BV55" s="293"/>
      <c r="BW55" s="293"/>
      <c r="BX55" s="293"/>
      <c r="BY55" s="293"/>
      <c r="BZ55" s="293"/>
      <c r="CA55" s="293"/>
      <c r="CB55" s="293"/>
      <c r="CC55" s="293"/>
      <c r="CD55" s="293"/>
      <c r="CE55" s="293"/>
      <c r="CF55" s="293"/>
      <c r="CG55" s="293"/>
      <c r="CH55" s="293"/>
      <c r="CI55" s="293"/>
      <c r="CJ55" s="293"/>
      <c r="CK55" s="293"/>
      <c r="CL55" s="293"/>
      <c r="CM55" s="293"/>
      <c r="CN55" s="293"/>
      <c r="CO55" s="293"/>
      <c r="CP55" s="293"/>
      <c r="CQ55" s="293"/>
      <c r="CR55" s="293"/>
      <c r="CS55" s="293"/>
      <c r="CT55" s="293"/>
      <c r="CU55" s="293"/>
      <c r="CV55" s="293"/>
      <c r="CW55" s="293"/>
      <c r="CX55" s="293"/>
      <c r="CY55" s="293"/>
      <c r="CZ55" s="293"/>
      <c r="DA55" s="293"/>
      <c r="DB55" s="293"/>
      <c r="DC55" s="293"/>
      <c r="DD55" s="293"/>
      <c r="DE55" s="293"/>
      <c r="DF55" s="293"/>
      <c r="DG55" s="288"/>
      <c r="DH55" s="288"/>
      <c r="DI55" s="288"/>
      <c r="DJ55" s="288"/>
      <c r="DK55" s="288"/>
      <c r="DL55" s="288"/>
      <c r="DM55" s="288"/>
      <c r="DN55" s="288"/>
      <c r="DO55" s="288"/>
      <c r="DP55" s="288"/>
      <c r="DQ55" s="288"/>
      <c r="DR55" s="288"/>
      <c r="DS55" s="288"/>
      <c r="DT55" s="288"/>
      <c r="DU55" s="288"/>
      <c r="DV55" s="288"/>
      <c r="DW55" s="288"/>
      <c r="DX55" s="288"/>
    </row>
    <row r="56" ht="14.25" customHeight="1">
      <c r="A56" s="293"/>
      <c r="B56" s="293"/>
      <c r="C56" s="293"/>
      <c r="D56" s="293"/>
      <c r="E56" s="293"/>
      <c r="F56" s="293"/>
      <c r="G56" s="293"/>
      <c r="H56" s="293"/>
      <c r="I56" s="293"/>
      <c r="J56" s="293"/>
      <c r="K56" s="293"/>
      <c r="L56" s="293"/>
      <c r="M56" s="293"/>
      <c r="N56" s="293"/>
      <c r="O56" s="293"/>
      <c r="P56" s="293"/>
      <c r="Q56" s="293"/>
      <c r="R56" s="293"/>
      <c r="S56" s="293"/>
      <c r="T56" s="293"/>
      <c r="U56" s="293"/>
      <c r="V56" s="293"/>
      <c r="W56" s="293"/>
      <c r="X56" s="293"/>
      <c r="Y56" s="293"/>
      <c r="Z56" s="293"/>
      <c r="AA56" s="293"/>
      <c r="AB56" s="293"/>
      <c r="AC56" s="293"/>
      <c r="AD56" s="293"/>
      <c r="AE56" s="293"/>
      <c r="AF56" s="293"/>
      <c r="AG56" s="293"/>
      <c r="AH56" s="293"/>
      <c r="AI56" s="293"/>
      <c r="AJ56" s="293"/>
      <c r="AK56" s="293"/>
      <c r="AL56" s="293"/>
      <c r="AM56" s="293"/>
      <c r="AN56" s="293"/>
      <c r="AO56" s="293"/>
      <c r="AP56" s="293"/>
      <c r="AQ56" s="293"/>
      <c r="AR56" s="293"/>
      <c r="AS56" s="293"/>
      <c r="AT56" s="293"/>
      <c r="AU56" s="293"/>
      <c r="AV56" s="293"/>
      <c r="AW56" s="293"/>
      <c r="AX56" s="293"/>
      <c r="AY56" s="293"/>
      <c r="AZ56" s="293"/>
      <c r="BA56" s="293"/>
      <c r="BB56" s="293"/>
      <c r="BC56" s="293"/>
      <c r="BD56" s="293"/>
      <c r="BE56" s="293"/>
      <c r="BF56" s="293"/>
      <c r="BG56" s="293"/>
      <c r="BH56" s="293"/>
      <c r="BI56" s="293"/>
      <c r="BJ56" s="293"/>
      <c r="BK56" s="293"/>
      <c r="BL56" s="293"/>
      <c r="BM56" s="293"/>
      <c r="BN56" s="293"/>
      <c r="BO56" s="293"/>
      <c r="BP56" s="293"/>
      <c r="BQ56" s="293"/>
      <c r="BR56" s="293"/>
      <c r="BS56" s="293"/>
      <c r="BT56" s="293"/>
      <c r="BU56" s="293"/>
      <c r="BV56" s="293"/>
      <c r="BW56" s="293"/>
      <c r="BX56" s="293"/>
      <c r="BY56" s="293"/>
      <c r="BZ56" s="293"/>
      <c r="CA56" s="293"/>
      <c r="CB56" s="293"/>
      <c r="CC56" s="293"/>
      <c r="CD56" s="293"/>
      <c r="CE56" s="293"/>
      <c r="CF56" s="293"/>
      <c r="CG56" s="293"/>
      <c r="CH56" s="293"/>
      <c r="CI56" s="293"/>
      <c r="CJ56" s="293"/>
      <c r="CK56" s="293"/>
      <c r="CL56" s="293"/>
      <c r="CM56" s="293"/>
      <c r="CN56" s="293"/>
      <c r="CO56" s="293"/>
      <c r="CP56" s="293"/>
      <c r="CQ56" s="293"/>
      <c r="CR56" s="293"/>
      <c r="CS56" s="293"/>
      <c r="CT56" s="293"/>
      <c r="CU56" s="293"/>
      <c r="CV56" s="293"/>
      <c r="CW56" s="293"/>
      <c r="CX56" s="293"/>
      <c r="CY56" s="293"/>
      <c r="CZ56" s="293"/>
      <c r="DA56" s="293"/>
      <c r="DB56" s="293"/>
      <c r="DC56" s="293"/>
      <c r="DD56" s="293"/>
      <c r="DE56" s="293"/>
      <c r="DF56" s="293"/>
      <c r="DG56" s="288"/>
      <c r="DH56" s="288"/>
      <c r="DI56" s="288"/>
      <c r="DJ56" s="288"/>
      <c r="DK56" s="288"/>
      <c r="DL56" s="288"/>
      <c r="DM56" s="288"/>
      <c r="DN56" s="288"/>
      <c r="DO56" s="288"/>
      <c r="DP56" s="288"/>
      <c r="DQ56" s="288"/>
      <c r="DR56" s="288"/>
      <c r="DS56" s="288"/>
      <c r="DT56" s="288"/>
      <c r="DU56" s="288"/>
      <c r="DV56" s="288"/>
      <c r="DW56" s="288"/>
      <c r="DX56" s="288"/>
    </row>
    <row r="57" ht="14.25" customHeight="1">
      <c r="A57" s="293"/>
      <c r="B57" s="293"/>
      <c r="C57" s="293"/>
      <c r="D57" s="293"/>
      <c r="E57" s="293"/>
      <c r="F57" s="293"/>
      <c r="G57" s="293"/>
      <c r="H57" s="293"/>
      <c r="I57" s="293"/>
      <c r="J57" s="293"/>
      <c r="K57" s="293"/>
      <c r="L57" s="293"/>
      <c r="M57" s="293"/>
      <c r="N57" s="293"/>
      <c r="O57" s="293"/>
      <c r="P57" s="293"/>
      <c r="Q57" s="293"/>
      <c r="R57" s="293"/>
      <c r="S57" s="293"/>
      <c r="T57" s="293"/>
      <c r="U57" s="293"/>
      <c r="V57" s="293"/>
      <c r="W57" s="293"/>
      <c r="X57" s="293"/>
      <c r="Y57" s="293"/>
      <c r="Z57" s="293"/>
      <c r="AA57" s="293"/>
      <c r="AB57" s="293"/>
      <c r="AC57" s="293"/>
      <c r="AD57" s="293"/>
      <c r="AE57" s="293"/>
      <c r="AF57" s="293"/>
      <c r="AG57" s="293"/>
      <c r="AH57" s="293"/>
      <c r="AI57" s="293"/>
      <c r="AJ57" s="293"/>
      <c r="AK57" s="293"/>
      <c r="AL57" s="293"/>
      <c r="AM57" s="293"/>
      <c r="AN57" s="293"/>
      <c r="AO57" s="293"/>
      <c r="AP57" s="293"/>
      <c r="AQ57" s="293"/>
      <c r="AR57" s="293"/>
      <c r="AS57" s="293"/>
      <c r="AT57" s="293"/>
      <c r="AU57" s="293"/>
      <c r="AV57" s="293"/>
      <c r="AW57" s="293"/>
      <c r="AX57" s="293"/>
      <c r="AY57" s="293"/>
      <c r="AZ57" s="293"/>
      <c r="BA57" s="293"/>
      <c r="BB57" s="293"/>
      <c r="BC57" s="293"/>
      <c r="BD57" s="293"/>
      <c r="BE57" s="293"/>
      <c r="BF57" s="293"/>
      <c r="BG57" s="293"/>
      <c r="BH57" s="293"/>
      <c r="BI57" s="293"/>
      <c r="BJ57" s="293"/>
      <c r="BK57" s="293"/>
      <c r="BL57" s="293"/>
      <c r="BM57" s="293"/>
      <c r="BN57" s="293"/>
      <c r="BO57" s="293"/>
      <c r="BP57" s="293"/>
      <c r="BQ57" s="293"/>
      <c r="BR57" s="293"/>
      <c r="BS57" s="293"/>
      <c r="BT57" s="293"/>
      <c r="BU57" s="293"/>
      <c r="BV57" s="293"/>
      <c r="BW57" s="293"/>
      <c r="BX57" s="293"/>
      <c r="BY57" s="293"/>
      <c r="BZ57" s="293"/>
      <c r="CA57" s="293"/>
      <c r="CB57" s="293"/>
      <c r="CC57" s="293"/>
      <c r="CD57" s="293"/>
      <c r="CE57" s="293"/>
      <c r="CF57" s="293"/>
      <c r="CG57" s="293"/>
      <c r="CH57" s="293"/>
      <c r="CI57" s="293"/>
      <c r="CJ57" s="293"/>
      <c r="CK57" s="293"/>
      <c r="CL57" s="293"/>
      <c r="CM57" s="293"/>
      <c r="CN57" s="293"/>
      <c r="CO57" s="293"/>
      <c r="CP57" s="293"/>
      <c r="CQ57" s="293"/>
      <c r="CR57" s="293"/>
      <c r="CS57" s="293"/>
      <c r="CT57" s="293"/>
      <c r="CU57" s="293"/>
      <c r="CV57" s="293"/>
      <c r="CW57" s="293"/>
      <c r="CX57" s="293"/>
      <c r="CY57" s="293"/>
      <c r="CZ57" s="293"/>
      <c r="DA57" s="293"/>
      <c r="DB57" s="293"/>
      <c r="DC57" s="293"/>
      <c r="DD57" s="293"/>
      <c r="DE57" s="293"/>
      <c r="DF57" s="293"/>
      <c r="DG57" s="288"/>
      <c r="DH57" s="288"/>
      <c r="DI57" s="288"/>
      <c r="DJ57" s="288"/>
      <c r="DK57" s="288"/>
      <c r="DL57" s="288"/>
      <c r="DM57" s="288"/>
      <c r="DN57" s="288"/>
      <c r="DO57" s="288"/>
      <c r="DP57" s="288"/>
      <c r="DQ57" s="288"/>
      <c r="DR57" s="288"/>
      <c r="DS57" s="288"/>
      <c r="DT57" s="288"/>
      <c r="DU57" s="288"/>
      <c r="DV57" s="288"/>
      <c r="DW57" s="288"/>
      <c r="DX57" s="288"/>
    </row>
    <row r="58" ht="14.25" customHeight="1">
      <c r="A58" s="293"/>
      <c r="B58" s="293"/>
      <c r="C58" s="293"/>
      <c r="D58" s="293"/>
      <c r="E58" s="293"/>
      <c r="F58" s="293"/>
      <c r="G58" s="293"/>
      <c r="H58" s="293"/>
      <c r="I58" s="293"/>
      <c r="J58" s="293"/>
      <c r="K58" s="293"/>
      <c r="L58" s="293"/>
      <c r="M58" s="293"/>
      <c r="N58" s="293"/>
      <c r="O58" s="293"/>
      <c r="P58" s="293"/>
      <c r="Q58" s="293"/>
      <c r="R58" s="293"/>
      <c r="S58" s="293"/>
      <c r="T58" s="293"/>
      <c r="U58" s="293"/>
      <c r="V58" s="293"/>
      <c r="W58" s="293"/>
      <c r="X58" s="293"/>
      <c r="Y58" s="293"/>
      <c r="Z58" s="293"/>
      <c r="AA58" s="293"/>
      <c r="AB58" s="293"/>
      <c r="AC58" s="293"/>
      <c r="AD58" s="293"/>
      <c r="AE58" s="293"/>
      <c r="AF58" s="293"/>
      <c r="AG58" s="293"/>
      <c r="AH58" s="293"/>
      <c r="AI58" s="293"/>
      <c r="AJ58" s="293"/>
      <c r="AK58" s="293"/>
      <c r="AL58" s="293"/>
      <c r="AM58" s="293"/>
      <c r="AN58" s="293"/>
      <c r="AO58" s="293"/>
      <c r="AP58" s="293"/>
      <c r="AQ58" s="293"/>
      <c r="AR58" s="293"/>
      <c r="AS58" s="293"/>
      <c r="AT58" s="293"/>
      <c r="AU58" s="293"/>
      <c r="AV58" s="293"/>
      <c r="AW58" s="293"/>
      <c r="AX58" s="293"/>
      <c r="AY58" s="293"/>
      <c r="AZ58" s="293"/>
      <c r="BA58" s="293"/>
      <c r="BB58" s="293"/>
      <c r="BC58" s="293"/>
      <c r="BD58" s="293"/>
      <c r="BE58" s="293"/>
      <c r="BF58" s="293"/>
      <c r="BG58" s="293"/>
      <c r="BH58" s="293"/>
      <c r="BI58" s="293"/>
      <c r="BJ58" s="293"/>
      <c r="BK58" s="293"/>
      <c r="BL58" s="293"/>
      <c r="BM58" s="293"/>
      <c r="BN58" s="293"/>
      <c r="BO58" s="293"/>
      <c r="BP58" s="293"/>
      <c r="BQ58" s="293"/>
      <c r="BR58" s="293"/>
      <c r="BS58" s="293"/>
      <c r="BT58" s="293"/>
      <c r="BU58" s="293"/>
      <c r="BV58" s="293"/>
      <c r="BW58" s="293"/>
      <c r="BX58" s="293"/>
      <c r="BY58" s="293"/>
      <c r="BZ58" s="293"/>
      <c r="CA58" s="293"/>
      <c r="CB58" s="293"/>
      <c r="CC58" s="293"/>
      <c r="CD58" s="293"/>
      <c r="CE58" s="293"/>
      <c r="CF58" s="293"/>
      <c r="CG58" s="293"/>
      <c r="CH58" s="293"/>
      <c r="CI58" s="293"/>
      <c r="CJ58" s="293"/>
      <c r="CK58" s="293"/>
      <c r="CL58" s="293"/>
      <c r="CM58" s="293"/>
      <c r="CN58" s="293"/>
      <c r="CO58" s="293"/>
      <c r="CP58" s="293"/>
      <c r="CQ58" s="293"/>
      <c r="CR58" s="293"/>
      <c r="CS58" s="293"/>
      <c r="CT58" s="293"/>
      <c r="CU58" s="293"/>
      <c r="CV58" s="293"/>
      <c r="CW58" s="293"/>
      <c r="CX58" s="293"/>
      <c r="CY58" s="293"/>
      <c r="CZ58" s="293"/>
      <c r="DA58" s="293"/>
      <c r="DB58" s="293"/>
      <c r="DC58" s="293"/>
      <c r="DD58" s="293"/>
      <c r="DE58" s="293"/>
      <c r="DF58" s="293"/>
      <c r="DG58" s="288"/>
      <c r="DH58" s="288"/>
      <c r="DI58" s="288"/>
      <c r="DJ58" s="288"/>
      <c r="DK58" s="288"/>
      <c r="DL58" s="288"/>
      <c r="DM58" s="288"/>
      <c r="DN58" s="288"/>
      <c r="DO58" s="288"/>
      <c r="DP58" s="288"/>
      <c r="DQ58" s="288"/>
      <c r="DR58" s="288"/>
      <c r="DS58" s="288"/>
      <c r="DT58" s="288"/>
      <c r="DU58" s="288"/>
      <c r="DV58" s="288"/>
      <c r="DW58" s="288"/>
      <c r="DX58" s="288"/>
    </row>
    <row r="59" ht="14.25" customHeight="1">
      <c r="A59" s="293"/>
      <c r="B59" s="293"/>
      <c r="C59" s="293"/>
      <c r="D59" s="293"/>
      <c r="E59" s="293"/>
      <c r="F59" s="293"/>
      <c r="G59" s="293"/>
      <c r="H59" s="293"/>
      <c r="I59" s="293"/>
      <c r="J59" s="293"/>
      <c r="K59" s="293"/>
      <c r="L59" s="293"/>
      <c r="M59" s="293"/>
      <c r="N59" s="293"/>
      <c r="O59" s="293"/>
      <c r="P59" s="293"/>
      <c r="Q59" s="293"/>
      <c r="R59" s="293"/>
      <c r="S59" s="293"/>
      <c r="T59" s="293"/>
      <c r="U59" s="293"/>
      <c r="V59" s="293"/>
      <c r="W59" s="293"/>
      <c r="X59" s="293"/>
      <c r="Y59" s="293"/>
      <c r="Z59" s="293"/>
      <c r="AA59" s="293"/>
      <c r="AB59" s="293"/>
      <c r="AC59" s="293"/>
      <c r="AD59" s="293"/>
      <c r="AE59" s="293"/>
      <c r="AF59" s="293"/>
      <c r="AG59" s="293"/>
      <c r="AH59" s="293"/>
      <c r="AI59" s="293"/>
      <c r="AJ59" s="293"/>
      <c r="AK59" s="293"/>
      <c r="AL59" s="293"/>
      <c r="AM59" s="293"/>
      <c r="AN59" s="293"/>
      <c r="AO59" s="293"/>
      <c r="AP59" s="293"/>
      <c r="AQ59" s="293"/>
      <c r="AR59" s="293"/>
      <c r="AS59" s="293"/>
      <c r="AT59" s="293"/>
      <c r="AU59" s="293"/>
      <c r="AV59" s="293"/>
      <c r="AW59" s="293"/>
      <c r="AX59" s="293"/>
      <c r="AY59" s="293"/>
      <c r="AZ59" s="293"/>
      <c r="BA59" s="293"/>
      <c r="BB59" s="293"/>
      <c r="BC59" s="293"/>
      <c r="BD59" s="293"/>
      <c r="BE59" s="293"/>
      <c r="BF59" s="293"/>
      <c r="BG59" s="293"/>
      <c r="BH59" s="293"/>
      <c r="BI59" s="293"/>
      <c r="BJ59" s="293"/>
      <c r="BK59" s="293"/>
      <c r="BL59" s="293"/>
      <c r="BM59" s="293"/>
      <c r="BN59" s="293"/>
      <c r="BO59" s="293"/>
      <c r="BP59" s="293"/>
      <c r="BQ59" s="293"/>
      <c r="BR59" s="293"/>
      <c r="BS59" s="293"/>
      <c r="BT59" s="293"/>
      <c r="BU59" s="293"/>
      <c r="BV59" s="293"/>
      <c r="BW59" s="293"/>
      <c r="BX59" s="293"/>
      <c r="BY59" s="293"/>
      <c r="BZ59" s="293"/>
      <c r="CA59" s="293"/>
      <c r="CB59" s="293"/>
      <c r="CC59" s="293"/>
      <c r="CD59" s="293"/>
      <c r="CE59" s="293"/>
      <c r="CF59" s="293"/>
      <c r="CG59" s="293"/>
      <c r="CH59" s="293"/>
      <c r="CI59" s="293"/>
      <c r="CJ59" s="293"/>
      <c r="CK59" s="293"/>
      <c r="CL59" s="293"/>
      <c r="CM59" s="293"/>
      <c r="CN59" s="293"/>
      <c r="CO59" s="293"/>
      <c r="CP59" s="293"/>
      <c r="CQ59" s="293"/>
      <c r="CR59" s="293"/>
      <c r="CS59" s="293"/>
      <c r="CT59" s="293"/>
      <c r="CU59" s="293"/>
      <c r="CV59" s="293"/>
      <c r="CW59" s="293"/>
      <c r="CX59" s="293"/>
      <c r="CY59" s="293"/>
      <c r="CZ59" s="293"/>
      <c r="DA59" s="293"/>
      <c r="DB59" s="293"/>
      <c r="DC59" s="293"/>
      <c r="DD59" s="293"/>
      <c r="DE59" s="293"/>
      <c r="DF59" s="293"/>
      <c r="DG59" s="288"/>
      <c r="DH59" s="288"/>
      <c r="DI59" s="288"/>
      <c r="DJ59" s="288"/>
      <c r="DK59" s="288"/>
      <c r="DL59" s="288"/>
      <c r="DM59" s="288"/>
      <c r="DN59" s="288"/>
      <c r="DO59" s="288"/>
      <c r="DP59" s="288"/>
      <c r="DQ59" s="288"/>
      <c r="DR59" s="288"/>
      <c r="DS59" s="288"/>
      <c r="DT59" s="288"/>
      <c r="DU59" s="288"/>
      <c r="DV59" s="288"/>
      <c r="DW59" s="288"/>
      <c r="DX59" s="288"/>
    </row>
    <row r="60" ht="14.25" customHeight="1">
      <c r="A60" s="293"/>
      <c r="B60" s="293"/>
      <c r="C60" s="293"/>
      <c r="D60" s="293"/>
      <c r="E60" s="293"/>
      <c r="F60" s="293"/>
      <c r="G60" s="293"/>
      <c r="H60" s="293"/>
      <c r="I60" s="293"/>
      <c r="J60" s="293"/>
      <c r="K60" s="293"/>
      <c r="L60" s="293"/>
      <c r="M60" s="293"/>
      <c r="N60" s="293"/>
      <c r="O60" s="293"/>
      <c r="P60" s="293"/>
      <c r="Q60" s="293"/>
      <c r="R60" s="293"/>
      <c r="S60" s="293"/>
      <c r="T60" s="293"/>
      <c r="U60" s="293"/>
      <c r="V60" s="293"/>
      <c r="W60" s="293"/>
      <c r="X60" s="293"/>
      <c r="Y60" s="293"/>
      <c r="Z60" s="293"/>
      <c r="AA60" s="293"/>
      <c r="AB60" s="293"/>
      <c r="AC60" s="293"/>
      <c r="AD60" s="293"/>
      <c r="AE60" s="293"/>
      <c r="AF60" s="293"/>
      <c r="AG60" s="293"/>
      <c r="AH60" s="293"/>
      <c r="AI60" s="293"/>
      <c r="AJ60" s="293"/>
      <c r="AK60" s="293"/>
      <c r="AL60" s="293"/>
      <c r="AM60" s="293"/>
      <c r="AN60" s="293"/>
      <c r="AO60" s="293"/>
      <c r="AP60" s="293"/>
      <c r="AQ60" s="293"/>
      <c r="AR60" s="293"/>
      <c r="AS60" s="293"/>
      <c r="AT60" s="293"/>
      <c r="AU60" s="293"/>
      <c r="AV60" s="293"/>
      <c r="AW60" s="293"/>
      <c r="AX60" s="293"/>
      <c r="AY60" s="293"/>
      <c r="AZ60" s="293"/>
      <c r="BA60" s="293"/>
      <c r="BB60" s="293"/>
      <c r="BC60" s="293"/>
      <c r="BD60" s="293"/>
      <c r="BE60" s="293"/>
      <c r="BF60" s="293"/>
      <c r="BG60" s="293"/>
      <c r="BH60" s="293"/>
      <c r="BI60" s="293"/>
      <c r="BJ60" s="293"/>
      <c r="BK60" s="293"/>
      <c r="BL60" s="293"/>
      <c r="BM60" s="293"/>
      <c r="BN60" s="293"/>
      <c r="BO60" s="293"/>
      <c r="BP60" s="293"/>
      <c r="BQ60" s="293"/>
      <c r="BR60" s="293"/>
      <c r="BS60" s="293"/>
      <c r="BT60" s="293"/>
      <c r="BU60" s="293"/>
      <c r="BV60" s="293"/>
      <c r="BW60" s="293"/>
      <c r="BX60" s="293"/>
      <c r="BY60" s="293"/>
      <c r="BZ60" s="293"/>
      <c r="CA60" s="293"/>
      <c r="CB60" s="293"/>
      <c r="CC60" s="293"/>
      <c r="CD60" s="293"/>
      <c r="CE60" s="293"/>
      <c r="CF60" s="293"/>
      <c r="CG60" s="293"/>
      <c r="CH60" s="293"/>
      <c r="CI60" s="293"/>
      <c r="CJ60" s="293"/>
      <c r="CK60" s="293"/>
      <c r="CL60" s="293"/>
      <c r="CM60" s="293"/>
      <c r="CN60" s="293"/>
      <c r="CO60" s="293"/>
      <c r="CP60" s="293"/>
      <c r="CQ60" s="293"/>
      <c r="CR60" s="293"/>
      <c r="CS60" s="293"/>
      <c r="CT60" s="293"/>
      <c r="CU60" s="293"/>
      <c r="CV60" s="293"/>
      <c r="CW60" s="293"/>
      <c r="CX60" s="293"/>
      <c r="CY60" s="293"/>
      <c r="CZ60" s="293"/>
      <c r="DA60" s="293"/>
      <c r="DB60" s="293"/>
      <c r="DC60" s="293"/>
      <c r="DD60" s="293"/>
      <c r="DE60" s="293"/>
      <c r="DF60" s="293"/>
      <c r="DG60" s="288"/>
      <c r="DH60" s="288"/>
      <c r="DI60" s="288"/>
      <c r="DJ60" s="288"/>
      <c r="DK60" s="288"/>
      <c r="DL60" s="288"/>
      <c r="DM60" s="288"/>
      <c r="DN60" s="288"/>
      <c r="DO60" s="288"/>
      <c r="DP60" s="288"/>
      <c r="DQ60" s="288"/>
      <c r="DR60" s="288"/>
      <c r="DS60" s="288"/>
      <c r="DT60" s="288"/>
      <c r="DU60" s="288"/>
      <c r="DV60" s="288"/>
      <c r="DW60" s="288"/>
      <c r="DX60" s="288"/>
    </row>
    <row r="61" ht="14.25" customHeight="1">
      <c r="A61" s="293"/>
      <c r="B61" s="293"/>
      <c r="C61" s="293"/>
      <c r="D61" s="293"/>
      <c r="E61" s="293"/>
      <c r="F61" s="293"/>
      <c r="G61" s="293"/>
      <c r="H61" s="293"/>
      <c r="I61" s="293"/>
      <c r="J61" s="293"/>
      <c r="K61" s="293"/>
      <c r="L61" s="293"/>
      <c r="M61" s="293"/>
      <c r="N61" s="293"/>
      <c r="O61" s="293"/>
      <c r="P61" s="293"/>
      <c r="Q61" s="293"/>
      <c r="R61" s="293"/>
      <c r="S61" s="293"/>
      <c r="T61" s="293"/>
      <c r="U61" s="293"/>
      <c r="V61" s="293"/>
      <c r="W61" s="293"/>
      <c r="X61" s="293"/>
      <c r="Y61" s="293"/>
      <c r="Z61" s="293"/>
      <c r="AA61" s="293"/>
      <c r="AB61" s="293"/>
      <c r="AC61" s="293"/>
      <c r="AD61" s="293"/>
      <c r="AE61" s="293"/>
      <c r="AF61" s="293"/>
      <c r="AG61" s="293"/>
      <c r="AH61" s="293"/>
      <c r="AI61" s="293"/>
      <c r="AJ61" s="293"/>
      <c r="AK61" s="293"/>
      <c r="AL61" s="293"/>
      <c r="AM61" s="293"/>
      <c r="AN61" s="293"/>
      <c r="AO61" s="293"/>
      <c r="AP61" s="293"/>
      <c r="AQ61" s="293"/>
      <c r="AR61" s="293"/>
      <c r="AS61" s="293"/>
      <c r="AT61" s="293"/>
      <c r="AU61" s="293"/>
      <c r="AV61" s="293"/>
      <c r="AW61" s="293"/>
      <c r="AX61" s="293"/>
      <c r="AY61" s="293"/>
      <c r="AZ61" s="293"/>
      <c r="BA61" s="293"/>
      <c r="BB61" s="293"/>
      <c r="BC61" s="293"/>
      <c r="BD61" s="293"/>
      <c r="BE61" s="293"/>
      <c r="BF61" s="293"/>
      <c r="BG61" s="293"/>
      <c r="BH61" s="293"/>
      <c r="BI61" s="293"/>
      <c r="BJ61" s="293"/>
      <c r="BK61" s="293"/>
      <c r="BL61" s="293"/>
      <c r="BM61" s="293"/>
      <c r="BN61" s="293"/>
      <c r="BO61" s="293"/>
      <c r="BP61" s="293"/>
      <c r="BQ61" s="293"/>
      <c r="BR61" s="293"/>
      <c r="BS61" s="293"/>
      <c r="BT61" s="293"/>
      <c r="BU61" s="293"/>
      <c r="BV61" s="293"/>
      <c r="BW61" s="293"/>
      <c r="BX61" s="293"/>
      <c r="BY61" s="293"/>
      <c r="BZ61" s="293"/>
      <c r="CA61" s="293"/>
      <c r="CB61" s="293"/>
      <c r="CC61" s="293"/>
      <c r="CD61" s="293"/>
      <c r="CE61" s="293"/>
      <c r="CF61" s="293"/>
      <c r="CG61" s="293"/>
      <c r="CH61" s="293"/>
      <c r="CI61" s="293"/>
      <c r="CJ61" s="293"/>
      <c r="CK61" s="293"/>
      <c r="CL61" s="293"/>
      <c r="CM61" s="293"/>
      <c r="CN61" s="293"/>
      <c r="CO61" s="293"/>
      <c r="CP61" s="293"/>
      <c r="CQ61" s="293"/>
      <c r="CR61" s="293"/>
      <c r="CS61" s="293"/>
      <c r="CT61" s="293"/>
      <c r="CU61" s="293"/>
      <c r="CV61" s="293"/>
      <c r="CW61" s="293"/>
      <c r="CX61" s="293"/>
      <c r="CY61" s="293"/>
      <c r="CZ61" s="293"/>
      <c r="DA61" s="293"/>
      <c r="DB61" s="293"/>
      <c r="DC61" s="293"/>
      <c r="DD61" s="293"/>
      <c r="DE61" s="293"/>
      <c r="DF61" s="293"/>
      <c r="DG61" s="288"/>
      <c r="DH61" s="288"/>
      <c r="DI61" s="288"/>
      <c r="DJ61" s="288"/>
      <c r="DK61" s="288"/>
      <c r="DL61" s="288"/>
      <c r="DM61" s="288"/>
      <c r="DN61" s="288"/>
      <c r="DO61" s="288"/>
      <c r="DP61" s="288"/>
      <c r="DQ61" s="288"/>
      <c r="DR61" s="288"/>
      <c r="DS61" s="288"/>
      <c r="DT61" s="288"/>
      <c r="DU61" s="288"/>
      <c r="DV61" s="288"/>
      <c r="DW61" s="288"/>
      <c r="DX61" s="288"/>
    </row>
    <row r="62" ht="14.25" customHeight="1">
      <c r="A62" s="293"/>
      <c r="B62" s="293"/>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3"/>
      <c r="AC62" s="293"/>
      <c r="AD62" s="293"/>
      <c r="AE62" s="293"/>
      <c r="AF62" s="293"/>
      <c r="AG62" s="293"/>
      <c r="AH62" s="293"/>
      <c r="AI62" s="293"/>
      <c r="AJ62" s="293"/>
      <c r="AK62" s="293"/>
      <c r="AL62" s="293"/>
      <c r="AM62" s="293"/>
      <c r="AN62" s="293"/>
      <c r="AO62" s="293"/>
      <c r="AP62" s="293"/>
      <c r="AQ62" s="293"/>
      <c r="AR62" s="293"/>
      <c r="AS62" s="293"/>
      <c r="AT62" s="293"/>
      <c r="AU62" s="293"/>
      <c r="AV62" s="293"/>
      <c r="AW62" s="293"/>
      <c r="AX62" s="293"/>
      <c r="AY62" s="293"/>
      <c r="AZ62" s="293"/>
      <c r="BA62" s="293"/>
      <c r="BB62" s="293"/>
      <c r="BC62" s="293"/>
      <c r="BD62" s="293"/>
      <c r="BE62" s="293"/>
      <c r="BF62" s="293"/>
      <c r="BG62" s="293"/>
      <c r="BH62" s="293"/>
      <c r="BI62" s="293"/>
      <c r="BJ62" s="293"/>
      <c r="BK62" s="293"/>
      <c r="BL62" s="293"/>
      <c r="BM62" s="293"/>
      <c r="BN62" s="293"/>
      <c r="BO62" s="293"/>
      <c r="BP62" s="293"/>
      <c r="BQ62" s="293"/>
      <c r="BR62" s="293"/>
      <c r="BS62" s="293"/>
      <c r="BT62" s="293"/>
      <c r="BU62" s="293"/>
      <c r="BV62" s="293"/>
      <c r="BW62" s="293"/>
      <c r="BX62" s="293"/>
      <c r="BY62" s="293"/>
      <c r="BZ62" s="293"/>
      <c r="CA62" s="293"/>
      <c r="CB62" s="293"/>
      <c r="CC62" s="293"/>
      <c r="CD62" s="293"/>
      <c r="CE62" s="293"/>
      <c r="CF62" s="293"/>
      <c r="CG62" s="293"/>
      <c r="CH62" s="293"/>
      <c r="CI62" s="293"/>
      <c r="CJ62" s="293"/>
      <c r="CK62" s="293"/>
      <c r="CL62" s="293"/>
      <c r="CM62" s="293"/>
      <c r="CN62" s="293"/>
      <c r="CO62" s="293"/>
      <c r="CP62" s="293"/>
      <c r="CQ62" s="293"/>
      <c r="CR62" s="293"/>
      <c r="CS62" s="293"/>
      <c r="CT62" s="293"/>
      <c r="CU62" s="293"/>
      <c r="CV62" s="293"/>
      <c r="CW62" s="293"/>
      <c r="CX62" s="293"/>
      <c r="CY62" s="293"/>
      <c r="CZ62" s="293"/>
      <c r="DA62" s="293"/>
      <c r="DB62" s="293"/>
      <c r="DC62" s="293"/>
      <c r="DD62" s="293"/>
      <c r="DE62" s="293"/>
      <c r="DF62" s="293"/>
      <c r="DG62" s="288"/>
      <c r="DH62" s="288"/>
      <c r="DI62" s="288"/>
      <c r="DJ62" s="288"/>
      <c r="DK62" s="288"/>
      <c r="DL62" s="288"/>
      <c r="DM62" s="288"/>
      <c r="DN62" s="288"/>
      <c r="DO62" s="288"/>
      <c r="DP62" s="288"/>
      <c r="DQ62" s="288"/>
      <c r="DR62" s="288"/>
      <c r="DS62" s="288"/>
      <c r="DT62" s="288"/>
      <c r="DU62" s="288"/>
      <c r="DV62" s="288"/>
      <c r="DW62" s="288"/>
      <c r="DX62" s="288"/>
    </row>
    <row r="63" ht="14.25" customHeight="1">
      <c r="A63" s="293"/>
      <c r="B63" s="293"/>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3"/>
      <c r="AC63" s="293"/>
      <c r="AD63" s="293"/>
      <c r="AE63" s="293"/>
      <c r="AF63" s="293"/>
      <c r="AG63" s="293"/>
      <c r="AH63" s="293"/>
      <c r="AI63" s="293"/>
      <c r="AJ63" s="293"/>
      <c r="AK63" s="293"/>
      <c r="AL63" s="293"/>
      <c r="AM63" s="293"/>
      <c r="AN63" s="293"/>
      <c r="AO63" s="293"/>
      <c r="AP63" s="293"/>
      <c r="AQ63" s="293"/>
      <c r="AR63" s="293"/>
      <c r="AS63" s="293"/>
      <c r="AT63" s="293"/>
      <c r="AU63" s="293"/>
      <c r="AV63" s="293"/>
      <c r="AW63" s="293"/>
      <c r="AX63" s="293"/>
      <c r="AY63" s="293"/>
      <c r="AZ63" s="293"/>
      <c r="BA63" s="293"/>
      <c r="BB63" s="293"/>
      <c r="BC63" s="293"/>
      <c r="BD63" s="293"/>
      <c r="BE63" s="293"/>
      <c r="BF63" s="293"/>
      <c r="BG63" s="293"/>
      <c r="BH63" s="293"/>
      <c r="BI63" s="293"/>
      <c r="BJ63" s="293"/>
      <c r="BK63" s="293"/>
      <c r="BL63" s="293"/>
      <c r="BM63" s="293"/>
      <c r="BN63" s="293"/>
      <c r="BO63" s="293"/>
      <c r="BP63" s="293"/>
      <c r="BQ63" s="293"/>
      <c r="BR63" s="293"/>
      <c r="BS63" s="293"/>
      <c r="BT63" s="293"/>
      <c r="BU63" s="293"/>
      <c r="BV63" s="293"/>
      <c r="BW63" s="293"/>
      <c r="BX63" s="293"/>
      <c r="BY63" s="293"/>
      <c r="BZ63" s="293"/>
      <c r="CA63" s="293"/>
      <c r="CB63" s="293"/>
      <c r="CC63" s="293"/>
      <c r="CD63" s="293"/>
      <c r="CE63" s="293"/>
      <c r="CF63" s="293"/>
      <c r="CG63" s="293"/>
      <c r="CH63" s="293"/>
      <c r="CI63" s="293"/>
      <c r="CJ63" s="293"/>
      <c r="CK63" s="293"/>
      <c r="CL63" s="293"/>
      <c r="CM63" s="293"/>
      <c r="CN63" s="293"/>
      <c r="CO63" s="293"/>
      <c r="CP63" s="293"/>
      <c r="CQ63" s="293"/>
      <c r="CR63" s="293"/>
      <c r="CS63" s="293"/>
      <c r="CT63" s="293"/>
      <c r="CU63" s="293"/>
      <c r="CV63" s="293"/>
      <c r="CW63" s="293"/>
      <c r="CX63" s="293"/>
      <c r="CY63" s="293"/>
      <c r="CZ63" s="293"/>
      <c r="DA63" s="293"/>
      <c r="DB63" s="293"/>
      <c r="DC63" s="293"/>
      <c r="DD63" s="293"/>
      <c r="DE63" s="293"/>
      <c r="DF63" s="293"/>
      <c r="DG63" s="288"/>
      <c r="DH63" s="288"/>
      <c r="DI63" s="288"/>
      <c r="DJ63" s="288"/>
      <c r="DK63" s="288"/>
      <c r="DL63" s="288"/>
      <c r="DM63" s="288"/>
      <c r="DN63" s="288"/>
      <c r="DO63" s="288"/>
      <c r="DP63" s="288"/>
      <c r="DQ63" s="288"/>
      <c r="DR63" s="288"/>
      <c r="DS63" s="288"/>
      <c r="DT63" s="288"/>
      <c r="DU63" s="288"/>
      <c r="DV63" s="288"/>
      <c r="DW63" s="288"/>
      <c r="DX63" s="288"/>
    </row>
    <row r="64" ht="14.25" customHeight="1">
      <c r="A64" s="293"/>
      <c r="B64" s="293"/>
      <c r="C64" s="293"/>
      <c r="D64" s="293"/>
      <c r="E64" s="293"/>
      <c r="F64" s="293"/>
      <c r="G64" s="293"/>
      <c r="H64" s="293"/>
      <c r="I64" s="293"/>
      <c r="J64" s="293"/>
      <c r="K64" s="293"/>
      <c r="L64" s="293"/>
      <c r="M64" s="293"/>
      <c r="N64" s="293"/>
      <c r="O64" s="293"/>
      <c r="P64" s="293"/>
      <c r="Q64" s="293"/>
      <c r="R64" s="293"/>
      <c r="S64" s="293"/>
      <c r="T64" s="293"/>
      <c r="U64" s="293"/>
      <c r="V64" s="293"/>
      <c r="W64" s="293"/>
      <c r="X64" s="293"/>
      <c r="Y64" s="293"/>
      <c r="Z64" s="293"/>
      <c r="AA64" s="293"/>
      <c r="AB64" s="293"/>
      <c r="AC64" s="293"/>
      <c r="AD64" s="293"/>
      <c r="AE64" s="293"/>
      <c r="AF64" s="293"/>
      <c r="AG64" s="293"/>
      <c r="AH64" s="293"/>
      <c r="AI64" s="293"/>
      <c r="AJ64" s="293"/>
      <c r="AK64" s="293"/>
      <c r="AL64" s="293"/>
      <c r="AM64" s="293"/>
      <c r="AN64" s="293"/>
      <c r="AO64" s="293"/>
      <c r="AP64" s="293"/>
      <c r="AQ64" s="293"/>
      <c r="AR64" s="293"/>
      <c r="AS64" s="293"/>
      <c r="AT64" s="293"/>
      <c r="AU64" s="293"/>
      <c r="AV64" s="293"/>
      <c r="AW64" s="293"/>
      <c r="AX64" s="293"/>
      <c r="AY64" s="293"/>
      <c r="AZ64" s="293"/>
      <c r="BA64" s="293"/>
      <c r="BB64" s="293"/>
      <c r="BC64" s="293"/>
      <c r="BD64" s="293"/>
      <c r="BE64" s="293"/>
      <c r="BF64" s="293"/>
      <c r="BG64" s="293"/>
      <c r="BH64" s="293"/>
      <c r="BI64" s="293"/>
      <c r="BJ64" s="293"/>
      <c r="BK64" s="293"/>
      <c r="BL64" s="293"/>
      <c r="BM64" s="293"/>
      <c r="BN64" s="293"/>
      <c r="BO64" s="293"/>
      <c r="BP64" s="293"/>
      <c r="BQ64" s="293"/>
      <c r="BR64" s="293"/>
      <c r="BS64" s="293"/>
      <c r="BT64" s="293"/>
      <c r="BU64" s="293"/>
      <c r="BV64" s="293"/>
      <c r="BW64" s="293"/>
      <c r="BX64" s="293"/>
      <c r="BY64" s="293"/>
      <c r="BZ64" s="293"/>
      <c r="CA64" s="293"/>
      <c r="CB64" s="293"/>
      <c r="CC64" s="293"/>
      <c r="CD64" s="293"/>
      <c r="CE64" s="293"/>
      <c r="CF64" s="293"/>
      <c r="CG64" s="293"/>
      <c r="CH64" s="293"/>
      <c r="CI64" s="293"/>
      <c r="CJ64" s="293"/>
      <c r="CK64" s="293"/>
      <c r="CL64" s="293"/>
      <c r="CM64" s="293"/>
      <c r="CN64" s="293"/>
      <c r="CO64" s="293"/>
      <c r="CP64" s="293"/>
      <c r="CQ64" s="293"/>
      <c r="CR64" s="293"/>
      <c r="CS64" s="293"/>
      <c r="CT64" s="293"/>
      <c r="CU64" s="293"/>
      <c r="CV64" s="293"/>
      <c r="CW64" s="293"/>
      <c r="CX64" s="293"/>
      <c r="CY64" s="293"/>
      <c r="CZ64" s="293"/>
      <c r="DA64" s="293"/>
      <c r="DB64" s="293"/>
      <c r="DC64" s="293"/>
      <c r="DD64" s="293"/>
      <c r="DE64" s="293"/>
      <c r="DF64" s="293"/>
      <c r="DG64" s="288"/>
      <c r="DH64" s="288"/>
      <c r="DI64" s="288"/>
      <c r="DJ64" s="288"/>
      <c r="DK64" s="288"/>
      <c r="DL64" s="288"/>
      <c r="DM64" s="288"/>
      <c r="DN64" s="288"/>
      <c r="DO64" s="288"/>
      <c r="DP64" s="288"/>
      <c r="DQ64" s="288"/>
      <c r="DR64" s="288"/>
      <c r="DS64" s="288"/>
      <c r="DT64" s="288"/>
      <c r="DU64" s="288"/>
      <c r="DV64" s="288"/>
      <c r="DW64" s="288"/>
      <c r="DX64" s="288"/>
    </row>
    <row r="65" ht="14.25" customHeight="1">
      <c r="A65" s="293"/>
      <c r="B65" s="293"/>
      <c r="C65" s="293"/>
      <c r="D65" s="293"/>
      <c r="E65" s="293"/>
      <c r="F65" s="293"/>
      <c r="G65" s="293"/>
      <c r="H65" s="293"/>
      <c r="I65" s="293"/>
      <c r="J65" s="293"/>
      <c r="K65" s="293"/>
      <c r="L65" s="293"/>
      <c r="M65" s="293"/>
      <c r="N65" s="293"/>
      <c r="O65" s="293"/>
      <c r="P65" s="293"/>
      <c r="Q65" s="293"/>
      <c r="R65" s="293"/>
      <c r="S65" s="293"/>
      <c r="T65" s="293"/>
      <c r="U65" s="293"/>
      <c r="V65" s="293"/>
      <c r="W65" s="293"/>
      <c r="X65" s="293"/>
      <c r="Y65" s="293"/>
      <c r="Z65" s="293"/>
      <c r="AA65" s="293"/>
      <c r="AB65" s="293"/>
      <c r="AC65" s="293"/>
      <c r="AD65" s="293"/>
      <c r="AE65" s="293"/>
      <c r="AF65" s="293"/>
      <c r="AG65" s="293"/>
      <c r="AH65" s="293"/>
      <c r="AI65" s="293"/>
      <c r="AJ65" s="293"/>
      <c r="AK65" s="293"/>
      <c r="AL65" s="293"/>
      <c r="AM65" s="293"/>
      <c r="AN65" s="293"/>
      <c r="AO65" s="293"/>
      <c r="AP65" s="293"/>
      <c r="AQ65" s="293"/>
      <c r="AR65" s="293"/>
      <c r="AS65" s="293"/>
      <c r="AT65" s="293"/>
      <c r="AU65" s="293"/>
      <c r="AV65" s="293"/>
      <c r="AW65" s="293"/>
      <c r="AX65" s="293"/>
      <c r="AY65" s="293"/>
      <c r="AZ65" s="293"/>
      <c r="BA65" s="293"/>
      <c r="BB65" s="293"/>
      <c r="BC65" s="293"/>
      <c r="BD65" s="293"/>
      <c r="BE65" s="293"/>
      <c r="BF65" s="293"/>
      <c r="BG65" s="293"/>
      <c r="BH65" s="293"/>
      <c r="BI65" s="293"/>
      <c r="BJ65" s="293"/>
      <c r="BK65" s="293"/>
      <c r="BL65" s="293"/>
      <c r="BM65" s="293"/>
      <c r="BN65" s="293"/>
      <c r="BO65" s="293"/>
      <c r="BP65" s="293"/>
      <c r="BQ65" s="293"/>
      <c r="BR65" s="293"/>
      <c r="BS65" s="293"/>
      <c r="BT65" s="293"/>
      <c r="BU65" s="293"/>
      <c r="BV65" s="293"/>
      <c r="BW65" s="293"/>
      <c r="BX65" s="293"/>
      <c r="BY65" s="293"/>
      <c r="BZ65" s="293"/>
      <c r="CA65" s="293"/>
      <c r="CB65" s="293"/>
      <c r="CC65" s="293"/>
      <c r="CD65" s="293"/>
      <c r="CE65" s="293"/>
      <c r="CF65" s="293"/>
      <c r="CG65" s="293"/>
      <c r="CH65" s="293"/>
      <c r="CI65" s="293"/>
      <c r="CJ65" s="293"/>
      <c r="CK65" s="293"/>
      <c r="CL65" s="293"/>
      <c r="CM65" s="293"/>
      <c r="CN65" s="293"/>
      <c r="CO65" s="293"/>
      <c r="CP65" s="293"/>
      <c r="CQ65" s="293"/>
      <c r="CR65" s="293"/>
      <c r="CS65" s="293"/>
      <c r="CT65" s="293"/>
      <c r="CU65" s="293"/>
      <c r="CV65" s="293"/>
      <c r="CW65" s="293"/>
      <c r="CX65" s="293"/>
      <c r="CY65" s="293"/>
      <c r="CZ65" s="293"/>
      <c r="DA65" s="293"/>
      <c r="DB65" s="293"/>
      <c r="DC65" s="293"/>
      <c r="DD65" s="293"/>
      <c r="DE65" s="293"/>
      <c r="DF65" s="293"/>
      <c r="DG65" s="288"/>
      <c r="DH65" s="288"/>
      <c r="DI65" s="288"/>
      <c r="DJ65" s="288"/>
      <c r="DK65" s="288"/>
      <c r="DL65" s="288"/>
      <c r="DM65" s="288"/>
      <c r="DN65" s="288"/>
      <c r="DO65" s="288"/>
      <c r="DP65" s="288"/>
      <c r="DQ65" s="288"/>
      <c r="DR65" s="288"/>
      <c r="DS65" s="288"/>
      <c r="DT65" s="288"/>
      <c r="DU65" s="288"/>
      <c r="DV65" s="288"/>
      <c r="DW65" s="288"/>
      <c r="DX65" s="288"/>
    </row>
    <row r="66" ht="14.25" customHeight="1">
      <c r="A66" s="293"/>
      <c r="B66" s="293"/>
      <c r="C66" s="293"/>
      <c r="D66" s="293"/>
      <c r="E66" s="293"/>
      <c r="F66" s="293"/>
      <c r="G66" s="293"/>
      <c r="H66" s="293"/>
      <c r="I66" s="293"/>
      <c r="J66" s="293"/>
      <c r="K66" s="293"/>
      <c r="L66" s="293"/>
      <c r="M66" s="293"/>
      <c r="N66" s="293"/>
      <c r="O66" s="293"/>
      <c r="P66" s="293"/>
      <c r="Q66" s="293"/>
      <c r="R66" s="293"/>
      <c r="S66" s="293"/>
      <c r="T66" s="293"/>
      <c r="U66" s="293"/>
      <c r="V66" s="293"/>
      <c r="W66" s="293"/>
      <c r="X66" s="293"/>
      <c r="Y66" s="293"/>
      <c r="Z66" s="293"/>
      <c r="AA66" s="293"/>
      <c r="AB66" s="293"/>
      <c r="AC66" s="293"/>
      <c r="AD66" s="293"/>
      <c r="AE66" s="293"/>
      <c r="AF66" s="293"/>
      <c r="AG66" s="293"/>
      <c r="AH66" s="293"/>
      <c r="AI66" s="293"/>
      <c r="AJ66" s="293"/>
      <c r="AK66" s="293"/>
      <c r="AL66" s="293"/>
      <c r="AM66" s="293"/>
      <c r="AN66" s="293"/>
      <c r="AO66" s="293"/>
      <c r="AP66" s="293"/>
      <c r="AQ66" s="293"/>
      <c r="AR66" s="293"/>
      <c r="AS66" s="293"/>
      <c r="AT66" s="293"/>
      <c r="AU66" s="293"/>
      <c r="AV66" s="293"/>
      <c r="AW66" s="293"/>
      <c r="AX66" s="293"/>
      <c r="AY66" s="293"/>
      <c r="AZ66" s="293"/>
      <c r="BA66" s="293"/>
      <c r="BB66" s="293"/>
      <c r="BC66" s="293"/>
      <c r="BD66" s="293"/>
      <c r="BE66" s="293"/>
      <c r="BF66" s="293"/>
      <c r="BG66" s="293"/>
      <c r="BH66" s="293"/>
      <c r="BI66" s="293"/>
      <c r="BJ66" s="293"/>
      <c r="BK66" s="293"/>
      <c r="BL66" s="293"/>
      <c r="BM66" s="293"/>
      <c r="BN66" s="293"/>
      <c r="BO66" s="293"/>
      <c r="BP66" s="293"/>
      <c r="BQ66" s="293"/>
      <c r="BR66" s="293"/>
      <c r="BS66" s="293"/>
      <c r="BT66" s="293"/>
      <c r="BU66" s="293"/>
      <c r="BV66" s="293"/>
      <c r="BW66" s="293"/>
      <c r="BX66" s="293"/>
      <c r="BY66" s="293"/>
      <c r="BZ66" s="293"/>
      <c r="CA66" s="293"/>
      <c r="CB66" s="293"/>
      <c r="CC66" s="293"/>
      <c r="CD66" s="293"/>
      <c r="CE66" s="293"/>
      <c r="CF66" s="293"/>
      <c r="CG66" s="293"/>
      <c r="CH66" s="293"/>
      <c r="CI66" s="293"/>
      <c r="CJ66" s="293"/>
      <c r="CK66" s="293"/>
      <c r="CL66" s="293"/>
      <c r="CM66" s="293"/>
      <c r="CN66" s="293"/>
      <c r="CO66" s="293"/>
      <c r="CP66" s="293"/>
      <c r="CQ66" s="293"/>
      <c r="CR66" s="293"/>
      <c r="CS66" s="293"/>
      <c r="CT66" s="293"/>
      <c r="CU66" s="293"/>
      <c r="CV66" s="293"/>
      <c r="CW66" s="293"/>
      <c r="CX66" s="293"/>
      <c r="CY66" s="293"/>
      <c r="CZ66" s="293"/>
      <c r="DA66" s="293"/>
      <c r="DB66" s="293"/>
      <c r="DC66" s="293"/>
      <c r="DD66" s="293"/>
      <c r="DE66" s="293"/>
      <c r="DF66" s="293"/>
      <c r="DG66" s="288"/>
      <c r="DH66" s="288"/>
      <c r="DI66" s="288"/>
      <c r="DJ66" s="288"/>
      <c r="DK66" s="288"/>
      <c r="DL66" s="288"/>
      <c r="DM66" s="288"/>
      <c r="DN66" s="288"/>
      <c r="DO66" s="288"/>
      <c r="DP66" s="288"/>
      <c r="DQ66" s="288"/>
      <c r="DR66" s="288"/>
      <c r="DS66" s="288"/>
      <c r="DT66" s="288"/>
      <c r="DU66" s="288"/>
      <c r="DV66" s="288"/>
      <c r="DW66" s="288"/>
      <c r="DX66" s="288"/>
    </row>
    <row r="67" ht="14.25" customHeight="1">
      <c r="A67" s="54"/>
      <c r="B67" s="327"/>
      <c r="C67" s="23"/>
      <c r="D67" s="23"/>
      <c r="E67" s="23"/>
      <c r="F67" s="329"/>
      <c r="G67" s="293"/>
      <c r="H67" s="293"/>
      <c r="I67" s="293"/>
      <c r="J67" s="293"/>
      <c r="K67" s="293"/>
      <c r="L67" s="293"/>
      <c r="M67" s="293"/>
      <c r="N67" s="293"/>
      <c r="O67" s="293"/>
      <c r="P67" s="293"/>
      <c r="Q67" s="293"/>
      <c r="R67" s="293"/>
      <c r="S67" s="293"/>
      <c r="T67" s="293"/>
      <c r="U67" s="293"/>
      <c r="V67" s="293"/>
      <c r="W67" s="293"/>
      <c r="X67" s="293"/>
      <c r="Y67" s="293"/>
      <c r="Z67" s="293"/>
      <c r="AA67" s="293"/>
      <c r="AB67" s="293"/>
      <c r="AC67" s="293"/>
      <c r="AD67" s="293"/>
      <c r="AE67" s="293"/>
      <c r="AF67" s="293"/>
      <c r="AG67" s="293"/>
      <c r="AH67" s="293"/>
      <c r="AI67" s="293"/>
      <c r="AJ67" s="293"/>
      <c r="AK67" s="293"/>
      <c r="AL67" s="293"/>
      <c r="AM67" s="293"/>
      <c r="AN67" s="293"/>
      <c r="AO67" s="293"/>
      <c r="AP67" s="293"/>
      <c r="AQ67" s="293"/>
      <c r="AR67" s="293"/>
      <c r="AS67" s="293"/>
      <c r="AT67" s="293"/>
      <c r="AU67" s="293"/>
      <c r="AV67" s="293"/>
      <c r="AW67" s="293"/>
      <c r="AX67" s="293"/>
      <c r="AY67" s="293"/>
      <c r="AZ67" s="293"/>
      <c r="BA67" s="293"/>
      <c r="BB67" s="293"/>
      <c r="BC67" s="293"/>
      <c r="BD67" s="293"/>
      <c r="BE67" s="293"/>
      <c r="BF67" s="293"/>
      <c r="BG67" s="293"/>
      <c r="BH67" s="293"/>
      <c r="BI67" s="293"/>
      <c r="BJ67" s="293"/>
      <c r="BK67" s="293"/>
      <c r="BL67" s="293"/>
      <c r="BM67" s="293"/>
      <c r="BN67" s="293"/>
      <c r="BO67" s="293"/>
      <c r="BP67" s="293"/>
      <c r="BQ67" s="293"/>
      <c r="BR67" s="293"/>
      <c r="BS67" s="293"/>
      <c r="BT67" s="293"/>
      <c r="BU67" s="293"/>
      <c r="BV67" s="293"/>
      <c r="BW67" s="293"/>
      <c r="BX67" s="293"/>
      <c r="BY67" s="293"/>
      <c r="BZ67" s="293"/>
      <c r="CA67" s="293"/>
      <c r="CB67" s="293"/>
      <c r="CC67" s="293"/>
      <c r="CD67" s="293"/>
      <c r="CE67" s="293"/>
      <c r="CF67" s="293"/>
      <c r="CG67" s="293"/>
      <c r="CH67" s="293"/>
      <c r="CI67" s="293"/>
      <c r="CJ67" s="293"/>
      <c r="CK67" s="293"/>
      <c r="CL67" s="293"/>
      <c r="CM67" s="293"/>
      <c r="CN67" s="293"/>
      <c r="CO67" s="293"/>
      <c r="CP67" s="293"/>
      <c r="CQ67" s="293"/>
      <c r="CR67" s="293"/>
      <c r="CS67" s="293"/>
      <c r="CT67" s="293"/>
      <c r="CU67" s="293"/>
      <c r="CV67" s="293"/>
      <c r="CW67" s="293"/>
      <c r="CX67" s="293"/>
      <c r="CY67" s="293"/>
      <c r="CZ67" s="293"/>
      <c r="DA67" s="293"/>
      <c r="DB67" s="293"/>
      <c r="DC67" s="293"/>
      <c r="DD67" s="293"/>
      <c r="DE67" s="293"/>
      <c r="DF67" s="293"/>
      <c r="DG67" s="288"/>
      <c r="DH67" s="288"/>
      <c r="DI67" s="288"/>
      <c r="DJ67" s="288"/>
      <c r="DK67" s="288"/>
      <c r="DL67" s="288"/>
      <c r="DM67" s="288"/>
      <c r="DN67" s="288"/>
      <c r="DO67" s="288"/>
      <c r="DP67" s="288"/>
      <c r="DQ67" s="288"/>
      <c r="DR67" s="288"/>
      <c r="DS67" s="288"/>
      <c r="DT67" s="288"/>
      <c r="DU67" s="288"/>
      <c r="DV67" s="288"/>
      <c r="DW67" s="288"/>
      <c r="DX67" s="288"/>
    </row>
    <row r="68" ht="14.25" customHeight="1">
      <c r="A68" s="293"/>
      <c r="B68" s="293"/>
      <c r="C68" s="293"/>
      <c r="D68" s="293"/>
      <c r="E68" s="293"/>
      <c r="F68" s="293"/>
      <c r="G68" s="293"/>
      <c r="H68" s="293"/>
      <c r="I68" s="293"/>
      <c r="J68" s="293"/>
      <c r="K68" s="293"/>
      <c r="L68" s="293"/>
      <c r="M68" s="293"/>
      <c r="N68" s="293"/>
      <c r="O68" s="293"/>
      <c r="P68" s="293"/>
      <c r="Q68" s="293"/>
      <c r="R68" s="293"/>
      <c r="S68" s="293"/>
      <c r="T68" s="293"/>
      <c r="U68" s="293"/>
      <c r="V68" s="293"/>
      <c r="W68" s="293"/>
      <c r="X68" s="293"/>
      <c r="Y68" s="293"/>
      <c r="Z68" s="293"/>
      <c r="AA68" s="293"/>
      <c r="AB68" s="293"/>
      <c r="AC68" s="293"/>
      <c r="AD68" s="293"/>
      <c r="AE68" s="293"/>
      <c r="AF68" s="293"/>
      <c r="AG68" s="293"/>
      <c r="AH68" s="293"/>
      <c r="AI68" s="293"/>
      <c r="AJ68" s="293"/>
      <c r="AK68" s="293"/>
      <c r="AL68" s="293"/>
      <c r="AM68" s="293"/>
      <c r="AN68" s="293"/>
      <c r="AO68" s="293"/>
      <c r="AP68" s="293"/>
      <c r="AQ68" s="293"/>
      <c r="AR68" s="293"/>
      <c r="AS68" s="293"/>
      <c r="AT68" s="293"/>
      <c r="AU68" s="293"/>
      <c r="AV68" s="293"/>
      <c r="AW68" s="293"/>
      <c r="AX68" s="293"/>
      <c r="AY68" s="293"/>
      <c r="AZ68" s="293"/>
      <c r="BA68" s="293"/>
      <c r="BB68" s="293"/>
      <c r="BC68" s="293"/>
      <c r="BD68" s="293"/>
      <c r="BE68" s="293"/>
      <c r="BF68" s="293"/>
      <c r="BG68" s="293"/>
      <c r="BH68" s="293"/>
      <c r="BI68" s="293"/>
      <c r="BJ68" s="293"/>
      <c r="BK68" s="293"/>
      <c r="BL68" s="293"/>
      <c r="BM68" s="293"/>
      <c r="BN68" s="293"/>
      <c r="BO68" s="293"/>
      <c r="BP68" s="293"/>
      <c r="BQ68" s="293"/>
      <c r="BR68" s="293"/>
      <c r="BS68" s="293"/>
      <c r="BT68" s="293"/>
      <c r="BU68" s="293"/>
      <c r="BV68" s="293"/>
      <c r="BW68" s="293"/>
      <c r="BX68" s="293"/>
      <c r="BY68" s="293"/>
      <c r="BZ68" s="293"/>
      <c r="CA68" s="293"/>
      <c r="CB68" s="293"/>
      <c r="CC68" s="293"/>
      <c r="CD68" s="293"/>
      <c r="CE68" s="293"/>
      <c r="CF68" s="293"/>
      <c r="CG68" s="293"/>
      <c r="CH68" s="293"/>
      <c r="CI68" s="293"/>
      <c r="CJ68" s="293"/>
      <c r="CK68" s="293"/>
      <c r="CL68" s="293"/>
      <c r="CM68" s="293"/>
      <c r="CN68" s="293"/>
      <c r="CO68" s="293"/>
      <c r="CP68" s="293"/>
      <c r="CQ68" s="293"/>
      <c r="CR68" s="293"/>
      <c r="CS68" s="293"/>
      <c r="CT68" s="293"/>
      <c r="CU68" s="293"/>
      <c r="CV68" s="293"/>
      <c r="CW68" s="293"/>
      <c r="CX68" s="293"/>
      <c r="CY68" s="293"/>
      <c r="CZ68" s="293"/>
      <c r="DA68" s="293"/>
      <c r="DB68" s="293"/>
      <c r="DC68" s="293"/>
      <c r="DD68" s="293"/>
      <c r="DE68" s="293"/>
      <c r="DF68" s="293"/>
      <c r="DG68" s="288"/>
      <c r="DH68" s="288"/>
      <c r="DI68" s="288"/>
      <c r="DJ68" s="288"/>
      <c r="DK68" s="288"/>
      <c r="DL68" s="288"/>
      <c r="DM68" s="288"/>
      <c r="DN68" s="288"/>
      <c r="DO68" s="288"/>
      <c r="DP68" s="288"/>
      <c r="DQ68" s="288"/>
      <c r="DR68" s="288"/>
      <c r="DS68" s="288"/>
      <c r="DT68" s="288"/>
      <c r="DU68" s="288"/>
      <c r="DV68" s="288"/>
      <c r="DW68" s="288"/>
      <c r="DX68" s="288"/>
    </row>
    <row r="69" ht="14.25" customHeight="1">
      <c r="A69" s="293"/>
      <c r="B69" s="293"/>
      <c r="C69" s="293"/>
      <c r="D69" s="293"/>
      <c r="E69" s="293"/>
      <c r="F69" s="293"/>
      <c r="G69" s="293"/>
      <c r="H69" s="293"/>
      <c r="I69" s="293"/>
      <c r="J69" s="293"/>
      <c r="K69" s="293"/>
      <c r="L69" s="293"/>
      <c r="M69" s="293"/>
      <c r="N69" s="293"/>
      <c r="O69" s="293"/>
      <c r="P69" s="293"/>
      <c r="Q69" s="293"/>
      <c r="R69" s="293"/>
      <c r="S69" s="293"/>
      <c r="T69" s="293"/>
      <c r="U69" s="293"/>
      <c r="V69" s="293"/>
      <c r="W69" s="293"/>
      <c r="X69" s="293"/>
      <c r="Y69" s="293"/>
      <c r="Z69" s="293"/>
      <c r="AA69" s="293"/>
      <c r="AB69" s="293"/>
      <c r="AC69" s="293"/>
      <c r="AD69" s="293"/>
      <c r="AE69" s="293"/>
      <c r="AF69" s="293"/>
      <c r="AG69" s="293"/>
      <c r="AH69" s="293"/>
      <c r="AI69" s="293"/>
      <c r="AJ69" s="293"/>
      <c r="AK69" s="293"/>
      <c r="AL69" s="293"/>
      <c r="AM69" s="293"/>
      <c r="AN69" s="293"/>
      <c r="AO69" s="293"/>
      <c r="AP69" s="293"/>
      <c r="AQ69" s="293"/>
      <c r="AR69" s="293"/>
      <c r="AS69" s="293"/>
      <c r="AT69" s="293"/>
      <c r="AU69" s="293"/>
      <c r="AV69" s="293"/>
      <c r="AW69" s="293"/>
      <c r="AX69" s="293"/>
      <c r="AY69" s="293"/>
      <c r="AZ69" s="293"/>
      <c r="BA69" s="293"/>
      <c r="BB69" s="293"/>
      <c r="BC69" s="293"/>
      <c r="BD69" s="293"/>
      <c r="BE69" s="293"/>
      <c r="BF69" s="293"/>
      <c r="BG69" s="293"/>
      <c r="BH69" s="293"/>
      <c r="BI69" s="293"/>
      <c r="BJ69" s="293"/>
      <c r="BK69" s="293"/>
      <c r="BL69" s="293"/>
      <c r="BM69" s="293"/>
      <c r="BN69" s="293"/>
      <c r="BO69" s="293"/>
      <c r="BP69" s="293"/>
      <c r="BQ69" s="293"/>
      <c r="BR69" s="293"/>
      <c r="BS69" s="293"/>
      <c r="BT69" s="293"/>
      <c r="BU69" s="293"/>
      <c r="BV69" s="293"/>
      <c r="BW69" s="293"/>
      <c r="BX69" s="293"/>
      <c r="BY69" s="293"/>
      <c r="BZ69" s="293"/>
      <c r="CA69" s="293"/>
      <c r="CB69" s="293"/>
      <c r="CC69" s="293"/>
      <c r="CD69" s="293"/>
      <c r="CE69" s="293"/>
      <c r="CF69" s="293"/>
      <c r="CG69" s="293"/>
      <c r="CH69" s="293"/>
      <c r="CI69" s="293"/>
      <c r="CJ69" s="293"/>
      <c r="CK69" s="293"/>
      <c r="CL69" s="293"/>
      <c r="CM69" s="293"/>
      <c r="CN69" s="293"/>
      <c r="CO69" s="293"/>
      <c r="CP69" s="293"/>
      <c r="CQ69" s="293"/>
      <c r="CR69" s="293"/>
      <c r="CS69" s="293"/>
      <c r="CT69" s="293"/>
      <c r="CU69" s="293"/>
      <c r="CV69" s="293"/>
      <c r="CW69" s="293"/>
      <c r="CX69" s="293"/>
      <c r="CY69" s="293"/>
      <c r="CZ69" s="293"/>
      <c r="DA69" s="293"/>
      <c r="DB69" s="293"/>
      <c r="DC69" s="293"/>
      <c r="DD69" s="293"/>
      <c r="DE69" s="293"/>
      <c r="DF69" s="293"/>
      <c r="DG69" s="288"/>
      <c r="DH69" s="288"/>
      <c r="DI69" s="288"/>
      <c r="DJ69" s="288"/>
      <c r="DK69" s="288"/>
      <c r="DL69" s="288"/>
      <c r="DM69" s="288"/>
      <c r="DN69" s="288"/>
      <c r="DO69" s="288"/>
      <c r="DP69" s="288"/>
      <c r="DQ69" s="288"/>
      <c r="DR69" s="288"/>
      <c r="DS69" s="288"/>
      <c r="DT69" s="288"/>
      <c r="DU69" s="288"/>
      <c r="DV69" s="288"/>
      <c r="DW69" s="288"/>
      <c r="DX69" s="288"/>
    </row>
    <row r="70" ht="14.25" customHeight="1">
      <c r="A70" s="293"/>
      <c r="B70" s="293"/>
      <c r="C70" s="293"/>
      <c r="D70" s="293"/>
      <c r="E70" s="293"/>
      <c r="F70" s="293"/>
      <c r="G70" s="293"/>
      <c r="H70" s="293"/>
      <c r="I70" s="293"/>
      <c r="J70" s="293"/>
      <c r="K70" s="293"/>
      <c r="L70" s="293"/>
      <c r="M70" s="293"/>
      <c r="N70" s="293"/>
      <c r="O70" s="293"/>
      <c r="P70" s="293"/>
      <c r="Q70" s="293"/>
      <c r="R70" s="293"/>
      <c r="S70" s="293"/>
      <c r="T70" s="293"/>
      <c r="U70" s="293"/>
      <c r="V70" s="293"/>
      <c r="W70" s="293"/>
      <c r="X70" s="293"/>
      <c r="Y70" s="293"/>
      <c r="Z70" s="293"/>
      <c r="AA70" s="293"/>
      <c r="AB70" s="293"/>
      <c r="AC70" s="293"/>
      <c r="AD70" s="293"/>
      <c r="AE70" s="293"/>
      <c r="AF70" s="293"/>
      <c r="AG70" s="293"/>
      <c r="AH70" s="293"/>
      <c r="AI70" s="293"/>
      <c r="AJ70" s="293"/>
      <c r="AK70" s="293"/>
      <c r="AL70" s="293"/>
      <c r="AM70" s="293"/>
      <c r="AN70" s="293"/>
      <c r="AO70" s="293"/>
      <c r="AP70" s="293"/>
      <c r="AQ70" s="293"/>
      <c r="AR70" s="293"/>
      <c r="AS70" s="293"/>
      <c r="AT70" s="293"/>
      <c r="AU70" s="293"/>
      <c r="AV70" s="293"/>
      <c r="AW70" s="293"/>
      <c r="AX70" s="293"/>
      <c r="AY70" s="293"/>
      <c r="AZ70" s="293"/>
      <c r="BA70" s="293"/>
      <c r="BB70" s="293"/>
      <c r="BC70" s="293"/>
      <c r="BD70" s="293"/>
      <c r="BE70" s="293"/>
      <c r="BF70" s="293"/>
      <c r="BG70" s="293"/>
      <c r="BH70" s="293"/>
      <c r="BI70" s="293"/>
      <c r="BJ70" s="293"/>
      <c r="BK70" s="293"/>
      <c r="BL70" s="293"/>
      <c r="BM70" s="293"/>
      <c r="BN70" s="293"/>
      <c r="BO70" s="293"/>
      <c r="BP70" s="293"/>
      <c r="BQ70" s="293"/>
      <c r="BR70" s="293"/>
      <c r="BS70" s="293"/>
      <c r="BT70" s="293"/>
      <c r="BU70" s="293"/>
      <c r="BV70" s="293"/>
      <c r="BW70" s="293"/>
      <c r="BX70" s="293"/>
      <c r="BY70" s="293"/>
      <c r="BZ70" s="293"/>
      <c r="CA70" s="293"/>
      <c r="CB70" s="293"/>
      <c r="CC70" s="293"/>
      <c r="CD70" s="293"/>
      <c r="CE70" s="293"/>
      <c r="CF70" s="293"/>
      <c r="CG70" s="293"/>
      <c r="CH70" s="293"/>
      <c r="CI70" s="293"/>
      <c r="CJ70" s="293"/>
      <c r="CK70" s="293"/>
      <c r="CL70" s="293"/>
      <c r="CM70" s="293"/>
      <c r="CN70" s="293"/>
      <c r="CO70" s="293"/>
      <c r="CP70" s="293"/>
      <c r="CQ70" s="293"/>
      <c r="CR70" s="293"/>
      <c r="CS70" s="293"/>
      <c r="CT70" s="293"/>
      <c r="CU70" s="293"/>
      <c r="CV70" s="293"/>
      <c r="CW70" s="293"/>
      <c r="CX70" s="293"/>
      <c r="CY70" s="293"/>
      <c r="CZ70" s="293"/>
      <c r="DA70" s="293"/>
      <c r="DB70" s="293"/>
      <c r="DC70" s="293"/>
      <c r="DD70" s="293"/>
      <c r="DE70" s="293"/>
      <c r="DF70" s="293"/>
      <c r="DG70" s="288"/>
      <c r="DH70" s="288"/>
      <c r="DI70" s="288"/>
      <c r="DJ70" s="288"/>
      <c r="DK70" s="288"/>
      <c r="DL70" s="288"/>
      <c r="DM70" s="288"/>
      <c r="DN70" s="288"/>
      <c r="DO70" s="288"/>
      <c r="DP70" s="288"/>
      <c r="DQ70" s="288"/>
      <c r="DR70" s="288"/>
      <c r="DS70" s="288"/>
      <c r="DT70" s="288"/>
      <c r="DU70" s="288"/>
      <c r="DV70" s="288"/>
      <c r="DW70" s="288"/>
      <c r="DX70" s="288"/>
    </row>
    <row r="71" ht="14.25" customHeight="1">
      <c r="A71" s="293"/>
      <c r="B71" s="293"/>
      <c r="C71" s="293"/>
      <c r="D71" s="293"/>
      <c r="E71" s="293"/>
      <c r="F71" s="293"/>
      <c r="G71" s="293"/>
      <c r="H71" s="293"/>
      <c r="I71" s="293"/>
      <c r="J71" s="293"/>
      <c r="K71" s="293"/>
      <c r="L71" s="293"/>
      <c r="M71" s="293"/>
      <c r="N71" s="293"/>
      <c r="O71" s="293"/>
      <c r="P71" s="293"/>
      <c r="Q71" s="293"/>
      <c r="R71" s="293"/>
      <c r="S71" s="293"/>
      <c r="T71" s="293"/>
      <c r="U71" s="293"/>
      <c r="V71" s="293"/>
      <c r="W71" s="293"/>
      <c r="X71" s="293"/>
      <c r="Y71" s="293"/>
      <c r="Z71" s="293"/>
      <c r="AA71" s="293"/>
      <c r="AB71" s="293"/>
      <c r="AC71" s="293"/>
      <c r="AD71" s="293"/>
      <c r="AE71" s="293"/>
      <c r="AF71" s="293"/>
      <c r="AG71" s="293"/>
      <c r="AH71" s="293"/>
      <c r="AI71" s="293"/>
      <c r="AJ71" s="293"/>
      <c r="AK71" s="293"/>
      <c r="AL71" s="293"/>
      <c r="AM71" s="293"/>
      <c r="AN71" s="293"/>
      <c r="AO71" s="293"/>
      <c r="AP71" s="293"/>
      <c r="AQ71" s="293"/>
      <c r="AR71" s="293"/>
      <c r="AS71" s="293"/>
      <c r="AT71" s="293"/>
      <c r="AU71" s="293"/>
      <c r="AV71" s="293"/>
      <c r="AW71" s="293"/>
      <c r="AX71" s="293"/>
      <c r="AY71" s="293"/>
      <c r="AZ71" s="293"/>
      <c r="BA71" s="293"/>
      <c r="BB71" s="293"/>
      <c r="BC71" s="293"/>
      <c r="BD71" s="293"/>
      <c r="BE71" s="293"/>
      <c r="BF71" s="293"/>
      <c r="BG71" s="293"/>
      <c r="BH71" s="293"/>
      <c r="BI71" s="293"/>
      <c r="BJ71" s="293"/>
      <c r="BK71" s="293"/>
      <c r="BL71" s="293"/>
      <c r="BM71" s="293"/>
      <c r="BN71" s="293"/>
      <c r="BO71" s="293"/>
      <c r="BP71" s="293"/>
      <c r="BQ71" s="293"/>
      <c r="BR71" s="293"/>
      <c r="BS71" s="293"/>
      <c r="BT71" s="293"/>
      <c r="BU71" s="293"/>
      <c r="BV71" s="293"/>
      <c r="BW71" s="293"/>
      <c r="BX71" s="293"/>
      <c r="BY71" s="293"/>
      <c r="BZ71" s="293"/>
      <c r="CA71" s="293"/>
      <c r="CB71" s="293"/>
      <c r="CC71" s="293"/>
      <c r="CD71" s="293"/>
      <c r="CE71" s="293"/>
      <c r="CF71" s="293"/>
      <c r="CG71" s="293"/>
      <c r="CH71" s="293"/>
      <c r="CI71" s="293"/>
      <c r="CJ71" s="293"/>
      <c r="CK71" s="293"/>
      <c r="CL71" s="293"/>
      <c r="CM71" s="293"/>
      <c r="CN71" s="293"/>
      <c r="CO71" s="293"/>
      <c r="CP71" s="293"/>
      <c r="CQ71" s="293"/>
      <c r="CR71" s="293"/>
      <c r="CS71" s="293"/>
      <c r="CT71" s="293"/>
      <c r="CU71" s="293"/>
      <c r="CV71" s="293"/>
      <c r="CW71" s="293"/>
      <c r="CX71" s="293"/>
      <c r="CY71" s="293"/>
      <c r="CZ71" s="293"/>
      <c r="DA71" s="293"/>
      <c r="DB71" s="293"/>
      <c r="DC71" s="293"/>
      <c r="DD71" s="293"/>
      <c r="DE71" s="293"/>
      <c r="DF71" s="293"/>
      <c r="DG71" s="288"/>
      <c r="DH71" s="288"/>
      <c r="DI71" s="288"/>
      <c r="DJ71" s="288"/>
      <c r="DK71" s="288"/>
      <c r="DL71" s="288"/>
      <c r="DM71" s="288"/>
      <c r="DN71" s="288"/>
      <c r="DO71" s="288"/>
      <c r="DP71" s="288"/>
      <c r="DQ71" s="288"/>
      <c r="DR71" s="288"/>
      <c r="DS71" s="288"/>
      <c r="DT71" s="288"/>
      <c r="DU71" s="288"/>
      <c r="DV71" s="288"/>
      <c r="DW71" s="288"/>
      <c r="DX71" s="288"/>
    </row>
    <row r="72" ht="14.25" customHeight="1">
      <c r="A72" s="293"/>
      <c r="B72" s="293"/>
      <c r="C72" s="293"/>
      <c r="D72" s="293"/>
      <c r="E72" s="293"/>
      <c r="F72" s="293"/>
      <c r="G72" s="293"/>
      <c r="H72" s="293"/>
      <c r="I72" s="293"/>
      <c r="J72" s="293"/>
      <c r="K72" s="293"/>
      <c r="L72" s="293"/>
      <c r="M72" s="293"/>
      <c r="N72" s="293"/>
      <c r="O72" s="293"/>
      <c r="P72" s="293"/>
      <c r="Q72" s="293"/>
      <c r="R72" s="293"/>
      <c r="S72" s="293"/>
      <c r="T72" s="293"/>
      <c r="U72" s="293"/>
      <c r="V72" s="293"/>
      <c r="W72" s="293"/>
      <c r="X72" s="293"/>
      <c r="Y72" s="293"/>
      <c r="Z72" s="293"/>
      <c r="AA72" s="293"/>
      <c r="AB72" s="293"/>
      <c r="AC72" s="293"/>
      <c r="AD72" s="293"/>
      <c r="AE72" s="293"/>
      <c r="AF72" s="293"/>
      <c r="AG72" s="293"/>
      <c r="AH72" s="293"/>
      <c r="AI72" s="293"/>
      <c r="AJ72" s="293"/>
      <c r="AK72" s="293"/>
      <c r="AL72" s="293"/>
      <c r="AM72" s="293"/>
      <c r="AN72" s="293"/>
      <c r="AO72" s="293"/>
      <c r="AP72" s="293"/>
      <c r="AQ72" s="293"/>
      <c r="AR72" s="293"/>
      <c r="AS72" s="293"/>
      <c r="AT72" s="293"/>
      <c r="AU72" s="293"/>
      <c r="AV72" s="293"/>
      <c r="AW72" s="293"/>
      <c r="AX72" s="293"/>
      <c r="AY72" s="293"/>
      <c r="AZ72" s="293"/>
      <c r="BA72" s="293"/>
      <c r="BB72" s="293"/>
      <c r="BC72" s="293"/>
      <c r="BD72" s="293"/>
      <c r="BE72" s="293"/>
      <c r="BF72" s="293"/>
      <c r="BG72" s="293"/>
      <c r="BH72" s="293"/>
      <c r="BI72" s="293"/>
      <c r="BJ72" s="293"/>
      <c r="BK72" s="293"/>
      <c r="BL72" s="293"/>
      <c r="BM72" s="293"/>
      <c r="BN72" s="293"/>
      <c r="BO72" s="293"/>
      <c r="BP72" s="293"/>
      <c r="BQ72" s="293"/>
      <c r="BR72" s="293"/>
      <c r="BS72" s="293"/>
      <c r="BT72" s="293"/>
      <c r="BU72" s="293"/>
      <c r="BV72" s="293"/>
      <c r="BW72" s="293"/>
      <c r="BX72" s="293"/>
      <c r="BY72" s="293"/>
      <c r="BZ72" s="293"/>
      <c r="CA72" s="293"/>
      <c r="CB72" s="293"/>
      <c r="CC72" s="293"/>
      <c r="CD72" s="293"/>
      <c r="CE72" s="293"/>
      <c r="CF72" s="293"/>
      <c r="CG72" s="293"/>
      <c r="CH72" s="293"/>
      <c r="CI72" s="293"/>
      <c r="CJ72" s="293"/>
      <c r="CK72" s="293"/>
      <c r="CL72" s="293"/>
      <c r="CM72" s="293"/>
      <c r="CN72" s="293"/>
      <c r="CO72" s="293"/>
      <c r="CP72" s="293"/>
      <c r="CQ72" s="293"/>
      <c r="CR72" s="293"/>
      <c r="CS72" s="293"/>
      <c r="CT72" s="293"/>
      <c r="CU72" s="293"/>
      <c r="CV72" s="293"/>
      <c r="CW72" s="293"/>
      <c r="CX72" s="293"/>
      <c r="CY72" s="293"/>
      <c r="CZ72" s="293"/>
      <c r="DA72" s="293"/>
      <c r="DB72" s="293"/>
      <c r="DC72" s="293"/>
      <c r="DD72" s="293"/>
      <c r="DE72" s="293"/>
      <c r="DF72" s="293"/>
      <c r="DG72" s="288"/>
      <c r="DH72" s="288"/>
      <c r="DI72" s="288"/>
      <c r="DJ72" s="288"/>
      <c r="DK72" s="288"/>
      <c r="DL72" s="288"/>
      <c r="DM72" s="288"/>
      <c r="DN72" s="288"/>
      <c r="DO72" s="288"/>
      <c r="DP72" s="288"/>
      <c r="DQ72" s="288"/>
      <c r="DR72" s="288"/>
      <c r="DS72" s="288"/>
      <c r="DT72" s="288"/>
      <c r="DU72" s="288"/>
      <c r="DV72" s="288"/>
      <c r="DW72" s="288"/>
      <c r="DX72" s="288"/>
    </row>
    <row r="73" ht="14.25" customHeight="1">
      <c r="A73" s="293"/>
      <c r="B73" s="293"/>
      <c r="C73" s="293"/>
      <c r="D73" s="293"/>
      <c r="E73" s="293"/>
      <c r="F73" s="293"/>
      <c r="G73" s="293"/>
      <c r="H73" s="293"/>
      <c r="I73" s="293"/>
      <c r="J73" s="293"/>
      <c r="K73" s="293"/>
      <c r="L73" s="293"/>
      <c r="M73" s="293"/>
      <c r="N73" s="293"/>
      <c r="O73" s="293"/>
      <c r="P73" s="293"/>
      <c r="Q73" s="293"/>
      <c r="R73" s="293"/>
      <c r="S73" s="293"/>
      <c r="T73" s="293"/>
      <c r="U73" s="293"/>
      <c r="V73" s="293"/>
      <c r="W73" s="293"/>
      <c r="X73" s="293"/>
      <c r="Y73" s="293"/>
      <c r="Z73" s="293"/>
      <c r="AA73" s="293"/>
      <c r="AB73" s="293"/>
      <c r="AC73" s="293"/>
      <c r="AD73" s="293"/>
      <c r="AE73" s="293"/>
      <c r="AF73" s="293"/>
      <c r="AG73" s="293"/>
      <c r="AH73" s="293"/>
      <c r="AI73" s="293"/>
      <c r="AJ73" s="293"/>
      <c r="AK73" s="293"/>
      <c r="AL73" s="293"/>
      <c r="AM73" s="293"/>
      <c r="AN73" s="293"/>
      <c r="AO73" s="293"/>
      <c r="AP73" s="293"/>
      <c r="AQ73" s="293"/>
      <c r="AR73" s="293"/>
      <c r="AS73" s="293"/>
      <c r="AT73" s="293"/>
      <c r="AU73" s="293"/>
      <c r="AV73" s="293"/>
      <c r="AW73" s="293"/>
      <c r="AX73" s="293"/>
      <c r="AY73" s="293"/>
      <c r="AZ73" s="293"/>
      <c r="BA73" s="293"/>
      <c r="BB73" s="293"/>
      <c r="BC73" s="293"/>
      <c r="BD73" s="293"/>
      <c r="BE73" s="293"/>
      <c r="BF73" s="293"/>
      <c r="BG73" s="293"/>
      <c r="BH73" s="293"/>
      <c r="BI73" s="293"/>
      <c r="BJ73" s="293"/>
      <c r="BK73" s="293"/>
      <c r="BL73" s="293"/>
      <c r="BM73" s="293"/>
      <c r="BN73" s="293"/>
      <c r="BO73" s="293"/>
      <c r="BP73" s="293"/>
      <c r="BQ73" s="293"/>
      <c r="BR73" s="293"/>
      <c r="BS73" s="293"/>
      <c r="BT73" s="293"/>
      <c r="BU73" s="293"/>
      <c r="BV73" s="293"/>
      <c r="BW73" s="293"/>
      <c r="BX73" s="293"/>
      <c r="BY73" s="293"/>
      <c r="BZ73" s="293"/>
      <c r="CA73" s="293"/>
      <c r="CB73" s="293"/>
      <c r="CC73" s="293"/>
      <c r="CD73" s="293"/>
      <c r="CE73" s="293"/>
      <c r="CF73" s="293"/>
      <c r="CG73" s="293"/>
      <c r="CH73" s="293"/>
      <c r="CI73" s="293"/>
      <c r="CJ73" s="293"/>
      <c r="CK73" s="293"/>
      <c r="CL73" s="293"/>
      <c r="CM73" s="293"/>
      <c r="CN73" s="293"/>
      <c r="CO73" s="293"/>
      <c r="CP73" s="293"/>
      <c r="CQ73" s="293"/>
      <c r="CR73" s="293"/>
      <c r="CS73" s="293"/>
      <c r="CT73" s="293"/>
      <c r="CU73" s="293"/>
      <c r="CV73" s="293"/>
      <c r="CW73" s="293"/>
      <c r="CX73" s="293"/>
      <c r="CY73" s="293"/>
      <c r="CZ73" s="293"/>
      <c r="DA73" s="293"/>
      <c r="DB73" s="293"/>
      <c r="DC73" s="293"/>
      <c r="DD73" s="293"/>
      <c r="DE73" s="293"/>
      <c r="DF73" s="293"/>
      <c r="DG73" s="288"/>
      <c r="DH73" s="288"/>
      <c r="DI73" s="288"/>
      <c r="DJ73" s="288"/>
      <c r="DK73" s="288"/>
      <c r="DL73" s="288"/>
      <c r="DM73" s="288"/>
      <c r="DN73" s="288"/>
      <c r="DO73" s="288"/>
      <c r="DP73" s="288"/>
      <c r="DQ73" s="288"/>
      <c r="DR73" s="288"/>
      <c r="DS73" s="288"/>
      <c r="DT73" s="288"/>
      <c r="DU73" s="288"/>
      <c r="DV73" s="288"/>
      <c r="DW73" s="288"/>
      <c r="DX73" s="288"/>
    </row>
    <row r="74" ht="14.25" customHeight="1">
      <c r="A74" s="293"/>
      <c r="B74" s="293"/>
      <c r="C74" s="293"/>
      <c r="D74" s="293"/>
      <c r="E74" s="293"/>
      <c r="F74" s="293"/>
      <c r="G74" s="293"/>
      <c r="H74" s="293"/>
      <c r="I74" s="293"/>
      <c r="J74" s="293"/>
      <c r="K74" s="293"/>
      <c r="L74" s="293"/>
      <c r="M74" s="293"/>
      <c r="N74" s="293"/>
      <c r="O74" s="293"/>
      <c r="P74" s="293"/>
      <c r="Q74" s="293"/>
      <c r="R74" s="293"/>
      <c r="S74" s="293"/>
      <c r="T74" s="293"/>
      <c r="U74" s="293"/>
      <c r="V74" s="293"/>
      <c r="W74" s="293"/>
      <c r="X74" s="293"/>
      <c r="Y74" s="293"/>
      <c r="Z74" s="293"/>
      <c r="AA74" s="293"/>
      <c r="AB74" s="293"/>
      <c r="AC74" s="293"/>
      <c r="AD74" s="293"/>
      <c r="AE74" s="293"/>
      <c r="AF74" s="293"/>
      <c r="AG74" s="293"/>
      <c r="AH74" s="293"/>
      <c r="AI74" s="293"/>
      <c r="AJ74" s="293"/>
      <c r="AK74" s="293"/>
      <c r="AL74" s="293"/>
      <c r="AM74" s="293"/>
      <c r="AN74" s="293"/>
      <c r="AO74" s="293"/>
      <c r="AP74" s="293"/>
      <c r="AQ74" s="293"/>
      <c r="AR74" s="293"/>
      <c r="AS74" s="293"/>
      <c r="AT74" s="293"/>
      <c r="AU74" s="293"/>
      <c r="AV74" s="293"/>
      <c r="AW74" s="293"/>
      <c r="AX74" s="293"/>
      <c r="AY74" s="293"/>
      <c r="AZ74" s="293"/>
      <c r="BA74" s="293"/>
      <c r="BB74" s="293"/>
      <c r="BC74" s="293"/>
      <c r="BD74" s="293"/>
      <c r="BE74" s="293"/>
      <c r="BF74" s="293"/>
      <c r="BG74" s="293"/>
      <c r="BH74" s="293"/>
      <c r="BI74" s="293"/>
      <c r="BJ74" s="293"/>
      <c r="BK74" s="293"/>
      <c r="BL74" s="293"/>
      <c r="BM74" s="293"/>
      <c r="BN74" s="293"/>
      <c r="BO74" s="293"/>
      <c r="BP74" s="293"/>
      <c r="BQ74" s="293"/>
      <c r="BR74" s="293"/>
      <c r="BS74" s="293"/>
      <c r="BT74" s="293"/>
      <c r="BU74" s="293"/>
      <c r="BV74" s="293"/>
      <c r="BW74" s="293"/>
      <c r="BX74" s="293"/>
      <c r="BY74" s="293"/>
      <c r="BZ74" s="293"/>
      <c r="CA74" s="293"/>
      <c r="CB74" s="293"/>
      <c r="CC74" s="293"/>
      <c r="CD74" s="293"/>
      <c r="CE74" s="293"/>
      <c r="CF74" s="293"/>
      <c r="CG74" s="293"/>
      <c r="CH74" s="293"/>
      <c r="CI74" s="293"/>
      <c r="CJ74" s="293"/>
      <c r="CK74" s="293"/>
      <c r="CL74" s="293"/>
      <c r="CM74" s="293"/>
      <c r="CN74" s="293"/>
      <c r="CO74" s="293"/>
      <c r="CP74" s="293"/>
      <c r="CQ74" s="293"/>
      <c r="CR74" s="293"/>
      <c r="CS74" s="293"/>
      <c r="CT74" s="293"/>
      <c r="CU74" s="293"/>
      <c r="CV74" s="293"/>
      <c r="CW74" s="293"/>
      <c r="CX74" s="293"/>
      <c r="CY74" s="293"/>
      <c r="CZ74" s="293"/>
      <c r="DA74" s="293"/>
      <c r="DB74" s="293"/>
      <c r="DC74" s="293"/>
      <c r="DD74" s="293"/>
      <c r="DE74" s="293"/>
      <c r="DF74" s="293"/>
      <c r="DG74" s="288"/>
      <c r="DH74" s="288"/>
      <c r="DI74" s="288"/>
      <c r="DJ74" s="288"/>
      <c r="DK74" s="288"/>
      <c r="DL74" s="288"/>
      <c r="DM74" s="288"/>
      <c r="DN74" s="288"/>
      <c r="DO74" s="288"/>
      <c r="DP74" s="288"/>
      <c r="DQ74" s="288"/>
      <c r="DR74" s="288"/>
      <c r="DS74" s="288"/>
      <c r="DT74" s="288"/>
      <c r="DU74" s="288"/>
      <c r="DV74" s="288"/>
      <c r="DW74" s="288"/>
      <c r="DX74" s="288"/>
    </row>
    <row r="75" ht="14.25" customHeight="1">
      <c r="A75" s="293"/>
      <c r="B75" s="293"/>
      <c r="C75" s="293"/>
      <c r="D75" s="293"/>
      <c r="E75" s="293"/>
      <c r="F75" s="293"/>
      <c r="G75" s="293"/>
      <c r="H75" s="293"/>
      <c r="I75" s="293"/>
      <c r="J75" s="293"/>
      <c r="K75" s="293"/>
      <c r="L75" s="293"/>
      <c r="M75" s="293"/>
      <c r="N75" s="293"/>
      <c r="O75" s="293"/>
      <c r="P75" s="293"/>
      <c r="Q75" s="293"/>
      <c r="R75" s="293"/>
      <c r="S75" s="293"/>
      <c r="T75" s="293"/>
      <c r="U75" s="293"/>
      <c r="V75" s="293"/>
      <c r="W75" s="293"/>
      <c r="X75" s="293"/>
      <c r="Y75" s="293"/>
      <c r="Z75" s="293"/>
      <c r="AA75" s="293"/>
      <c r="AB75" s="293"/>
      <c r="AC75" s="293"/>
      <c r="AD75" s="293"/>
      <c r="AE75" s="293"/>
      <c r="AF75" s="293"/>
      <c r="AG75" s="293"/>
      <c r="AH75" s="293"/>
      <c r="AI75" s="293"/>
      <c r="AJ75" s="293"/>
      <c r="AK75" s="293"/>
      <c r="AL75" s="293"/>
      <c r="AM75" s="293"/>
      <c r="AN75" s="293"/>
      <c r="AO75" s="293"/>
      <c r="AP75" s="293"/>
      <c r="AQ75" s="293"/>
      <c r="AR75" s="293"/>
      <c r="AS75" s="293"/>
      <c r="AT75" s="293"/>
      <c r="AU75" s="293"/>
      <c r="AV75" s="293"/>
      <c r="AW75" s="293"/>
      <c r="AX75" s="293"/>
      <c r="AY75" s="293"/>
      <c r="AZ75" s="293"/>
      <c r="BA75" s="293"/>
      <c r="BB75" s="293"/>
      <c r="BC75" s="293"/>
      <c r="BD75" s="293"/>
      <c r="BE75" s="293"/>
      <c r="BF75" s="293"/>
      <c r="BG75" s="293"/>
      <c r="BH75" s="293"/>
      <c r="BI75" s="293"/>
      <c r="BJ75" s="293"/>
      <c r="BK75" s="293"/>
      <c r="BL75" s="293"/>
      <c r="BM75" s="293"/>
      <c r="BN75" s="293"/>
      <c r="BO75" s="293"/>
      <c r="BP75" s="293"/>
      <c r="BQ75" s="293"/>
      <c r="BR75" s="293"/>
      <c r="BS75" s="293"/>
      <c r="BT75" s="293"/>
      <c r="BU75" s="293"/>
      <c r="BV75" s="293"/>
      <c r="BW75" s="293"/>
      <c r="BX75" s="293"/>
      <c r="BY75" s="293"/>
      <c r="BZ75" s="293"/>
      <c r="CA75" s="293"/>
      <c r="CB75" s="293"/>
      <c r="CC75" s="293"/>
      <c r="CD75" s="293"/>
      <c r="CE75" s="293"/>
      <c r="CF75" s="293"/>
      <c r="CG75" s="293"/>
      <c r="CH75" s="293"/>
      <c r="CI75" s="293"/>
      <c r="CJ75" s="293"/>
      <c r="CK75" s="293"/>
      <c r="CL75" s="293"/>
      <c r="CM75" s="293"/>
      <c r="CN75" s="293"/>
      <c r="CO75" s="293"/>
      <c r="CP75" s="293"/>
      <c r="CQ75" s="293"/>
      <c r="CR75" s="293"/>
      <c r="CS75" s="293"/>
      <c r="CT75" s="293"/>
      <c r="CU75" s="293"/>
      <c r="CV75" s="293"/>
      <c r="CW75" s="293"/>
      <c r="CX75" s="293"/>
      <c r="CY75" s="293"/>
      <c r="CZ75" s="293"/>
      <c r="DA75" s="293"/>
      <c r="DB75" s="293"/>
      <c r="DC75" s="293"/>
      <c r="DD75" s="293"/>
      <c r="DE75" s="293"/>
      <c r="DF75" s="293"/>
      <c r="DG75" s="288"/>
      <c r="DH75" s="288"/>
      <c r="DI75" s="288"/>
      <c r="DJ75" s="288"/>
      <c r="DK75" s="288"/>
      <c r="DL75" s="288"/>
      <c r="DM75" s="288"/>
      <c r="DN75" s="288"/>
      <c r="DO75" s="288"/>
      <c r="DP75" s="288"/>
      <c r="DQ75" s="288"/>
      <c r="DR75" s="288"/>
      <c r="DS75" s="288"/>
      <c r="DT75" s="288"/>
      <c r="DU75" s="288"/>
      <c r="DV75" s="288"/>
      <c r="DW75" s="288"/>
      <c r="DX75" s="288"/>
    </row>
    <row r="76" ht="14.25" customHeight="1">
      <c r="A76" s="293"/>
      <c r="B76" s="293"/>
      <c r="C76" s="293"/>
      <c r="D76" s="293"/>
      <c r="E76" s="293"/>
      <c r="F76" s="293"/>
      <c r="G76" s="293"/>
      <c r="H76" s="293"/>
      <c r="I76" s="293"/>
      <c r="J76" s="293"/>
      <c r="K76" s="293"/>
      <c r="L76" s="293"/>
      <c r="M76" s="293"/>
      <c r="N76" s="293"/>
      <c r="O76" s="293"/>
      <c r="P76" s="293"/>
      <c r="Q76" s="293"/>
      <c r="R76" s="293"/>
      <c r="S76" s="293"/>
      <c r="T76" s="293"/>
      <c r="U76" s="293"/>
      <c r="V76" s="293"/>
      <c r="W76" s="293"/>
      <c r="X76" s="293"/>
      <c r="Y76" s="293"/>
      <c r="Z76" s="293"/>
      <c r="AA76" s="293"/>
      <c r="AB76" s="293"/>
      <c r="AC76" s="293"/>
      <c r="AD76" s="293"/>
      <c r="AE76" s="293"/>
      <c r="AF76" s="293"/>
      <c r="AG76" s="293"/>
      <c r="AH76" s="293"/>
      <c r="AI76" s="293"/>
      <c r="AJ76" s="293"/>
      <c r="AK76" s="293"/>
      <c r="AL76" s="293"/>
      <c r="AM76" s="293"/>
      <c r="AN76" s="293"/>
      <c r="AO76" s="293"/>
      <c r="AP76" s="293"/>
      <c r="AQ76" s="293"/>
      <c r="AR76" s="293"/>
      <c r="AS76" s="293"/>
      <c r="AT76" s="293"/>
      <c r="AU76" s="293"/>
      <c r="AV76" s="293"/>
      <c r="AW76" s="293"/>
      <c r="AX76" s="293"/>
      <c r="AY76" s="293"/>
      <c r="AZ76" s="293"/>
      <c r="BA76" s="293"/>
      <c r="BB76" s="293"/>
      <c r="BC76" s="293"/>
      <c r="BD76" s="293"/>
      <c r="BE76" s="293"/>
      <c r="BF76" s="293"/>
      <c r="BG76" s="293"/>
      <c r="BH76" s="293"/>
      <c r="BI76" s="293"/>
      <c r="BJ76" s="293"/>
      <c r="BK76" s="293"/>
      <c r="BL76" s="293"/>
      <c r="BM76" s="293"/>
      <c r="BN76" s="293"/>
      <c r="BO76" s="293"/>
      <c r="BP76" s="293"/>
      <c r="BQ76" s="293"/>
      <c r="BR76" s="293"/>
      <c r="BS76" s="293"/>
      <c r="BT76" s="293"/>
      <c r="BU76" s="293"/>
      <c r="BV76" s="293"/>
      <c r="BW76" s="293"/>
      <c r="BX76" s="293"/>
      <c r="BY76" s="293"/>
      <c r="BZ76" s="293"/>
      <c r="CA76" s="293"/>
      <c r="CB76" s="293"/>
      <c r="CC76" s="293"/>
      <c r="CD76" s="293"/>
      <c r="CE76" s="293"/>
      <c r="CF76" s="293"/>
      <c r="CG76" s="293"/>
      <c r="CH76" s="293"/>
      <c r="CI76" s="293"/>
      <c r="CJ76" s="293"/>
      <c r="CK76" s="293"/>
      <c r="CL76" s="293"/>
      <c r="CM76" s="293"/>
      <c r="CN76" s="293"/>
      <c r="CO76" s="293"/>
      <c r="CP76" s="293"/>
      <c r="CQ76" s="293"/>
      <c r="CR76" s="293"/>
      <c r="CS76" s="293"/>
      <c r="CT76" s="293"/>
      <c r="CU76" s="293"/>
      <c r="CV76" s="293"/>
      <c r="CW76" s="293"/>
      <c r="CX76" s="293"/>
      <c r="CY76" s="293"/>
      <c r="CZ76" s="293"/>
      <c r="DA76" s="293"/>
      <c r="DB76" s="293"/>
      <c r="DC76" s="293"/>
      <c r="DD76" s="293"/>
      <c r="DE76" s="293"/>
      <c r="DF76" s="293"/>
      <c r="DG76" s="288"/>
      <c r="DH76" s="288"/>
      <c r="DI76" s="288"/>
      <c r="DJ76" s="288"/>
      <c r="DK76" s="288"/>
      <c r="DL76" s="288"/>
      <c r="DM76" s="288"/>
      <c r="DN76" s="288"/>
      <c r="DO76" s="288"/>
      <c r="DP76" s="288"/>
      <c r="DQ76" s="288"/>
      <c r="DR76" s="288"/>
      <c r="DS76" s="288"/>
      <c r="DT76" s="288"/>
      <c r="DU76" s="288"/>
      <c r="DV76" s="288"/>
      <c r="DW76" s="288"/>
      <c r="DX76" s="288"/>
    </row>
    <row r="77" ht="14.25" customHeight="1">
      <c r="A77" s="293"/>
      <c r="B77" s="293"/>
      <c r="C77" s="293"/>
      <c r="D77" s="293"/>
      <c r="E77" s="293"/>
      <c r="F77" s="293"/>
      <c r="G77" s="293"/>
      <c r="H77" s="293"/>
      <c r="I77" s="293"/>
      <c r="J77" s="293"/>
      <c r="K77" s="293"/>
      <c r="L77" s="293"/>
      <c r="M77" s="293"/>
      <c r="N77" s="293"/>
      <c r="O77" s="293"/>
      <c r="P77" s="293"/>
      <c r="Q77" s="293"/>
      <c r="R77" s="293"/>
      <c r="S77" s="293"/>
      <c r="T77" s="293"/>
      <c r="U77" s="293"/>
      <c r="V77" s="293"/>
      <c r="W77" s="293"/>
      <c r="X77" s="293"/>
      <c r="Y77" s="293"/>
      <c r="Z77" s="293"/>
      <c r="AA77" s="293"/>
      <c r="AB77" s="293"/>
      <c r="AC77" s="293"/>
      <c r="AD77" s="293"/>
      <c r="AE77" s="293"/>
      <c r="AF77" s="293"/>
      <c r="AG77" s="293"/>
      <c r="AH77" s="293"/>
      <c r="AI77" s="293"/>
      <c r="AJ77" s="293"/>
      <c r="AK77" s="293"/>
      <c r="AL77" s="293"/>
      <c r="AM77" s="293"/>
      <c r="AN77" s="293"/>
      <c r="AO77" s="293"/>
      <c r="AP77" s="293"/>
      <c r="AQ77" s="293"/>
      <c r="AR77" s="293"/>
      <c r="AS77" s="293"/>
      <c r="AT77" s="293"/>
      <c r="AU77" s="293"/>
      <c r="AV77" s="293"/>
      <c r="AW77" s="293"/>
      <c r="AX77" s="293"/>
      <c r="AY77" s="293"/>
      <c r="AZ77" s="293"/>
      <c r="BA77" s="293"/>
      <c r="BB77" s="293"/>
      <c r="BC77" s="293"/>
      <c r="BD77" s="293"/>
      <c r="BE77" s="293"/>
      <c r="BF77" s="293"/>
      <c r="BG77" s="293"/>
      <c r="BH77" s="293"/>
      <c r="BI77" s="293"/>
      <c r="BJ77" s="293"/>
      <c r="BK77" s="293"/>
      <c r="BL77" s="293"/>
      <c r="BM77" s="293"/>
      <c r="BN77" s="293"/>
      <c r="BO77" s="293"/>
      <c r="BP77" s="293"/>
      <c r="BQ77" s="293"/>
      <c r="BR77" s="293"/>
      <c r="BS77" s="293"/>
      <c r="BT77" s="293"/>
      <c r="BU77" s="293"/>
      <c r="BV77" s="293"/>
      <c r="BW77" s="293"/>
      <c r="BX77" s="293"/>
      <c r="BY77" s="293"/>
      <c r="BZ77" s="293"/>
      <c r="CA77" s="293"/>
      <c r="CB77" s="293"/>
      <c r="CC77" s="293"/>
      <c r="CD77" s="293"/>
      <c r="CE77" s="293"/>
      <c r="CF77" s="293"/>
      <c r="CG77" s="293"/>
      <c r="CH77" s="293"/>
      <c r="CI77" s="293"/>
      <c r="CJ77" s="293"/>
      <c r="CK77" s="293"/>
      <c r="CL77" s="293"/>
      <c r="CM77" s="293"/>
      <c r="CN77" s="293"/>
      <c r="CO77" s="293"/>
      <c r="CP77" s="293"/>
      <c r="CQ77" s="293"/>
      <c r="CR77" s="293"/>
      <c r="CS77" s="293"/>
      <c r="CT77" s="293"/>
      <c r="CU77" s="293"/>
      <c r="CV77" s="293"/>
      <c r="CW77" s="293"/>
      <c r="CX77" s="293"/>
      <c r="CY77" s="293"/>
      <c r="CZ77" s="293"/>
      <c r="DA77" s="293"/>
      <c r="DB77" s="293"/>
      <c r="DC77" s="293"/>
      <c r="DD77" s="293"/>
      <c r="DE77" s="293"/>
      <c r="DF77" s="293"/>
      <c r="DG77" s="288"/>
      <c r="DH77" s="288"/>
      <c r="DI77" s="288"/>
      <c r="DJ77" s="288"/>
      <c r="DK77" s="288"/>
      <c r="DL77" s="288"/>
      <c r="DM77" s="288"/>
      <c r="DN77" s="288"/>
      <c r="DO77" s="288"/>
      <c r="DP77" s="288"/>
      <c r="DQ77" s="288"/>
      <c r="DR77" s="288"/>
      <c r="DS77" s="288"/>
      <c r="DT77" s="288"/>
      <c r="DU77" s="288"/>
      <c r="DV77" s="288"/>
      <c r="DW77" s="288"/>
      <c r="DX77" s="288"/>
    </row>
    <row r="78" ht="14.25" customHeight="1">
      <c r="A78" s="293"/>
      <c r="B78" s="293"/>
      <c r="C78" s="293"/>
      <c r="D78" s="293"/>
      <c r="E78" s="293"/>
      <c r="F78" s="293"/>
      <c r="G78" s="293"/>
      <c r="H78" s="293"/>
      <c r="I78" s="293"/>
      <c r="J78" s="293"/>
      <c r="K78" s="293"/>
      <c r="L78" s="293"/>
      <c r="M78" s="293"/>
      <c r="N78" s="293"/>
      <c r="O78" s="293"/>
      <c r="P78" s="293"/>
      <c r="Q78" s="293"/>
      <c r="R78" s="293"/>
      <c r="S78" s="293"/>
      <c r="T78" s="293"/>
      <c r="U78" s="293"/>
      <c r="V78" s="293"/>
      <c r="W78" s="293"/>
      <c r="X78" s="293"/>
      <c r="Y78" s="293"/>
      <c r="Z78" s="293"/>
      <c r="AA78" s="293"/>
      <c r="AB78" s="293"/>
      <c r="AC78" s="293"/>
      <c r="AD78" s="293"/>
      <c r="AE78" s="293"/>
      <c r="AF78" s="293"/>
      <c r="AG78" s="293"/>
      <c r="AH78" s="293"/>
      <c r="AI78" s="293"/>
      <c r="AJ78" s="293"/>
      <c r="AK78" s="293"/>
      <c r="AL78" s="293"/>
      <c r="AM78" s="293"/>
      <c r="AN78" s="293"/>
      <c r="AO78" s="293"/>
      <c r="AP78" s="293"/>
      <c r="AQ78" s="293"/>
      <c r="AR78" s="293"/>
      <c r="AS78" s="293"/>
      <c r="AT78" s="293"/>
      <c r="AU78" s="293"/>
      <c r="AV78" s="293"/>
      <c r="AW78" s="293"/>
      <c r="AX78" s="293"/>
      <c r="AY78" s="293"/>
      <c r="AZ78" s="293"/>
      <c r="BA78" s="293"/>
      <c r="BB78" s="293"/>
      <c r="BC78" s="293"/>
      <c r="BD78" s="293"/>
      <c r="BE78" s="293"/>
      <c r="BF78" s="293"/>
      <c r="BG78" s="293"/>
      <c r="BH78" s="293"/>
      <c r="BI78" s="293"/>
      <c r="BJ78" s="293"/>
      <c r="BK78" s="293"/>
      <c r="BL78" s="293"/>
      <c r="BM78" s="293"/>
      <c r="BN78" s="293"/>
      <c r="BO78" s="293"/>
      <c r="BP78" s="293"/>
      <c r="BQ78" s="293"/>
      <c r="BR78" s="293"/>
      <c r="BS78" s="293"/>
      <c r="BT78" s="293"/>
      <c r="BU78" s="293"/>
      <c r="BV78" s="293"/>
      <c r="BW78" s="293"/>
      <c r="BX78" s="293"/>
      <c r="BY78" s="293"/>
      <c r="BZ78" s="293"/>
      <c r="CA78" s="293"/>
      <c r="CB78" s="293"/>
      <c r="CC78" s="293"/>
      <c r="CD78" s="293"/>
      <c r="CE78" s="293"/>
      <c r="CF78" s="293"/>
      <c r="CG78" s="293"/>
      <c r="CH78" s="293"/>
      <c r="CI78" s="293"/>
      <c r="CJ78" s="293"/>
      <c r="CK78" s="293"/>
      <c r="CL78" s="293"/>
      <c r="CM78" s="293"/>
      <c r="CN78" s="293"/>
      <c r="CO78" s="293"/>
      <c r="CP78" s="293"/>
      <c r="CQ78" s="293"/>
      <c r="CR78" s="293"/>
      <c r="CS78" s="293"/>
      <c r="CT78" s="293"/>
      <c r="CU78" s="293"/>
      <c r="CV78" s="293"/>
      <c r="CW78" s="293"/>
      <c r="CX78" s="293"/>
      <c r="CY78" s="293"/>
      <c r="CZ78" s="293"/>
      <c r="DA78" s="293"/>
      <c r="DB78" s="293"/>
      <c r="DC78" s="293"/>
      <c r="DD78" s="293"/>
      <c r="DE78" s="293"/>
      <c r="DF78" s="293"/>
      <c r="DG78" s="288"/>
      <c r="DH78" s="288"/>
      <c r="DI78" s="288"/>
      <c r="DJ78" s="288"/>
      <c r="DK78" s="288"/>
      <c r="DL78" s="288"/>
      <c r="DM78" s="288"/>
      <c r="DN78" s="288"/>
      <c r="DO78" s="288"/>
      <c r="DP78" s="288"/>
      <c r="DQ78" s="288"/>
      <c r="DR78" s="288"/>
      <c r="DS78" s="288"/>
      <c r="DT78" s="288"/>
      <c r="DU78" s="288"/>
      <c r="DV78" s="288"/>
      <c r="DW78" s="288"/>
      <c r="DX78" s="288"/>
    </row>
    <row r="79" ht="14.25" customHeight="1">
      <c r="A79" s="293"/>
      <c r="B79" s="293"/>
      <c r="C79" s="293"/>
      <c r="D79" s="293"/>
      <c r="E79" s="293"/>
      <c r="F79" s="293"/>
      <c r="G79" s="293"/>
      <c r="H79" s="293"/>
      <c r="I79" s="293"/>
      <c r="J79" s="293"/>
      <c r="K79" s="293"/>
      <c r="L79" s="293"/>
      <c r="M79" s="293"/>
      <c r="N79" s="293"/>
      <c r="O79" s="293"/>
      <c r="P79" s="293"/>
      <c r="Q79" s="293"/>
      <c r="R79" s="293"/>
      <c r="S79" s="293"/>
      <c r="T79" s="293"/>
      <c r="U79" s="293"/>
      <c r="V79" s="293"/>
      <c r="W79" s="293"/>
      <c r="X79" s="293"/>
      <c r="Y79" s="293"/>
      <c r="Z79" s="293"/>
      <c r="AA79" s="293"/>
      <c r="AB79" s="293"/>
      <c r="AC79" s="293"/>
      <c r="AD79" s="293"/>
      <c r="AE79" s="293"/>
      <c r="AF79" s="293"/>
      <c r="AG79" s="293"/>
      <c r="AH79" s="293"/>
      <c r="AI79" s="293"/>
      <c r="AJ79" s="293"/>
      <c r="AK79" s="293"/>
      <c r="AL79" s="293"/>
      <c r="AM79" s="293"/>
      <c r="AN79" s="293"/>
      <c r="AO79" s="293"/>
      <c r="AP79" s="293"/>
      <c r="AQ79" s="293"/>
      <c r="AR79" s="293"/>
      <c r="AS79" s="293"/>
      <c r="AT79" s="293"/>
      <c r="AU79" s="293"/>
      <c r="AV79" s="293"/>
      <c r="AW79" s="293"/>
      <c r="AX79" s="293"/>
      <c r="AY79" s="293"/>
      <c r="AZ79" s="293"/>
      <c r="BA79" s="293"/>
      <c r="BB79" s="293"/>
      <c r="BC79" s="293"/>
      <c r="BD79" s="293"/>
      <c r="BE79" s="293"/>
      <c r="BF79" s="293"/>
      <c r="BG79" s="293"/>
      <c r="BH79" s="293"/>
      <c r="BI79" s="293"/>
      <c r="BJ79" s="293"/>
      <c r="BK79" s="293"/>
      <c r="BL79" s="293"/>
      <c r="BM79" s="293"/>
      <c r="BN79" s="293"/>
      <c r="BO79" s="293"/>
      <c r="BP79" s="293"/>
      <c r="BQ79" s="293"/>
      <c r="BR79" s="293"/>
      <c r="BS79" s="293"/>
      <c r="BT79" s="293"/>
      <c r="BU79" s="293"/>
      <c r="BV79" s="293"/>
      <c r="BW79" s="293"/>
      <c r="BX79" s="293"/>
      <c r="BY79" s="293"/>
      <c r="BZ79" s="293"/>
      <c r="CA79" s="293"/>
      <c r="CB79" s="293"/>
      <c r="CC79" s="293"/>
      <c r="CD79" s="293"/>
      <c r="CE79" s="293"/>
      <c r="CF79" s="293"/>
      <c r="CG79" s="293"/>
      <c r="CH79" s="293"/>
      <c r="CI79" s="293"/>
      <c r="CJ79" s="293"/>
      <c r="CK79" s="293"/>
      <c r="CL79" s="293"/>
      <c r="CM79" s="293"/>
      <c r="CN79" s="293"/>
      <c r="CO79" s="293"/>
      <c r="CP79" s="293"/>
      <c r="CQ79" s="293"/>
      <c r="CR79" s="293"/>
      <c r="CS79" s="293"/>
      <c r="CT79" s="293"/>
      <c r="CU79" s="293"/>
      <c r="CV79" s="293"/>
      <c r="CW79" s="293"/>
      <c r="CX79" s="293"/>
      <c r="CY79" s="293"/>
      <c r="CZ79" s="293"/>
      <c r="DA79" s="293"/>
      <c r="DB79" s="293"/>
      <c r="DC79" s="293"/>
      <c r="DD79" s="293"/>
      <c r="DE79" s="293"/>
      <c r="DF79" s="293"/>
      <c r="DG79" s="288"/>
      <c r="DH79" s="288"/>
      <c r="DI79" s="288"/>
      <c r="DJ79" s="288"/>
      <c r="DK79" s="288"/>
      <c r="DL79" s="288"/>
      <c r="DM79" s="288"/>
      <c r="DN79" s="288"/>
      <c r="DO79" s="288"/>
      <c r="DP79" s="288"/>
      <c r="DQ79" s="288"/>
      <c r="DR79" s="288"/>
      <c r="DS79" s="288"/>
      <c r="DT79" s="288"/>
      <c r="DU79" s="288"/>
      <c r="DV79" s="288"/>
      <c r="DW79" s="288"/>
      <c r="DX79" s="288"/>
    </row>
    <row r="80" ht="14.25" customHeight="1">
      <c r="A80" s="293"/>
      <c r="B80" s="293"/>
      <c r="C80" s="293"/>
      <c r="D80" s="293"/>
      <c r="E80" s="293"/>
      <c r="F80" s="293"/>
      <c r="G80" s="293"/>
      <c r="H80" s="293"/>
      <c r="I80" s="293"/>
      <c r="J80" s="293"/>
      <c r="K80" s="293"/>
      <c r="L80" s="293"/>
      <c r="M80" s="293"/>
      <c r="N80" s="293"/>
      <c r="O80" s="293"/>
      <c r="P80" s="293"/>
      <c r="Q80" s="293"/>
      <c r="R80" s="293"/>
      <c r="S80" s="293"/>
      <c r="T80" s="293"/>
      <c r="U80" s="293"/>
      <c r="V80" s="293"/>
      <c r="W80" s="293"/>
      <c r="X80" s="293"/>
      <c r="Y80" s="293"/>
      <c r="Z80" s="293"/>
      <c r="AA80" s="293"/>
      <c r="AB80" s="293"/>
      <c r="AC80" s="293"/>
      <c r="AD80" s="293"/>
      <c r="AE80" s="293"/>
      <c r="AF80" s="293"/>
      <c r="AG80" s="293"/>
      <c r="AH80" s="293"/>
      <c r="AI80" s="293"/>
      <c r="AJ80" s="293"/>
      <c r="AK80" s="293"/>
      <c r="AL80" s="293"/>
      <c r="AM80" s="293"/>
      <c r="AN80" s="293"/>
      <c r="AO80" s="293"/>
      <c r="AP80" s="293"/>
      <c r="AQ80" s="293"/>
      <c r="AR80" s="293"/>
      <c r="AS80" s="293"/>
      <c r="AT80" s="293"/>
      <c r="AU80" s="293"/>
      <c r="AV80" s="293"/>
      <c r="AW80" s="293"/>
      <c r="AX80" s="293"/>
      <c r="AY80" s="293"/>
      <c r="AZ80" s="293"/>
      <c r="BA80" s="293"/>
      <c r="BB80" s="293"/>
      <c r="BC80" s="293"/>
      <c r="BD80" s="293"/>
      <c r="BE80" s="293"/>
      <c r="BF80" s="293"/>
      <c r="BG80" s="293"/>
      <c r="BH80" s="293"/>
      <c r="BI80" s="293"/>
      <c r="BJ80" s="293"/>
      <c r="BK80" s="293"/>
      <c r="BL80" s="293"/>
      <c r="BM80" s="293"/>
      <c r="BN80" s="293"/>
      <c r="BO80" s="293"/>
      <c r="BP80" s="293"/>
      <c r="BQ80" s="293"/>
      <c r="BR80" s="293"/>
      <c r="BS80" s="293"/>
      <c r="BT80" s="293"/>
      <c r="BU80" s="293"/>
      <c r="BV80" s="293"/>
      <c r="BW80" s="293"/>
      <c r="BX80" s="293"/>
      <c r="BY80" s="293"/>
      <c r="BZ80" s="293"/>
      <c r="CA80" s="293"/>
      <c r="CB80" s="293"/>
      <c r="CC80" s="293"/>
      <c r="CD80" s="293"/>
      <c r="CE80" s="293"/>
      <c r="CF80" s="293"/>
      <c r="CG80" s="293"/>
      <c r="CH80" s="293"/>
      <c r="CI80" s="293"/>
      <c r="CJ80" s="293"/>
      <c r="CK80" s="293"/>
      <c r="CL80" s="293"/>
      <c r="CM80" s="293"/>
      <c r="CN80" s="293"/>
      <c r="CO80" s="293"/>
      <c r="CP80" s="293"/>
      <c r="CQ80" s="293"/>
      <c r="CR80" s="293"/>
      <c r="CS80" s="293"/>
      <c r="CT80" s="293"/>
      <c r="CU80" s="293"/>
      <c r="CV80" s="293"/>
      <c r="CW80" s="293"/>
      <c r="CX80" s="293"/>
      <c r="CY80" s="293"/>
      <c r="CZ80" s="293"/>
      <c r="DA80" s="293"/>
      <c r="DB80" s="293"/>
      <c r="DC80" s="293"/>
      <c r="DD80" s="293"/>
      <c r="DE80" s="293"/>
      <c r="DF80" s="293"/>
      <c r="DG80" s="288"/>
      <c r="DH80" s="288"/>
      <c r="DI80" s="288"/>
      <c r="DJ80" s="288"/>
      <c r="DK80" s="288"/>
      <c r="DL80" s="288"/>
      <c r="DM80" s="288"/>
      <c r="DN80" s="288"/>
      <c r="DO80" s="288"/>
      <c r="DP80" s="288"/>
      <c r="DQ80" s="288"/>
      <c r="DR80" s="288"/>
      <c r="DS80" s="288"/>
      <c r="DT80" s="288"/>
      <c r="DU80" s="288"/>
      <c r="DV80" s="288"/>
      <c r="DW80" s="288"/>
      <c r="DX80" s="288"/>
    </row>
    <row r="81" ht="14.25" customHeight="1">
      <c r="A81" s="293"/>
      <c r="B81" s="293"/>
      <c r="C81" s="293"/>
      <c r="D81" s="293"/>
      <c r="E81" s="293"/>
      <c r="F81" s="293"/>
      <c r="G81" s="293"/>
      <c r="H81" s="293"/>
      <c r="I81" s="293"/>
      <c r="J81" s="293"/>
      <c r="K81" s="293"/>
      <c r="L81" s="293"/>
      <c r="M81" s="293"/>
      <c r="N81" s="293"/>
      <c r="O81" s="293"/>
      <c r="P81" s="293"/>
      <c r="Q81" s="293"/>
      <c r="R81" s="293"/>
      <c r="S81" s="293"/>
      <c r="T81" s="293"/>
      <c r="U81" s="293"/>
      <c r="V81" s="293"/>
      <c r="W81" s="293"/>
      <c r="X81" s="293"/>
      <c r="Y81" s="293"/>
      <c r="Z81" s="293"/>
      <c r="AA81" s="293"/>
      <c r="AB81" s="293"/>
      <c r="AC81" s="293"/>
      <c r="AD81" s="293"/>
      <c r="AE81" s="293"/>
      <c r="AF81" s="293"/>
      <c r="AG81" s="293"/>
      <c r="AH81" s="293"/>
      <c r="AI81" s="293"/>
      <c r="AJ81" s="293"/>
      <c r="AK81" s="293"/>
      <c r="AL81" s="293"/>
      <c r="AM81" s="293"/>
      <c r="AN81" s="293"/>
      <c r="AO81" s="293"/>
      <c r="AP81" s="293"/>
      <c r="AQ81" s="293"/>
      <c r="AR81" s="293"/>
      <c r="AS81" s="293"/>
      <c r="AT81" s="293"/>
      <c r="AU81" s="293"/>
      <c r="AV81" s="293"/>
      <c r="AW81" s="293"/>
      <c r="AX81" s="293"/>
      <c r="AY81" s="293"/>
      <c r="AZ81" s="293"/>
      <c r="BA81" s="293"/>
      <c r="BB81" s="293"/>
      <c r="BC81" s="293"/>
      <c r="BD81" s="293"/>
      <c r="BE81" s="293"/>
      <c r="BF81" s="293"/>
      <c r="BG81" s="293"/>
      <c r="BH81" s="293"/>
      <c r="BI81" s="293"/>
      <c r="BJ81" s="293"/>
      <c r="BK81" s="293"/>
      <c r="BL81" s="293"/>
      <c r="BM81" s="293"/>
      <c r="BN81" s="293"/>
      <c r="BO81" s="293"/>
      <c r="BP81" s="293"/>
      <c r="BQ81" s="293"/>
      <c r="BR81" s="293"/>
      <c r="BS81" s="293"/>
      <c r="BT81" s="293"/>
      <c r="BU81" s="293"/>
      <c r="BV81" s="293"/>
      <c r="BW81" s="293"/>
      <c r="BX81" s="293"/>
      <c r="BY81" s="293"/>
      <c r="BZ81" s="293"/>
      <c r="CA81" s="293"/>
      <c r="CB81" s="293"/>
      <c r="CC81" s="293"/>
      <c r="CD81" s="293"/>
      <c r="CE81" s="293"/>
      <c r="CF81" s="293"/>
      <c r="CG81" s="293"/>
      <c r="CH81" s="293"/>
      <c r="CI81" s="293"/>
      <c r="CJ81" s="293"/>
      <c r="CK81" s="293"/>
      <c r="CL81" s="293"/>
      <c r="CM81" s="293"/>
      <c r="CN81" s="293"/>
      <c r="CO81" s="293"/>
      <c r="CP81" s="293"/>
      <c r="CQ81" s="293"/>
      <c r="CR81" s="293"/>
      <c r="CS81" s="293"/>
      <c r="CT81" s="293"/>
      <c r="CU81" s="293"/>
      <c r="CV81" s="293"/>
      <c r="CW81" s="293"/>
      <c r="CX81" s="293"/>
      <c r="CY81" s="293"/>
      <c r="CZ81" s="293"/>
      <c r="DA81" s="293"/>
      <c r="DB81" s="293"/>
      <c r="DC81" s="293"/>
      <c r="DD81" s="293"/>
      <c r="DE81" s="293"/>
      <c r="DF81" s="293"/>
      <c r="DG81" s="288"/>
      <c r="DH81" s="288"/>
      <c r="DI81" s="288"/>
      <c r="DJ81" s="288"/>
      <c r="DK81" s="288"/>
      <c r="DL81" s="288"/>
      <c r="DM81" s="288"/>
      <c r="DN81" s="288"/>
      <c r="DO81" s="288"/>
      <c r="DP81" s="288"/>
      <c r="DQ81" s="288"/>
      <c r="DR81" s="288"/>
      <c r="DS81" s="288"/>
      <c r="DT81" s="288"/>
      <c r="DU81" s="288"/>
      <c r="DV81" s="288"/>
      <c r="DW81" s="288"/>
      <c r="DX81" s="288"/>
    </row>
    <row r="82" ht="14.25" customHeight="1">
      <c r="A82" s="293"/>
      <c r="B82" s="293"/>
      <c r="C82" s="293"/>
      <c r="D82" s="293"/>
      <c r="E82" s="293"/>
      <c r="F82" s="293"/>
      <c r="G82" s="293"/>
      <c r="H82" s="293"/>
      <c r="I82" s="293"/>
      <c r="J82" s="293"/>
      <c r="K82" s="293"/>
      <c r="L82" s="293"/>
      <c r="M82" s="293"/>
      <c r="N82" s="293"/>
      <c r="O82" s="293"/>
      <c r="P82" s="293"/>
      <c r="Q82" s="293"/>
      <c r="R82" s="293"/>
      <c r="S82" s="293"/>
      <c r="T82" s="293"/>
      <c r="U82" s="293"/>
      <c r="V82" s="293"/>
      <c r="W82" s="293"/>
      <c r="X82" s="293"/>
      <c r="Y82" s="293"/>
      <c r="Z82" s="293"/>
      <c r="AA82" s="293"/>
      <c r="AB82" s="293"/>
      <c r="AC82" s="293"/>
      <c r="AD82" s="293"/>
      <c r="AE82" s="293"/>
      <c r="AF82" s="293"/>
      <c r="AG82" s="293"/>
      <c r="AH82" s="293"/>
      <c r="AI82" s="293"/>
      <c r="AJ82" s="293"/>
      <c r="AK82" s="293"/>
      <c r="AL82" s="293"/>
      <c r="AM82" s="293"/>
      <c r="AN82" s="293"/>
      <c r="AO82" s="293"/>
      <c r="AP82" s="293"/>
      <c r="AQ82" s="293"/>
      <c r="AR82" s="293"/>
      <c r="AS82" s="293"/>
      <c r="AT82" s="293"/>
      <c r="AU82" s="293"/>
      <c r="AV82" s="293"/>
      <c r="AW82" s="293"/>
      <c r="AX82" s="293"/>
      <c r="AY82" s="293"/>
      <c r="AZ82" s="293"/>
      <c r="BA82" s="293"/>
      <c r="BB82" s="293"/>
      <c r="BC82" s="293"/>
      <c r="BD82" s="293"/>
      <c r="BE82" s="293"/>
      <c r="BF82" s="293"/>
      <c r="BG82" s="293"/>
      <c r="BH82" s="293"/>
      <c r="BI82" s="293"/>
      <c r="BJ82" s="293"/>
      <c r="BK82" s="293"/>
      <c r="BL82" s="293"/>
      <c r="BM82" s="293"/>
      <c r="BN82" s="293"/>
      <c r="BO82" s="293"/>
      <c r="BP82" s="293"/>
      <c r="BQ82" s="293"/>
      <c r="BR82" s="293"/>
      <c r="BS82" s="293"/>
      <c r="BT82" s="293"/>
      <c r="BU82" s="293"/>
      <c r="BV82" s="293"/>
      <c r="BW82" s="293"/>
      <c r="BX82" s="293"/>
      <c r="BY82" s="293"/>
      <c r="BZ82" s="293"/>
      <c r="CA82" s="293"/>
      <c r="CB82" s="293"/>
      <c r="CC82" s="293"/>
      <c r="CD82" s="293"/>
      <c r="CE82" s="293"/>
      <c r="CF82" s="293"/>
      <c r="CG82" s="293"/>
      <c r="CH82" s="293"/>
      <c r="CI82" s="293"/>
      <c r="CJ82" s="293"/>
      <c r="CK82" s="293"/>
      <c r="CL82" s="293"/>
      <c r="CM82" s="293"/>
      <c r="CN82" s="293"/>
      <c r="CO82" s="293"/>
      <c r="CP82" s="293"/>
      <c r="CQ82" s="293"/>
      <c r="CR82" s="293"/>
      <c r="CS82" s="293"/>
      <c r="CT82" s="293"/>
      <c r="CU82" s="293"/>
      <c r="CV82" s="293"/>
      <c r="CW82" s="293"/>
      <c r="CX82" s="293"/>
      <c r="CY82" s="293"/>
      <c r="CZ82" s="293"/>
      <c r="DA82" s="293"/>
      <c r="DB82" s="293"/>
      <c r="DC82" s="293"/>
      <c r="DD82" s="293"/>
      <c r="DE82" s="293"/>
      <c r="DF82" s="293"/>
      <c r="DG82" s="288"/>
      <c r="DH82" s="288"/>
      <c r="DI82" s="288"/>
      <c r="DJ82" s="288"/>
      <c r="DK82" s="288"/>
      <c r="DL82" s="288"/>
      <c r="DM82" s="288"/>
      <c r="DN82" s="288"/>
      <c r="DO82" s="288"/>
      <c r="DP82" s="288"/>
      <c r="DQ82" s="288"/>
      <c r="DR82" s="288"/>
      <c r="DS82" s="288"/>
      <c r="DT82" s="288"/>
      <c r="DU82" s="288"/>
      <c r="DV82" s="288"/>
      <c r="DW82" s="288"/>
      <c r="DX82" s="288"/>
    </row>
    <row r="83" ht="14.25" customHeight="1">
      <c r="A83" s="293"/>
      <c r="B83" s="293"/>
      <c r="C83" s="293"/>
      <c r="D83" s="293"/>
      <c r="E83" s="293"/>
      <c r="F83" s="293"/>
      <c r="G83" s="293"/>
      <c r="H83" s="293"/>
      <c r="I83" s="293"/>
      <c r="J83" s="293"/>
      <c r="K83" s="293"/>
      <c r="L83" s="293"/>
      <c r="M83" s="293"/>
      <c r="N83" s="293"/>
      <c r="O83" s="293"/>
      <c r="P83" s="293"/>
      <c r="Q83" s="293"/>
      <c r="R83" s="293"/>
      <c r="S83" s="293"/>
      <c r="T83" s="293"/>
      <c r="U83" s="293"/>
      <c r="V83" s="293"/>
      <c r="W83" s="293"/>
      <c r="X83" s="293"/>
      <c r="Y83" s="293"/>
      <c r="Z83" s="293"/>
      <c r="AA83" s="293"/>
      <c r="AB83" s="293"/>
      <c r="AC83" s="293"/>
      <c r="AD83" s="293"/>
      <c r="AE83" s="293"/>
      <c r="AF83" s="293"/>
      <c r="AG83" s="293"/>
      <c r="AH83" s="293"/>
      <c r="AI83" s="293"/>
      <c r="AJ83" s="293"/>
      <c r="AK83" s="293"/>
      <c r="AL83" s="293"/>
      <c r="AM83" s="293"/>
      <c r="AN83" s="293"/>
      <c r="AO83" s="293"/>
      <c r="AP83" s="293"/>
      <c r="AQ83" s="293"/>
      <c r="AR83" s="293"/>
      <c r="AS83" s="293"/>
      <c r="AT83" s="293"/>
      <c r="AU83" s="293"/>
      <c r="AV83" s="293"/>
      <c r="AW83" s="293"/>
      <c r="AX83" s="293"/>
      <c r="AY83" s="293"/>
      <c r="AZ83" s="293"/>
      <c r="BA83" s="293"/>
      <c r="BB83" s="293"/>
      <c r="BC83" s="293"/>
      <c r="BD83" s="293"/>
      <c r="BE83" s="293"/>
      <c r="BF83" s="293"/>
      <c r="BG83" s="293"/>
      <c r="BH83" s="293"/>
      <c r="BI83" s="293"/>
      <c r="BJ83" s="293"/>
      <c r="BK83" s="293"/>
      <c r="BL83" s="293"/>
      <c r="BM83" s="293"/>
      <c r="BN83" s="293"/>
      <c r="BO83" s="293"/>
      <c r="BP83" s="293"/>
      <c r="BQ83" s="293"/>
      <c r="BR83" s="293"/>
      <c r="BS83" s="293"/>
      <c r="BT83" s="293"/>
      <c r="BU83" s="293"/>
      <c r="BV83" s="293"/>
      <c r="BW83" s="293"/>
      <c r="BX83" s="293"/>
      <c r="BY83" s="293"/>
      <c r="BZ83" s="293"/>
      <c r="CA83" s="293"/>
      <c r="CB83" s="293"/>
      <c r="CC83" s="293"/>
      <c r="CD83" s="293"/>
      <c r="CE83" s="293"/>
      <c r="CF83" s="293"/>
      <c r="CG83" s="293"/>
      <c r="CH83" s="293"/>
      <c r="CI83" s="293"/>
      <c r="CJ83" s="293"/>
      <c r="CK83" s="293"/>
      <c r="CL83" s="293"/>
      <c r="CM83" s="293"/>
      <c r="CN83" s="293"/>
      <c r="CO83" s="293"/>
      <c r="CP83" s="293"/>
      <c r="CQ83" s="293"/>
      <c r="CR83" s="293"/>
      <c r="CS83" s="293"/>
      <c r="CT83" s="293"/>
      <c r="CU83" s="293"/>
      <c r="CV83" s="293"/>
      <c r="CW83" s="293"/>
      <c r="CX83" s="293"/>
      <c r="CY83" s="293"/>
      <c r="CZ83" s="293"/>
      <c r="DA83" s="293"/>
      <c r="DB83" s="293"/>
      <c r="DC83" s="293"/>
      <c r="DD83" s="293"/>
      <c r="DE83" s="293"/>
      <c r="DF83" s="293"/>
      <c r="DG83" s="288"/>
      <c r="DH83" s="288"/>
      <c r="DI83" s="288"/>
      <c r="DJ83" s="288"/>
      <c r="DK83" s="288"/>
      <c r="DL83" s="288"/>
      <c r="DM83" s="288"/>
      <c r="DN83" s="288"/>
      <c r="DO83" s="288"/>
      <c r="DP83" s="288"/>
      <c r="DQ83" s="288"/>
      <c r="DR83" s="288"/>
      <c r="DS83" s="288"/>
      <c r="DT83" s="288"/>
      <c r="DU83" s="288"/>
      <c r="DV83" s="288"/>
      <c r="DW83" s="288"/>
      <c r="DX83" s="288"/>
    </row>
    <row r="84" ht="14.25" customHeight="1">
      <c r="A84" s="293"/>
      <c r="B84" s="293"/>
      <c r="C84" s="293"/>
      <c r="D84" s="293"/>
      <c r="E84" s="293"/>
      <c r="F84" s="293"/>
      <c r="G84" s="293"/>
      <c r="H84" s="293"/>
      <c r="I84" s="293"/>
      <c r="J84" s="293"/>
      <c r="K84" s="293"/>
      <c r="L84" s="293"/>
      <c r="M84" s="293"/>
      <c r="N84" s="293"/>
      <c r="O84" s="293"/>
      <c r="P84" s="293"/>
      <c r="Q84" s="293"/>
      <c r="R84" s="293"/>
      <c r="S84" s="293"/>
      <c r="T84" s="293"/>
      <c r="U84" s="293"/>
      <c r="V84" s="293"/>
      <c r="W84" s="293"/>
      <c r="X84" s="293"/>
      <c r="Y84" s="293"/>
      <c r="Z84" s="293"/>
      <c r="AA84" s="293"/>
      <c r="AB84" s="293"/>
      <c r="AC84" s="293"/>
      <c r="AD84" s="293"/>
      <c r="AE84" s="293"/>
      <c r="AF84" s="293"/>
      <c r="AG84" s="293"/>
      <c r="AH84" s="293"/>
      <c r="AI84" s="293"/>
      <c r="AJ84" s="293"/>
      <c r="AK84" s="293"/>
      <c r="AL84" s="293"/>
      <c r="AM84" s="293"/>
      <c r="AN84" s="293"/>
      <c r="AO84" s="293"/>
      <c r="AP84" s="293"/>
      <c r="AQ84" s="293"/>
      <c r="AR84" s="293"/>
      <c r="AS84" s="293"/>
      <c r="AT84" s="293"/>
      <c r="AU84" s="293"/>
      <c r="AV84" s="293"/>
      <c r="AW84" s="293"/>
      <c r="AX84" s="293"/>
      <c r="AY84" s="293"/>
      <c r="AZ84" s="293"/>
      <c r="BA84" s="293"/>
      <c r="BB84" s="293"/>
      <c r="BC84" s="293"/>
      <c r="BD84" s="293"/>
      <c r="BE84" s="293"/>
      <c r="BF84" s="293"/>
      <c r="BG84" s="293"/>
      <c r="BH84" s="293"/>
      <c r="BI84" s="293"/>
      <c r="BJ84" s="293"/>
      <c r="BK84" s="293"/>
      <c r="BL84" s="293"/>
      <c r="BM84" s="293"/>
      <c r="BN84" s="293"/>
      <c r="BO84" s="293"/>
      <c r="BP84" s="293"/>
      <c r="BQ84" s="293"/>
      <c r="BR84" s="293"/>
      <c r="BS84" s="293"/>
      <c r="BT84" s="293"/>
      <c r="BU84" s="293"/>
      <c r="BV84" s="293"/>
      <c r="BW84" s="293"/>
      <c r="BX84" s="293"/>
      <c r="BY84" s="293"/>
      <c r="BZ84" s="293"/>
      <c r="CA84" s="293"/>
      <c r="CB84" s="293"/>
      <c r="CC84" s="293"/>
      <c r="CD84" s="293"/>
      <c r="CE84" s="293"/>
      <c r="CF84" s="293"/>
      <c r="CG84" s="293"/>
      <c r="CH84" s="293"/>
      <c r="CI84" s="293"/>
      <c r="CJ84" s="293"/>
      <c r="CK84" s="293"/>
      <c r="CL84" s="293"/>
      <c r="CM84" s="293"/>
      <c r="CN84" s="293"/>
      <c r="CO84" s="293"/>
      <c r="CP84" s="293"/>
      <c r="CQ84" s="293"/>
      <c r="CR84" s="293"/>
      <c r="CS84" s="293"/>
      <c r="CT84" s="293"/>
      <c r="CU84" s="293"/>
      <c r="CV84" s="293"/>
      <c r="CW84" s="293"/>
      <c r="CX84" s="293"/>
      <c r="CY84" s="293"/>
      <c r="CZ84" s="293"/>
      <c r="DA84" s="293"/>
      <c r="DB84" s="293"/>
      <c r="DC84" s="293"/>
      <c r="DD84" s="293"/>
      <c r="DE84" s="293"/>
      <c r="DF84" s="293"/>
      <c r="DG84" s="288"/>
      <c r="DH84" s="288"/>
      <c r="DI84" s="288"/>
      <c r="DJ84" s="288"/>
      <c r="DK84" s="288"/>
      <c r="DL84" s="288"/>
      <c r="DM84" s="288"/>
      <c r="DN84" s="288"/>
      <c r="DO84" s="288"/>
      <c r="DP84" s="288"/>
      <c r="DQ84" s="288"/>
      <c r="DR84" s="288"/>
      <c r="DS84" s="288"/>
      <c r="DT84" s="288"/>
      <c r="DU84" s="288"/>
      <c r="DV84" s="288"/>
      <c r="DW84" s="288"/>
      <c r="DX84" s="288"/>
    </row>
    <row r="85" ht="14.25" customHeight="1">
      <c r="A85" s="293"/>
      <c r="B85" s="293"/>
      <c r="C85" s="293"/>
      <c r="D85" s="293"/>
      <c r="E85" s="293"/>
      <c r="F85" s="293"/>
      <c r="G85" s="293"/>
      <c r="H85" s="293"/>
      <c r="I85" s="293"/>
      <c r="J85" s="293"/>
      <c r="K85" s="293"/>
      <c r="L85" s="293"/>
      <c r="M85" s="293"/>
      <c r="N85" s="293"/>
      <c r="O85" s="293"/>
      <c r="P85" s="293"/>
      <c r="Q85" s="293"/>
      <c r="R85" s="293"/>
      <c r="S85" s="293"/>
      <c r="T85" s="293"/>
      <c r="U85" s="293"/>
      <c r="V85" s="293"/>
      <c r="W85" s="293"/>
      <c r="X85" s="293"/>
      <c r="Y85" s="293"/>
      <c r="Z85" s="293"/>
      <c r="AA85" s="293"/>
      <c r="AB85" s="293"/>
      <c r="AC85" s="293"/>
      <c r="AD85" s="293"/>
      <c r="AE85" s="293"/>
      <c r="AF85" s="293"/>
      <c r="AG85" s="293"/>
      <c r="AH85" s="293"/>
      <c r="AI85" s="293"/>
      <c r="AJ85" s="293"/>
      <c r="AK85" s="293"/>
      <c r="AL85" s="293"/>
      <c r="AM85" s="293"/>
      <c r="AN85" s="293"/>
      <c r="AO85" s="293"/>
      <c r="AP85" s="293"/>
      <c r="AQ85" s="293"/>
      <c r="AR85" s="293"/>
      <c r="AS85" s="293"/>
      <c r="AT85" s="293"/>
      <c r="AU85" s="293"/>
      <c r="AV85" s="293"/>
      <c r="AW85" s="293"/>
      <c r="AX85" s="293"/>
      <c r="AY85" s="293"/>
      <c r="AZ85" s="293"/>
      <c r="BA85" s="293"/>
      <c r="BB85" s="293"/>
      <c r="BC85" s="293"/>
      <c r="BD85" s="293"/>
      <c r="BE85" s="293"/>
      <c r="BF85" s="293"/>
      <c r="BG85" s="293"/>
      <c r="BH85" s="293"/>
      <c r="BI85" s="293"/>
      <c r="BJ85" s="293"/>
      <c r="BK85" s="293"/>
      <c r="BL85" s="293"/>
      <c r="BM85" s="293"/>
      <c r="BN85" s="293"/>
      <c r="BO85" s="293"/>
      <c r="BP85" s="293"/>
      <c r="BQ85" s="293"/>
      <c r="BR85" s="293"/>
      <c r="BS85" s="293"/>
      <c r="BT85" s="293"/>
      <c r="BU85" s="293"/>
      <c r="BV85" s="293"/>
      <c r="BW85" s="293"/>
      <c r="BX85" s="293"/>
      <c r="BY85" s="293"/>
      <c r="BZ85" s="293"/>
      <c r="CA85" s="293"/>
      <c r="CB85" s="293"/>
      <c r="CC85" s="293"/>
      <c r="CD85" s="293"/>
      <c r="CE85" s="293"/>
      <c r="CF85" s="293"/>
      <c r="CG85" s="293"/>
      <c r="CH85" s="293"/>
      <c r="CI85" s="293"/>
      <c r="CJ85" s="293"/>
      <c r="CK85" s="293"/>
      <c r="CL85" s="293"/>
      <c r="CM85" s="293"/>
      <c r="CN85" s="293"/>
      <c r="CO85" s="293"/>
      <c r="CP85" s="293"/>
      <c r="CQ85" s="293"/>
      <c r="CR85" s="293"/>
      <c r="CS85" s="293"/>
      <c r="CT85" s="293"/>
      <c r="CU85" s="293"/>
      <c r="CV85" s="293"/>
      <c r="CW85" s="293"/>
      <c r="CX85" s="293"/>
      <c r="CY85" s="293"/>
      <c r="CZ85" s="293"/>
      <c r="DA85" s="293"/>
      <c r="DB85" s="293"/>
      <c r="DC85" s="293"/>
      <c r="DD85" s="293"/>
      <c r="DE85" s="293"/>
      <c r="DF85" s="293"/>
      <c r="DG85" s="288"/>
      <c r="DH85" s="288"/>
      <c r="DI85" s="288"/>
      <c r="DJ85" s="288"/>
      <c r="DK85" s="288"/>
      <c r="DL85" s="288"/>
      <c r="DM85" s="288"/>
      <c r="DN85" s="288"/>
      <c r="DO85" s="288"/>
      <c r="DP85" s="288"/>
      <c r="DQ85" s="288"/>
      <c r="DR85" s="288"/>
      <c r="DS85" s="288"/>
      <c r="DT85" s="288"/>
      <c r="DU85" s="288"/>
      <c r="DV85" s="288"/>
      <c r="DW85" s="288"/>
      <c r="DX85" s="288"/>
    </row>
    <row r="86" ht="14.25" customHeight="1">
      <c r="A86" s="293"/>
      <c r="B86" s="293"/>
      <c r="C86" s="293"/>
      <c r="D86" s="293"/>
      <c r="E86" s="293"/>
      <c r="F86" s="293"/>
      <c r="G86" s="293"/>
      <c r="H86" s="293"/>
      <c r="I86" s="293"/>
      <c r="J86" s="293"/>
      <c r="K86" s="293"/>
      <c r="L86" s="293"/>
      <c r="M86" s="293"/>
      <c r="N86" s="293"/>
      <c r="O86" s="293"/>
      <c r="P86" s="293"/>
      <c r="Q86" s="293"/>
      <c r="R86" s="293"/>
      <c r="S86" s="293"/>
      <c r="T86" s="293"/>
      <c r="U86" s="293"/>
      <c r="V86" s="293"/>
      <c r="W86" s="293"/>
      <c r="X86" s="293"/>
      <c r="Y86" s="293"/>
      <c r="Z86" s="293"/>
      <c r="AA86" s="293"/>
      <c r="AB86" s="293"/>
      <c r="AC86" s="293"/>
      <c r="AD86" s="293"/>
      <c r="AE86" s="293"/>
      <c r="AF86" s="293"/>
      <c r="AG86" s="293"/>
      <c r="AH86" s="293"/>
      <c r="AI86" s="293"/>
      <c r="AJ86" s="293"/>
      <c r="AK86" s="293"/>
      <c r="AL86" s="293"/>
      <c r="AM86" s="293"/>
      <c r="AN86" s="293"/>
      <c r="AO86" s="293"/>
      <c r="AP86" s="293"/>
      <c r="AQ86" s="293"/>
      <c r="AR86" s="293"/>
      <c r="AS86" s="293"/>
      <c r="AT86" s="293"/>
      <c r="AU86" s="293"/>
      <c r="AV86" s="293"/>
      <c r="AW86" s="293"/>
      <c r="AX86" s="293"/>
      <c r="AY86" s="293"/>
      <c r="AZ86" s="293"/>
      <c r="BA86" s="293"/>
      <c r="BB86" s="293"/>
      <c r="BC86" s="293"/>
      <c r="BD86" s="293"/>
      <c r="BE86" s="293"/>
      <c r="BF86" s="293"/>
      <c r="BG86" s="293"/>
      <c r="BH86" s="293"/>
      <c r="BI86" s="293"/>
      <c r="BJ86" s="293"/>
      <c r="BK86" s="293"/>
      <c r="BL86" s="293"/>
      <c r="BM86" s="293"/>
      <c r="BN86" s="293"/>
      <c r="BO86" s="293"/>
      <c r="BP86" s="293"/>
      <c r="BQ86" s="293"/>
      <c r="BR86" s="293"/>
      <c r="BS86" s="293"/>
      <c r="BT86" s="293"/>
      <c r="BU86" s="293"/>
      <c r="BV86" s="293"/>
      <c r="BW86" s="293"/>
      <c r="BX86" s="293"/>
      <c r="BY86" s="293"/>
      <c r="BZ86" s="293"/>
      <c r="CA86" s="293"/>
      <c r="CB86" s="293"/>
      <c r="CC86" s="293"/>
      <c r="CD86" s="293"/>
      <c r="CE86" s="293"/>
      <c r="CF86" s="293"/>
      <c r="CG86" s="293"/>
      <c r="CH86" s="293"/>
      <c r="CI86" s="293"/>
      <c r="CJ86" s="293"/>
      <c r="CK86" s="293"/>
      <c r="CL86" s="293"/>
      <c r="CM86" s="293"/>
      <c r="CN86" s="293"/>
      <c r="CO86" s="293"/>
      <c r="CP86" s="293"/>
      <c r="CQ86" s="293"/>
      <c r="CR86" s="293"/>
      <c r="CS86" s="293"/>
      <c r="CT86" s="293"/>
      <c r="CU86" s="293"/>
      <c r="CV86" s="293"/>
      <c r="CW86" s="293"/>
      <c r="CX86" s="293"/>
      <c r="CY86" s="293"/>
      <c r="CZ86" s="293"/>
      <c r="DA86" s="293"/>
      <c r="DB86" s="293"/>
      <c r="DC86" s="293"/>
      <c r="DD86" s="293"/>
      <c r="DE86" s="293"/>
      <c r="DF86" s="293"/>
      <c r="DG86" s="288"/>
      <c r="DH86" s="288"/>
      <c r="DI86" s="288"/>
      <c r="DJ86" s="288"/>
      <c r="DK86" s="288"/>
      <c r="DL86" s="288"/>
      <c r="DM86" s="288"/>
      <c r="DN86" s="288"/>
      <c r="DO86" s="288"/>
      <c r="DP86" s="288"/>
      <c r="DQ86" s="288"/>
      <c r="DR86" s="288"/>
      <c r="DS86" s="288"/>
      <c r="DT86" s="288"/>
      <c r="DU86" s="288"/>
      <c r="DV86" s="288"/>
      <c r="DW86" s="288"/>
      <c r="DX86" s="288"/>
    </row>
    <row r="87" ht="14.25" customHeight="1">
      <c r="A87" s="293"/>
      <c r="B87" s="293"/>
      <c r="C87" s="293"/>
      <c r="D87" s="293"/>
      <c r="E87" s="293"/>
      <c r="F87" s="293"/>
      <c r="G87" s="293"/>
      <c r="H87" s="293"/>
      <c r="I87" s="293"/>
      <c r="J87" s="293"/>
      <c r="K87" s="293"/>
      <c r="L87" s="293"/>
      <c r="M87" s="293"/>
      <c r="N87" s="293"/>
      <c r="O87" s="293"/>
      <c r="P87" s="293"/>
      <c r="Q87" s="293"/>
      <c r="R87" s="293"/>
      <c r="S87" s="293"/>
      <c r="T87" s="293"/>
      <c r="U87" s="293"/>
      <c r="V87" s="293"/>
      <c r="W87" s="293"/>
      <c r="X87" s="293"/>
      <c r="Y87" s="293"/>
      <c r="Z87" s="293"/>
      <c r="AA87" s="293"/>
      <c r="AB87" s="293"/>
      <c r="AC87" s="293"/>
      <c r="AD87" s="293"/>
      <c r="AE87" s="293"/>
      <c r="AF87" s="293"/>
      <c r="AG87" s="293"/>
      <c r="AH87" s="293"/>
      <c r="AI87" s="293"/>
      <c r="AJ87" s="293"/>
      <c r="AK87" s="293"/>
      <c r="AL87" s="293"/>
      <c r="AM87" s="293"/>
      <c r="AN87" s="293"/>
      <c r="AO87" s="293"/>
      <c r="AP87" s="293"/>
      <c r="AQ87" s="293"/>
      <c r="AR87" s="293"/>
      <c r="AS87" s="293"/>
      <c r="AT87" s="293"/>
      <c r="AU87" s="293"/>
      <c r="AV87" s="293"/>
      <c r="AW87" s="293"/>
      <c r="AX87" s="293"/>
      <c r="AY87" s="293"/>
      <c r="AZ87" s="293"/>
      <c r="BA87" s="293"/>
      <c r="BB87" s="293"/>
      <c r="BC87" s="293"/>
      <c r="BD87" s="293"/>
      <c r="BE87" s="293"/>
      <c r="BF87" s="293"/>
      <c r="BG87" s="293"/>
      <c r="BH87" s="293"/>
      <c r="BI87" s="293"/>
      <c r="BJ87" s="293"/>
      <c r="BK87" s="293"/>
      <c r="BL87" s="293"/>
      <c r="BM87" s="293"/>
      <c r="BN87" s="293"/>
      <c r="BO87" s="293"/>
      <c r="BP87" s="293"/>
      <c r="BQ87" s="293"/>
      <c r="BR87" s="293"/>
      <c r="BS87" s="293"/>
      <c r="BT87" s="293"/>
      <c r="BU87" s="293"/>
      <c r="BV87" s="293"/>
      <c r="BW87" s="293"/>
      <c r="BX87" s="293"/>
      <c r="BY87" s="293"/>
      <c r="BZ87" s="293"/>
      <c r="CA87" s="293"/>
      <c r="CB87" s="293"/>
      <c r="CC87" s="293"/>
      <c r="CD87" s="293"/>
      <c r="CE87" s="293"/>
      <c r="CF87" s="293"/>
      <c r="CG87" s="293"/>
      <c r="CH87" s="293"/>
      <c r="CI87" s="293"/>
      <c r="CJ87" s="293"/>
      <c r="CK87" s="293"/>
      <c r="CL87" s="293"/>
      <c r="CM87" s="293"/>
      <c r="CN87" s="293"/>
      <c r="CO87" s="293"/>
      <c r="CP87" s="293"/>
      <c r="CQ87" s="293"/>
      <c r="CR87" s="293"/>
      <c r="CS87" s="293"/>
      <c r="CT87" s="293"/>
      <c r="CU87" s="293"/>
      <c r="CV87" s="293"/>
      <c r="CW87" s="293"/>
      <c r="CX87" s="293"/>
      <c r="CY87" s="293"/>
      <c r="CZ87" s="293"/>
      <c r="DA87" s="293"/>
      <c r="DB87" s="293"/>
      <c r="DC87" s="293"/>
      <c r="DD87" s="293"/>
      <c r="DE87" s="293"/>
      <c r="DF87" s="293"/>
      <c r="DG87" s="288"/>
      <c r="DH87" s="288"/>
      <c r="DI87" s="288"/>
      <c r="DJ87" s="288"/>
      <c r="DK87" s="288"/>
      <c r="DL87" s="288"/>
      <c r="DM87" s="288"/>
      <c r="DN87" s="288"/>
      <c r="DO87" s="288"/>
      <c r="DP87" s="288"/>
      <c r="DQ87" s="288"/>
      <c r="DR87" s="288"/>
      <c r="DS87" s="288"/>
      <c r="DT87" s="288"/>
      <c r="DU87" s="288"/>
      <c r="DV87" s="288"/>
      <c r="DW87" s="288"/>
      <c r="DX87" s="288"/>
    </row>
    <row r="88" ht="14.25" customHeight="1">
      <c r="A88" s="293"/>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c r="AD88" s="293"/>
      <c r="AE88" s="293"/>
      <c r="AF88" s="293"/>
      <c r="AG88" s="293"/>
      <c r="AH88" s="293"/>
      <c r="AI88" s="293"/>
      <c r="AJ88" s="293"/>
      <c r="AK88" s="293"/>
      <c r="AL88" s="293"/>
      <c r="AM88" s="293"/>
      <c r="AN88" s="293"/>
      <c r="AO88" s="293"/>
      <c r="AP88" s="293"/>
      <c r="AQ88" s="293"/>
      <c r="AR88" s="293"/>
      <c r="AS88" s="293"/>
      <c r="AT88" s="293"/>
      <c r="AU88" s="293"/>
      <c r="AV88" s="293"/>
      <c r="AW88" s="293"/>
      <c r="AX88" s="293"/>
      <c r="AY88" s="293"/>
      <c r="AZ88" s="293"/>
      <c r="BA88" s="293"/>
      <c r="BB88" s="293"/>
      <c r="BC88" s="293"/>
      <c r="BD88" s="293"/>
      <c r="BE88" s="293"/>
      <c r="BF88" s="293"/>
      <c r="BG88" s="293"/>
      <c r="BH88" s="293"/>
      <c r="BI88" s="293"/>
      <c r="BJ88" s="293"/>
      <c r="BK88" s="293"/>
      <c r="BL88" s="293"/>
      <c r="BM88" s="293"/>
      <c r="BN88" s="293"/>
      <c r="BO88" s="293"/>
      <c r="BP88" s="293"/>
      <c r="BQ88" s="293"/>
      <c r="BR88" s="293"/>
      <c r="BS88" s="293"/>
      <c r="BT88" s="293"/>
      <c r="BU88" s="293"/>
      <c r="BV88" s="293"/>
      <c r="BW88" s="293"/>
      <c r="BX88" s="293"/>
      <c r="BY88" s="293"/>
      <c r="BZ88" s="293"/>
      <c r="CA88" s="293"/>
      <c r="CB88" s="293"/>
      <c r="CC88" s="293"/>
      <c r="CD88" s="293"/>
      <c r="CE88" s="293"/>
      <c r="CF88" s="293"/>
      <c r="CG88" s="293"/>
      <c r="CH88" s="293"/>
      <c r="CI88" s="293"/>
      <c r="CJ88" s="293"/>
      <c r="CK88" s="293"/>
      <c r="CL88" s="293"/>
      <c r="CM88" s="293"/>
      <c r="CN88" s="293"/>
      <c r="CO88" s="293"/>
      <c r="CP88" s="293"/>
      <c r="CQ88" s="293"/>
      <c r="CR88" s="293"/>
      <c r="CS88" s="293"/>
      <c r="CT88" s="293"/>
      <c r="CU88" s="293"/>
      <c r="CV88" s="293"/>
      <c r="CW88" s="293"/>
      <c r="CX88" s="293"/>
      <c r="CY88" s="293"/>
      <c r="CZ88" s="293"/>
      <c r="DA88" s="293"/>
      <c r="DB88" s="293"/>
      <c r="DC88" s="293"/>
      <c r="DD88" s="293"/>
      <c r="DE88" s="293"/>
      <c r="DF88" s="293"/>
      <c r="DG88" s="288"/>
      <c r="DH88" s="288"/>
      <c r="DI88" s="288"/>
      <c r="DJ88" s="288"/>
      <c r="DK88" s="288"/>
      <c r="DL88" s="288"/>
      <c r="DM88" s="288"/>
      <c r="DN88" s="288"/>
      <c r="DO88" s="288"/>
      <c r="DP88" s="288"/>
      <c r="DQ88" s="288"/>
      <c r="DR88" s="288"/>
      <c r="DS88" s="288"/>
      <c r="DT88" s="288"/>
      <c r="DU88" s="288"/>
      <c r="DV88" s="288"/>
      <c r="DW88" s="288"/>
      <c r="DX88" s="288"/>
    </row>
    <row r="89" ht="14.25" customHeight="1">
      <c r="A89" s="293"/>
      <c r="B89" s="293"/>
      <c r="C89" s="293"/>
      <c r="D89" s="293"/>
      <c r="E89" s="293"/>
      <c r="F89" s="293"/>
      <c r="G89" s="293"/>
      <c r="H89" s="293"/>
      <c r="I89" s="293"/>
      <c r="J89" s="293"/>
      <c r="K89" s="293"/>
      <c r="L89" s="293"/>
      <c r="M89" s="293"/>
      <c r="N89" s="293"/>
      <c r="O89" s="293"/>
      <c r="P89" s="293"/>
      <c r="Q89" s="293"/>
      <c r="R89" s="293"/>
      <c r="S89" s="293"/>
      <c r="T89" s="293"/>
      <c r="U89" s="293"/>
      <c r="V89" s="293"/>
      <c r="W89" s="293"/>
      <c r="X89" s="293"/>
      <c r="Y89" s="293"/>
      <c r="Z89" s="293"/>
      <c r="AA89" s="293"/>
      <c r="AB89" s="293"/>
      <c r="AC89" s="293"/>
      <c r="AD89" s="293"/>
      <c r="AE89" s="293"/>
      <c r="AF89" s="293"/>
      <c r="AG89" s="293"/>
      <c r="AH89" s="293"/>
      <c r="AI89" s="293"/>
      <c r="AJ89" s="293"/>
      <c r="AK89" s="293"/>
      <c r="AL89" s="293"/>
      <c r="AM89" s="293"/>
      <c r="AN89" s="293"/>
      <c r="AO89" s="293"/>
      <c r="AP89" s="293"/>
      <c r="AQ89" s="293"/>
      <c r="AR89" s="293"/>
      <c r="AS89" s="293"/>
      <c r="AT89" s="293"/>
      <c r="AU89" s="293"/>
      <c r="AV89" s="293"/>
      <c r="AW89" s="293"/>
      <c r="AX89" s="293"/>
      <c r="AY89" s="293"/>
      <c r="AZ89" s="293"/>
      <c r="BA89" s="293"/>
      <c r="BB89" s="293"/>
      <c r="BC89" s="293"/>
      <c r="BD89" s="293"/>
      <c r="BE89" s="293"/>
      <c r="BF89" s="293"/>
      <c r="BG89" s="293"/>
      <c r="BH89" s="293"/>
      <c r="BI89" s="293"/>
      <c r="BJ89" s="293"/>
      <c r="BK89" s="293"/>
      <c r="BL89" s="293"/>
      <c r="BM89" s="293"/>
      <c r="BN89" s="293"/>
      <c r="BO89" s="293"/>
      <c r="BP89" s="293"/>
      <c r="BQ89" s="293"/>
      <c r="BR89" s="293"/>
      <c r="BS89" s="293"/>
      <c r="BT89" s="293"/>
      <c r="BU89" s="293"/>
      <c r="BV89" s="293"/>
      <c r="BW89" s="293"/>
      <c r="BX89" s="293"/>
      <c r="BY89" s="293"/>
      <c r="BZ89" s="293"/>
      <c r="CA89" s="293"/>
      <c r="CB89" s="293"/>
      <c r="CC89" s="293"/>
      <c r="CD89" s="293"/>
      <c r="CE89" s="293"/>
      <c r="CF89" s="293"/>
      <c r="CG89" s="293"/>
      <c r="CH89" s="293"/>
      <c r="CI89" s="293"/>
      <c r="CJ89" s="293"/>
      <c r="CK89" s="293"/>
      <c r="CL89" s="293"/>
      <c r="CM89" s="293"/>
      <c r="CN89" s="293"/>
      <c r="CO89" s="293"/>
      <c r="CP89" s="293"/>
      <c r="CQ89" s="293"/>
      <c r="CR89" s="293"/>
      <c r="CS89" s="293"/>
      <c r="CT89" s="293"/>
      <c r="CU89" s="293"/>
      <c r="CV89" s="293"/>
      <c r="CW89" s="293"/>
      <c r="CX89" s="293"/>
      <c r="CY89" s="293"/>
      <c r="CZ89" s="293"/>
      <c r="DA89" s="293"/>
      <c r="DB89" s="293"/>
      <c r="DC89" s="293"/>
      <c r="DD89" s="293"/>
      <c r="DE89" s="293"/>
      <c r="DF89" s="293"/>
      <c r="DG89" s="288"/>
      <c r="DH89" s="288"/>
      <c r="DI89" s="288"/>
      <c r="DJ89" s="288"/>
      <c r="DK89" s="288"/>
      <c r="DL89" s="288"/>
      <c r="DM89" s="288"/>
      <c r="DN89" s="288"/>
      <c r="DO89" s="288"/>
      <c r="DP89" s="288"/>
      <c r="DQ89" s="288"/>
      <c r="DR89" s="288"/>
      <c r="DS89" s="288"/>
      <c r="DT89" s="288"/>
      <c r="DU89" s="288"/>
      <c r="DV89" s="288"/>
      <c r="DW89" s="288"/>
      <c r="DX89" s="288"/>
    </row>
    <row r="90" ht="14.25" customHeight="1">
      <c r="A90" s="293"/>
      <c r="B90" s="293"/>
      <c r="C90" s="293"/>
      <c r="D90" s="293"/>
      <c r="E90" s="293"/>
      <c r="F90" s="293"/>
      <c r="G90" s="293"/>
      <c r="H90" s="293"/>
      <c r="I90" s="293"/>
      <c r="J90" s="293"/>
      <c r="K90" s="293"/>
      <c r="L90" s="293"/>
      <c r="M90" s="293"/>
      <c r="N90" s="293"/>
      <c r="O90" s="293"/>
      <c r="P90" s="293"/>
      <c r="Q90" s="293"/>
      <c r="R90" s="293"/>
      <c r="S90" s="293"/>
      <c r="T90" s="293"/>
      <c r="U90" s="293"/>
      <c r="V90" s="293"/>
      <c r="W90" s="293"/>
      <c r="X90" s="293"/>
      <c r="Y90" s="293"/>
      <c r="Z90" s="293"/>
      <c r="AA90" s="293"/>
      <c r="AB90" s="293"/>
      <c r="AC90" s="293"/>
      <c r="AD90" s="293"/>
      <c r="AE90" s="293"/>
      <c r="AF90" s="293"/>
      <c r="AG90" s="293"/>
      <c r="AH90" s="293"/>
      <c r="AI90" s="293"/>
      <c r="AJ90" s="293"/>
      <c r="AK90" s="293"/>
      <c r="AL90" s="293"/>
      <c r="AM90" s="293"/>
      <c r="AN90" s="293"/>
      <c r="AO90" s="293"/>
      <c r="AP90" s="293"/>
      <c r="AQ90" s="293"/>
      <c r="AR90" s="293"/>
      <c r="AS90" s="293"/>
      <c r="AT90" s="293"/>
      <c r="AU90" s="293"/>
      <c r="AV90" s="293"/>
      <c r="AW90" s="293"/>
      <c r="AX90" s="293"/>
      <c r="AY90" s="293"/>
      <c r="AZ90" s="293"/>
      <c r="BA90" s="293"/>
      <c r="BB90" s="293"/>
      <c r="BC90" s="293"/>
      <c r="BD90" s="293"/>
      <c r="BE90" s="293"/>
      <c r="BF90" s="293"/>
      <c r="BG90" s="293"/>
      <c r="BH90" s="293"/>
      <c r="BI90" s="293"/>
      <c r="BJ90" s="293"/>
      <c r="BK90" s="293"/>
      <c r="BL90" s="293"/>
      <c r="BM90" s="293"/>
      <c r="BN90" s="293"/>
      <c r="BO90" s="293"/>
      <c r="BP90" s="293"/>
      <c r="BQ90" s="293"/>
      <c r="BR90" s="293"/>
      <c r="BS90" s="293"/>
      <c r="BT90" s="293"/>
      <c r="BU90" s="293"/>
      <c r="BV90" s="293"/>
      <c r="BW90" s="293"/>
      <c r="BX90" s="293"/>
      <c r="BY90" s="293"/>
      <c r="BZ90" s="293"/>
      <c r="CA90" s="293"/>
      <c r="CB90" s="293"/>
      <c r="CC90" s="293"/>
      <c r="CD90" s="293"/>
      <c r="CE90" s="293"/>
      <c r="CF90" s="293"/>
      <c r="CG90" s="293"/>
      <c r="CH90" s="293"/>
      <c r="CI90" s="293"/>
      <c r="CJ90" s="293"/>
      <c r="CK90" s="293"/>
      <c r="CL90" s="293"/>
      <c r="CM90" s="293"/>
      <c r="CN90" s="293"/>
      <c r="CO90" s="293"/>
      <c r="CP90" s="293"/>
      <c r="CQ90" s="293"/>
      <c r="CR90" s="293"/>
      <c r="CS90" s="293"/>
      <c r="CT90" s="293"/>
      <c r="CU90" s="293"/>
      <c r="CV90" s="293"/>
      <c r="CW90" s="293"/>
      <c r="CX90" s="293"/>
      <c r="CY90" s="293"/>
      <c r="CZ90" s="293"/>
      <c r="DA90" s="293"/>
      <c r="DB90" s="293"/>
      <c r="DC90" s="293"/>
      <c r="DD90" s="293"/>
      <c r="DE90" s="293"/>
      <c r="DF90" s="293"/>
      <c r="DG90" s="288"/>
      <c r="DH90" s="288"/>
      <c r="DI90" s="288"/>
      <c r="DJ90" s="288"/>
      <c r="DK90" s="288"/>
      <c r="DL90" s="288"/>
      <c r="DM90" s="288"/>
      <c r="DN90" s="288"/>
      <c r="DO90" s="288"/>
      <c r="DP90" s="288"/>
      <c r="DQ90" s="288"/>
      <c r="DR90" s="288"/>
      <c r="DS90" s="288"/>
      <c r="DT90" s="288"/>
      <c r="DU90" s="288"/>
      <c r="DV90" s="288"/>
      <c r="DW90" s="288"/>
      <c r="DX90" s="288"/>
    </row>
    <row r="91" ht="14.25" customHeight="1">
      <c r="A91" s="293"/>
      <c r="B91" s="293"/>
      <c r="C91" s="293"/>
      <c r="D91" s="293"/>
      <c r="E91" s="293"/>
      <c r="F91" s="293"/>
      <c r="G91" s="293"/>
      <c r="H91" s="293"/>
      <c r="I91" s="293"/>
      <c r="J91" s="293"/>
      <c r="K91" s="293"/>
      <c r="L91" s="293"/>
      <c r="M91" s="293"/>
      <c r="N91" s="293"/>
      <c r="O91" s="293"/>
      <c r="P91" s="293"/>
      <c r="Q91" s="293"/>
      <c r="R91" s="293"/>
      <c r="S91" s="293"/>
      <c r="T91" s="293"/>
      <c r="U91" s="293"/>
      <c r="V91" s="293"/>
      <c r="W91" s="293"/>
      <c r="X91" s="293"/>
      <c r="Y91" s="293"/>
      <c r="Z91" s="293"/>
      <c r="AA91" s="293"/>
      <c r="AB91" s="293"/>
      <c r="AC91" s="293"/>
      <c r="AD91" s="293"/>
      <c r="AE91" s="293"/>
      <c r="AF91" s="293"/>
      <c r="AG91" s="293"/>
      <c r="AH91" s="293"/>
      <c r="AI91" s="293"/>
      <c r="AJ91" s="293"/>
      <c r="AK91" s="293"/>
      <c r="AL91" s="293"/>
      <c r="AM91" s="293"/>
      <c r="AN91" s="293"/>
      <c r="AO91" s="293"/>
      <c r="AP91" s="293"/>
      <c r="AQ91" s="293"/>
      <c r="AR91" s="293"/>
      <c r="AS91" s="293"/>
      <c r="AT91" s="293"/>
      <c r="AU91" s="293"/>
      <c r="AV91" s="293"/>
      <c r="AW91" s="293"/>
      <c r="AX91" s="293"/>
      <c r="AY91" s="293"/>
      <c r="AZ91" s="293"/>
      <c r="BA91" s="293"/>
      <c r="BB91" s="293"/>
      <c r="BC91" s="293"/>
      <c r="BD91" s="293"/>
      <c r="BE91" s="293"/>
      <c r="BF91" s="293"/>
      <c r="BG91" s="293"/>
      <c r="BH91" s="293"/>
      <c r="BI91" s="293"/>
      <c r="BJ91" s="293"/>
      <c r="BK91" s="293"/>
      <c r="BL91" s="293"/>
      <c r="BM91" s="293"/>
      <c r="BN91" s="293"/>
      <c r="BO91" s="293"/>
      <c r="BP91" s="293"/>
      <c r="BQ91" s="293"/>
      <c r="BR91" s="293"/>
      <c r="BS91" s="293"/>
      <c r="BT91" s="293"/>
      <c r="BU91" s="293"/>
      <c r="BV91" s="293"/>
      <c r="BW91" s="293"/>
      <c r="BX91" s="293"/>
      <c r="BY91" s="293"/>
      <c r="BZ91" s="293"/>
      <c r="CA91" s="293"/>
      <c r="CB91" s="293"/>
      <c r="CC91" s="293"/>
      <c r="CD91" s="293"/>
      <c r="CE91" s="293"/>
      <c r="CF91" s="293"/>
      <c r="CG91" s="293"/>
      <c r="CH91" s="293"/>
      <c r="CI91" s="293"/>
      <c r="CJ91" s="293"/>
      <c r="CK91" s="293"/>
      <c r="CL91" s="293"/>
      <c r="CM91" s="293"/>
      <c r="CN91" s="293"/>
      <c r="CO91" s="293"/>
      <c r="CP91" s="293"/>
      <c r="CQ91" s="293"/>
      <c r="CR91" s="293"/>
      <c r="CS91" s="293"/>
      <c r="CT91" s="293"/>
      <c r="CU91" s="293"/>
      <c r="CV91" s="293"/>
      <c r="CW91" s="293"/>
      <c r="CX91" s="293"/>
      <c r="CY91" s="293"/>
      <c r="CZ91" s="293"/>
      <c r="DA91" s="293"/>
      <c r="DB91" s="293"/>
      <c r="DC91" s="293"/>
      <c r="DD91" s="293"/>
      <c r="DE91" s="293"/>
      <c r="DF91" s="293"/>
      <c r="DG91" s="288"/>
      <c r="DH91" s="288"/>
      <c r="DI91" s="288"/>
      <c r="DJ91" s="288"/>
      <c r="DK91" s="288"/>
      <c r="DL91" s="288"/>
      <c r="DM91" s="288"/>
      <c r="DN91" s="288"/>
      <c r="DO91" s="288"/>
      <c r="DP91" s="288"/>
      <c r="DQ91" s="288"/>
      <c r="DR91" s="288"/>
      <c r="DS91" s="288"/>
      <c r="DT91" s="288"/>
      <c r="DU91" s="288"/>
      <c r="DV91" s="288"/>
      <c r="DW91" s="288"/>
      <c r="DX91" s="288"/>
    </row>
    <row r="92" ht="14.25" customHeight="1">
      <c r="A92" s="293"/>
      <c r="B92" s="293"/>
      <c r="C92" s="293"/>
      <c r="D92" s="293"/>
      <c r="E92" s="293"/>
      <c r="F92" s="293"/>
      <c r="G92" s="293"/>
      <c r="H92" s="293"/>
      <c r="I92" s="293"/>
      <c r="J92" s="293"/>
      <c r="K92" s="293"/>
      <c r="L92" s="293"/>
      <c r="M92" s="293"/>
      <c r="N92" s="293"/>
      <c r="O92" s="293"/>
      <c r="P92" s="293"/>
      <c r="Q92" s="293"/>
      <c r="R92" s="293"/>
      <c r="S92" s="293"/>
      <c r="T92" s="293"/>
      <c r="U92" s="293"/>
      <c r="V92" s="293"/>
      <c r="W92" s="293"/>
      <c r="X92" s="293"/>
      <c r="Y92" s="293"/>
      <c r="Z92" s="293"/>
      <c r="AA92" s="293"/>
      <c r="AB92" s="293"/>
      <c r="AC92" s="293"/>
      <c r="AD92" s="293"/>
      <c r="AE92" s="293"/>
      <c r="AF92" s="293"/>
      <c r="AG92" s="293"/>
      <c r="AH92" s="293"/>
      <c r="AI92" s="293"/>
      <c r="AJ92" s="293"/>
      <c r="AK92" s="293"/>
      <c r="AL92" s="293"/>
      <c r="AM92" s="293"/>
      <c r="AN92" s="293"/>
      <c r="AO92" s="293"/>
      <c r="AP92" s="293"/>
      <c r="AQ92" s="293"/>
      <c r="AR92" s="293"/>
      <c r="AS92" s="293"/>
      <c r="AT92" s="293"/>
      <c r="AU92" s="293"/>
      <c r="AV92" s="293"/>
      <c r="AW92" s="293"/>
      <c r="AX92" s="293"/>
      <c r="AY92" s="293"/>
      <c r="AZ92" s="293"/>
      <c r="BA92" s="293"/>
      <c r="BB92" s="293"/>
      <c r="BC92" s="293"/>
      <c r="BD92" s="293"/>
      <c r="BE92" s="293"/>
      <c r="BF92" s="293"/>
      <c r="BG92" s="293"/>
      <c r="BH92" s="293"/>
      <c r="BI92" s="293"/>
      <c r="BJ92" s="293"/>
      <c r="BK92" s="293"/>
      <c r="BL92" s="293"/>
      <c r="BM92" s="293"/>
      <c r="BN92" s="293"/>
      <c r="BO92" s="293"/>
      <c r="BP92" s="293"/>
      <c r="BQ92" s="293"/>
      <c r="BR92" s="293"/>
      <c r="BS92" s="293"/>
      <c r="BT92" s="293"/>
      <c r="BU92" s="293"/>
      <c r="BV92" s="293"/>
      <c r="BW92" s="293"/>
      <c r="BX92" s="293"/>
      <c r="BY92" s="293"/>
      <c r="BZ92" s="293"/>
      <c r="CA92" s="293"/>
      <c r="CB92" s="293"/>
      <c r="CC92" s="293"/>
      <c r="CD92" s="293"/>
      <c r="CE92" s="293"/>
      <c r="CF92" s="293"/>
      <c r="CG92" s="293"/>
      <c r="CH92" s="293"/>
      <c r="CI92" s="293"/>
      <c r="CJ92" s="293"/>
      <c r="CK92" s="293"/>
      <c r="CL92" s="293"/>
      <c r="CM92" s="293"/>
      <c r="CN92" s="293"/>
      <c r="CO92" s="293"/>
      <c r="CP92" s="293"/>
      <c r="CQ92" s="293"/>
      <c r="CR92" s="293"/>
      <c r="CS92" s="293"/>
      <c r="CT92" s="293"/>
      <c r="CU92" s="293"/>
      <c r="CV92" s="293"/>
      <c r="CW92" s="293"/>
      <c r="CX92" s="293"/>
      <c r="CY92" s="293"/>
      <c r="CZ92" s="293"/>
      <c r="DA92" s="293"/>
      <c r="DB92" s="293"/>
      <c r="DC92" s="293"/>
      <c r="DD92" s="293"/>
      <c r="DE92" s="293"/>
      <c r="DF92" s="293"/>
      <c r="DG92" s="288"/>
      <c r="DH92" s="288"/>
      <c r="DI92" s="288"/>
      <c r="DJ92" s="288"/>
      <c r="DK92" s="288"/>
      <c r="DL92" s="288"/>
      <c r="DM92" s="288"/>
      <c r="DN92" s="288"/>
      <c r="DO92" s="288"/>
      <c r="DP92" s="288"/>
      <c r="DQ92" s="288"/>
      <c r="DR92" s="288"/>
      <c r="DS92" s="288"/>
      <c r="DT92" s="288"/>
      <c r="DU92" s="288"/>
      <c r="DV92" s="288"/>
      <c r="DW92" s="288"/>
      <c r="DX92" s="288"/>
    </row>
    <row r="93" ht="14.25" customHeight="1">
      <c r="A93" s="293"/>
      <c r="B93" s="293"/>
      <c r="C93" s="293"/>
      <c r="D93" s="293"/>
      <c r="E93" s="293"/>
      <c r="F93" s="293"/>
      <c r="G93" s="293"/>
      <c r="H93" s="293"/>
      <c r="I93" s="293"/>
      <c r="J93" s="293"/>
      <c r="K93" s="293"/>
      <c r="L93" s="293"/>
      <c r="M93" s="293"/>
      <c r="N93" s="293"/>
      <c r="O93" s="293"/>
      <c r="P93" s="293"/>
      <c r="Q93" s="293"/>
      <c r="R93" s="293"/>
      <c r="S93" s="293"/>
      <c r="T93" s="293"/>
      <c r="U93" s="293"/>
      <c r="V93" s="293"/>
      <c r="W93" s="293"/>
      <c r="X93" s="293"/>
      <c r="Y93" s="293"/>
      <c r="Z93" s="293"/>
      <c r="AA93" s="293"/>
      <c r="AB93" s="293"/>
      <c r="AC93" s="293"/>
      <c r="AD93" s="293"/>
      <c r="AE93" s="293"/>
      <c r="AF93" s="293"/>
      <c r="AG93" s="293"/>
      <c r="AH93" s="293"/>
      <c r="AI93" s="293"/>
      <c r="AJ93" s="293"/>
      <c r="AK93" s="293"/>
      <c r="AL93" s="293"/>
      <c r="AM93" s="293"/>
      <c r="AN93" s="293"/>
      <c r="AO93" s="293"/>
      <c r="AP93" s="293"/>
      <c r="AQ93" s="293"/>
      <c r="AR93" s="293"/>
      <c r="AS93" s="293"/>
      <c r="AT93" s="293"/>
      <c r="AU93" s="293"/>
      <c r="AV93" s="293"/>
      <c r="AW93" s="293"/>
      <c r="AX93" s="293"/>
      <c r="AY93" s="293"/>
      <c r="AZ93" s="293"/>
      <c r="BA93" s="293"/>
      <c r="BB93" s="293"/>
      <c r="BC93" s="293"/>
      <c r="BD93" s="293"/>
      <c r="BE93" s="293"/>
      <c r="BF93" s="293"/>
      <c r="BG93" s="293"/>
      <c r="BH93" s="293"/>
      <c r="BI93" s="293"/>
      <c r="BJ93" s="293"/>
      <c r="BK93" s="293"/>
      <c r="BL93" s="293"/>
      <c r="BM93" s="293"/>
      <c r="BN93" s="293"/>
      <c r="BO93" s="293"/>
      <c r="BP93" s="293"/>
      <c r="BQ93" s="293"/>
      <c r="BR93" s="293"/>
      <c r="BS93" s="293"/>
      <c r="BT93" s="293"/>
      <c r="BU93" s="293"/>
      <c r="BV93" s="293"/>
      <c r="BW93" s="293"/>
      <c r="BX93" s="293"/>
      <c r="BY93" s="293"/>
      <c r="BZ93" s="293"/>
      <c r="CA93" s="293"/>
      <c r="CB93" s="293"/>
      <c r="CC93" s="293"/>
      <c r="CD93" s="293"/>
      <c r="CE93" s="293"/>
      <c r="CF93" s="293"/>
      <c r="CG93" s="293"/>
      <c r="CH93" s="293"/>
      <c r="CI93" s="293"/>
      <c r="CJ93" s="293"/>
      <c r="CK93" s="293"/>
      <c r="CL93" s="293"/>
      <c r="CM93" s="293"/>
      <c r="CN93" s="293"/>
      <c r="CO93" s="293"/>
      <c r="CP93" s="293"/>
      <c r="CQ93" s="293"/>
      <c r="CR93" s="293"/>
      <c r="CS93" s="293"/>
      <c r="CT93" s="293"/>
      <c r="CU93" s="293"/>
      <c r="CV93" s="293"/>
      <c r="CW93" s="293"/>
      <c r="CX93" s="293"/>
      <c r="CY93" s="293"/>
      <c r="CZ93" s="293"/>
      <c r="DA93" s="293"/>
      <c r="DB93" s="293"/>
      <c r="DC93" s="293"/>
      <c r="DD93" s="293"/>
      <c r="DE93" s="293"/>
      <c r="DF93" s="293"/>
      <c r="DG93" s="288"/>
      <c r="DH93" s="288"/>
      <c r="DI93" s="288"/>
      <c r="DJ93" s="288"/>
      <c r="DK93" s="288"/>
      <c r="DL93" s="288"/>
      <c r="DM93" s="288"/>
      <c r="DN93" s="288"/>
      <c r="DO93" s="288"/>
      <c r="DP93" s="288"/>
      <c r="DQ93" s="288"/>
      <c r="DR93" s="288"/>
      <c r="DS93" s="288"/>
      <c r="DT93" s="288"/>
      <c r="DU93" s="288"/>
      <c r="DV93" s="288"/>
      <c r="DW93" s="288"/>
      <c r="DX93" s="288"/>
    </row>
    <row r="94" ht="14.25" customHeight="1">
      <c r="A94" s="293"/>
      <c r="B94" s="293"/>
      <c r="C94" s="293"/>
      <c r="D94" s="293"/>
      <c r="E94" s="293"/>
      <c r="F94" s="293"/>
      <c r="G94" s="293"/>
      <c r="H94" s="293"/>
      <c r="I94" s="293"/>
      <c r="J94" s="293"/>
      <c r="K94" s="293"/>
      <c r="L94" s="293"/>
      <c r="M94" s="293"/>
      <c r="N94" s="293"/>
      <c r="O94" s="293"/>
      <c r="P94" s="293"/>
      <c r="Q94" s="293"/>
      <c r="R94" s="293"/>
      <c r="S94" s="293"/>
      <c r="T94" s="293"/>
      <c r="U94" s="293"/>
      <c r="V94" s="293"/>
      <c r="W94" s="293"/>
      <c r="X94" s="293"/>
      <c r="Y94" s="293"/>
      <c r="Z94" s="293"/>
      <c r="AA94" s="293"/>
      <c r="AB94" s="293"/>
      <c r="AC94" s="293"/>
      <c r="AD94" s="293"/>
      <c r="AE94" s="293"/>
      <c r="AF94" s="293"/>
      <c r="AG94" s="293"/>
      <c r="AH94" s="293"/>
      <c r="AI94" s="293"/>
      <c r="AJ94" s="293"/>
      <c r="AK94" s="293"/>
      <c r="AL94" s="293"/>
      <c r="AM94" s="293"/>
      <c r="AN94" s="293"/>
      <c r="AO94" s="293"/>
      <c r="AP94" s="293"/>
      <c r="AQ94" s="293"/>
      <c r="AR94" s="293"/>
      <c r="AS94" s="293"/>
      <c r="AT94" s="293"/>
      <c r="AU94" s="293"/>
      <c r="AV94" s="293"/>
      <c r="AW94" s="293"/>
      <c r="AX94" s="293"/>
      <c r="AY94" s="293"/>
      <c r="AZ94" s="293"/>
      <c r="BA94" s="293"/>
      <c r="BB94" s="293"/>
      <c r="BC94" s="293"/>
      <c r="BD94" s="293"/>
      <c r="BE94" s="293"/>
      <c r="BF94" s="293"/>
      <c r="BG94" s="293"/>
      <c r="BH94" s="293"/>
      <c r="BI94" s="293"/>
      <c r="BJ94" s="293"/>
      <c r="BK94" s="293"/>
      <c r="BL94" s="293"/>
      <c r="BM94" s="293"/>
      <c r="BN94" s="293"/>
      <c r="BO94" s="293"/>
      <c r="BP94" s="293"/>
      <c r="BQ94" s="293"/>
      <c r="BR94" s="293"/>
      <c r="BS94" s="293"/>
      <c r="BT94" s="293"/>
      <c r="BU94" s="293"/>
      <c r="BV94" s="293"/>
      <c r="BW94" s="293"/>
      <c r="BX94" s="293"/>
      <c r="BY94" s="293"/>
      <c r="BZ94" s="293"/>
      <c r="CA94" s="293"/>
      <c r="CB94" s="293"/>
      <c r="CC94" s="293"/>
      <c r="CD94" s="293"/>
      <c r="CE94" s="293"/>
      <c r="CF94" s="293"/>
      <c r="CG94" s="293"/>
      <c r="CH94" s="293"/>
      <c r="CI94" s="293"/>
      <c r="CJ94" s="293"/>
      <c r="CK94" s="293"/>
      <c r="CL94" s="293"/>
      <c r="CM94" s="293"/>
      <c r="CN94" s="293"/>
      <c r="CO94" s="293"/>
      <c r="CP94" s="293"/>
      <c r="CQ94" s="293"/>
      <c r="CR94" s="293"/>
      <c r="CS94" s="293"/>
      <c r="CT94" s="293"/>
      <c r="CU94" s="293"/>
      <c r="CV94" s="293"/>
      <c r="CW94" s="293"/>
      <c r="CX94" s="293"/>
      <c r="CY94" s="293"/>
      <c r="CZ94" s="293"/>
      <c r="DA94" s="293"/>
      <c r="DB94" s="293"/>
      <c r="DC94" s="293"/>
      <c r="DD94" s="293"/>
      <c r="DE94" s="293"/>
      <c r="DF94" s="293"/>
      <c r="DG94" s="288"/>
      <c r="DH94" s="288"/>
      <c r="DI94" s="288"/>
      <c r="DJ94" s="288"/>
      <c r="DK94" s="288"/>
      <c r="DL94" s="288"/>
      <c r="DM94" s="288"/>
      <c r="DN94" s="288"/>
      <c r="DO94" s="288"/>
      <c r="DP94" s="288"/>
      <c r="DQ94" s="288"/>
      <c r="DR94" s="288"/>
      <c r="DS94" s="288"/>
      <c r="DT94" s="288"/>
      <c r="DU94" s="288"/>
      <c r="DV94" s="288"/>
      <c r="DW94" s="288"/>
      <c r="DX94" s="288"/>
    </row>
    <row r="95" ht="14.25" customHeight="1">
      <c r="A95" s="293"/>
      <c r="B95" s="293"/>
      <c r="C95" s="293"/>
      <c r="D95" s="293"/>
      <c r="E95" s="293"/>
      <c r="F95" s="293"/>
      <c r="G95" s="293"/>
      <c r="H95" s="293"/>
      <c r="I95" s="293"/>
      <c r="J95" s="293"/>
      <c r="K95" s="293"/>
      <c r="L95" s="293"/>
      <c r="M95" s="293"/>
      <c r="N95" s="293"/>
      <c r="O95" s="293"/>
      <c r="P95" s="293"/>
      <c r="Q95" s="293"/>
      <c r="R95" s="293"/>
      <c r="S95" s="293"/>
      <c r="T95" s="293"/>
      <c r="U95" s="293"/>
      <c r="V95" s="293"/>
      <c r="W95" s="293"/>
      <c r="X95" s="293"/>
      <c r="Y95" s="293"/>
      <c r="Z95" s="293"/>
      <c r="AA95" s="293"/>
      <c r="AB95" s="293"/>
      <c r="AC95" s="293"/>
      <c r="AD95" s="293"/>
      <c r="AE95" s="293"/>
      <c r="AF95" s="293"/>
      <c r="AG95" s="293"/>
      <c r="AH95" s="293"/>
      <c r="AI95" s="293"/>
      <c r="AJ95" s="293"/>
      <c r="AK95" s="293"/>
      <c r="AL95" s="293"/>
      <c r="AM95" s="293"/>
      <c r="AN95" s="293"/>
      <c r="AO95" s="293"/>
      <c r="AP95" s="293"/>
      <c r="AQ95" s="293"/>
      <c r="AR95" s="293"/>
      <c r="AS95" s="293"/>
      <c r="AT95" s="293"/>
      <c r="AU95" s="293"/>
      <c r="AV95" s="293"/>
      <c r="AW95" s="293"/>
      <c r="AX95" s="293"/>
      <c r="AY95" s="293"/>
      <c r="AZ95" s="293"/>
      <c r="BA95" s="293"/>
      <c r="BB95" s="293"/>
      <c r="BC95" s="293"/>
      <c r="BD95" s="293"/>
      <c r="BE95" s="293"/>
      <c r="BF95" s="293"/>
      <c r="BG95" s="293"/>
      <c r="BH95" s="293"/>
      <c r="BI95" s="293"/>
      <c r="BJ95" s="293"/>
      <c r="BK95" s="293"/>
      <c r="BL95" s="293"/>
      <c r="BM95" s="293"/>
      <c r="BN95" s="293"/>
      <c r="BO95" s="293"/>
      <c r="BP95" s="293"/>
      <c r="BQ95" s="293"/>
      <c r="BR95" s="293"/>
      <c r="BS95" s="293"/>
      <c r="BT95" s="293"/>
      <c r="BU95" s="293"/>
      <c r="BV95" s="293"/>
      <c r="BW95" s="293"/>
      <c r="BX95" s="293"/>
      <c r="BY95" s="293"/>
      <c r="BZ95" s="293"/>
      <c r="CA95" s="293"/>
      <c r="CB95" s="293"/>
      <c r="CC95" s="293"/>
      <c r="CD95" s="293"/>
      <c r="CE95" s="293"/>
      <c r="CF95" s="293"/>
      <c r="CG95" s="293"/>
      <c r="CH95" s="293"/>
      <c r="CI95" s="293"/>
      <c r="CJ95" s="293"/>
      <c r="CK95" s="293"/>
      <c r="CL95" s="293"/>
      <c r="CM95" s="293"/>
      <c r="CN95" s="293"/>
      <c r="CO95" s="293"/>
      <c r="CP95" s="293"/>
      <c r="CQ95" s="293"/>
      <c r="CR95" s="293"/>
      <c r="CS95" s="293"/>
      <c r="CT95" s="293"/>
      <c r="CU95" s="293"/>
      <c r="CV95" s="293"/>
      <c r="CW95" s="293"/>
      <c r="CX95" s="293"/>
      <c r="CY95" s="293"/>
      <c r="CZ95" s="293"/>
      <c r="DA95" s="293"/>
      <c r="DB95" s="293"/>
      <c r="DC95" s="293"/>
      <c r="DD95" s="293"/>
      <c r="DE95" s="293"/>
      <c r="DF95" s="293"/>
      <c r="DG95" s="288"/>
      <c r="DH95" s="288"/>
      <c r="DI95" s="288"/>
      <c r="DJ95" s="288"/>
      <c r="DK95" s="288"/>
      <c r="DL95" s="288"/>
      <c r="DM95" s="288"/>
      <c r="DN95" s="288"/>
      <c r="DO95" s="288"/>
      <c r="DP95" s="288"/>
      <c r="DQ95" s="288"/>
      <c r="DR95" s="288"/>
      <c r="DS95" s="288"/>
      <c r="DT95" s="288"/>
      <c r="DU95" s="288"/>
      <c r="DV95" s="288"/>
      <c r="DW95" s="288"/>
      <c r="DX95" s="288"/>
    </row>
    <row r="96" ht="14.25" customHeight="1">
      <c r="A96" s="293"/>
      <c r="B96" s="293"/>
      <c r="C96" s="293"/>
      <c r="D96" s="293"/>
      <c r="E96" s="293"/>
      <c r="F96" s="293"/>
      <c r="G96" s="293"/>
      <c r="H96" s="293"/>
      <c r="I96" s="293"/>
      <c r="J96" s="293"/>
      <c r="K96" s="293"/>
      <c r="L96" s="293"/>
      <c r="M96" s="293"/>
      <c r="N96" s="293"/>
      <c r="O96" s="293"/>
      <c r="P96" s="293"/>
      <c r="Q96" s="293"/>
      <c r="R96" s="293"/>
      <c r="S96" s="293"/>
      <c r="T96" s="293"/>
      <c r="U96" s="293"/>
      <c r="V96" s="293"/>
      <c r="W96" s="293"/>
      <c r="X96" s="293"/>
      <c r="Y96" s="293"/>
      <c r="Z96" s="293"/>
      <c r="AA96" s="293"/>
      <c r="AB96" s="293"/>
      <c r="AC96" s="293"/>
      <c r="AD96" s="293"/>
      <c r="AE96" s="293"/>
      <c r="AF96" s="293"/>
      <c r="AG96" s="293"/>
      <c r="AH96" s="293"/>
      <c r="AI96" s="293"/>
      <c r="AJ96" s="293"/>
      <c r="AK96" s="293"/>
      <c r="AL96" s="293"/>
      <c r="AM96" s="293"/>
      <c r="AN96" s="293"/>
      <c r="AO96" s="293"/>
      <c r="AP96" s="293"/>
      <c r="AQ96" s="293"/>
      <c r="AR96" s="293"/>
      <c r="AS96" s="293"/>
      <c r="AT96" s="293"/>
      <c r="AU96" s="293"/>
      <c r="AV96" s="293"/>
      <c r="AW96" s="293"/>
      <c r="AX96" s="293"/>
      <c r="AY96" s="293"/>
      <c r="AZ96" s="293"/>
      <c r="BA96" s="293"/>
      <c r="BB96" s="293"/>
      <c r="BC96" s="293"/>
      <c r="BD96" s="293"/>
      <c r="BE96" s="293"/>
      <c r="BF96" s="293"/>
      <c r="BG96" s="293"/>
      <c r="BH96" s="293"/>
      <c r="BI96" s="293"/>
      <c r="BJ96" s="293"/>
      <c r="BK96" s="293"/>
      <c r="BL96" s="293"/>
      <c r="BM96" s="293"/>
      <c r="BN96" s="293"/>
      <c r="BO96" s="293"/>
      <c r="BP96" s="293"/>
      <c r="BQ96" s="293"/>
      <c r="BR96" s="293"/>
      <c r="BS96" s="293"/>
      <c r="BT96" s="293"/>
      <c r="BU96" s="293"/>
      <c r="BV96" s="293"/>
      <c r="BW96" s="293"/>
      <c r="BX96" s="293"/>
      <c r="BY96" s="293"/>
      <c r="BZ96" s="293"/>
      <c r="CA96" s="293"/>
      <c r="CB96" s="293"/>
      <c r="CC96" s="293"/>
      <c r="CD96" s="293"/>
      <c r="CE96" s="293"/>
      <c r="CF96" s="293"/>
      <c r="CG96" s="293"/>
      <c r="CH96" s="293"/>
      <c r="CI96" s="293"/>
      <c r="CJ96" s="293"/>
      <c r="CK96" s="293"/>
      <c r="CL96" s="293"/>
      <c r="CM96" s="293"/>
      <c r="CN96" s="293"/>
      <c r="CO96" s="293"/>
      <c r="CP96" s="293"/>
      <c r="CQ96" s="293"/>
      <c r="CR96" s="293"/>
      <c r="CS96" s="293"/>
      <c r="CT96" s="293"/>
      <c r="CU96" s="293"/>
      <c r="CV96" s="293"/>
      <c r="CW96" s="293"/>
      <c r="CX96" s="293"/>
      <c r="CY96" s="293"/>
      <c r="CZ96" s="293"/>
      <c r="DA96" s="293"/>
      <c r="DB96" s="293"/>
      <c r="DC96" s="293"/>
      <c r="DD96" s="293"/>
      <c r="DE96" s="293"/>
      <c r="DF96" s="293"/>
      <c r="DG96" s="288"/>
      <c r="DH96" s="288"/>
      <c r="DI96" s="288"/>
      <c r="DJ96" s="288"/>
      <c r="DK96" s="288"/>
      <c r="DL96" s="288"/>
      <c r="DM96" s="288"/>
      <c r="DN96" s="288"/>
      <c r="DO96" s="288"/>
      <c r="DP96" s="288"/>
      <c r="DQ96" s="288"/>
      <c r="DR96" s="288"/>
      <c r="DS96" s="288"/>
      <c r="DT96" s="288"/>
      <c r="DU96" s="288"/>
      <c r="DV96" s="288"/>
      <c r="DW96" s="288"/>
      <c r="DX96" s="288"/>
    </row>
    <row r="97" ht="14.25" customHeight="1">
      <c r="A97" s="293"/>
      <c r="B97" s="293"/>
      <c r="C97" s="293"/>
      <c r="D97" s="293"/>
      <c r="E97" s="293"/>
      <c r="F97" s="293"/>
      <c r="G97" s="293"/>
      <c r="H97" s="293"/>
      <c r="I97" s="293"/>
      <c r="J97" s="293"/>
      <c r="K97" s="293"/>
      <c r="L97" s="293"/>
      <c r="M97" s="293"/>
      <c r="N97" s="293"/>
      <c r="O97" s="293"/>
      <c r="P97" s="293"/>
      <c r="Q97" s="293"/>
      <c r="R97" s="293"/>
      <c r="S97" s="293"/>
      <c r="T97" s="293"/>
      <c r="U97" s="293"/>
      <c r="V97" s="293"/>
      <c r="W97" s="293"/>
      <c r="X97" s="293"/>
      <c r="Y97" s="293"/>
      <c r="Z97" s="293"/>
      <c r="AA97" s="293"/>
      <c r="AB97" s="293"/>
      <c r="AC97" s="293"/>
      <c r="AD97" s="293"/>
      <c r="AE97" s="293"/>
      <c r="AF97" s="293"/>
      <c r="AG97" s="293"/>
      <c r="AH97" s="293"/>
      <c r="AI97" s="293"/>
      <c r="AJ97" s="293"/>
      <c r="AK97" s="293"/>
      <c r="AL97" s="293"/>
      <c r="AM97" s="293"/>
      <c r="AN97" s="293"/>
      <c r="AO97" s="293"/>
      <c r="AP97" s="293"/>
      <c r="AQ97" s="293"/>
      <c r="AR97" s="293"/>
      <c r="AS97" s="293"/>
      <c r="AT97" s="293"/>
      <c r="AU97" s="293"/>
      <c r="AV97" s="293"/>
      <c r="AW97" s="293"/>
      <c r="AX97" s="293"/>
      <c r="AY97" s="293"/>
      <c r="AZ97" s="293"/>
      <c r="BA97" s="293"/>
      <c r="BB97" s="293"/>
      <c r="BC97" s="293"/>
      <c r="BD97" s="293"/>
      <c r="BE97" s="293"/>
      <c r="BF97" s="293"/>
      <c r="BG97" s="293"/>
      <c r="BH97" s="293"/>
      <c r="BI97" s="293"/>
      <c r="BJ97" s="293"/>
      <c r="BK97" s="293"/>
      <c r="BL97" s="293"/>
      <c r="BM97" s="293"/>
      <c r="BN97" s="293"/>
      <c r="BO97" s="293"/>
      <c r="BP97" s="293"/>
      <c r="BQ97" s="293"/>
      <c r="BR97" s="293"/>
      <c r="BS97" s="293"/>
      <c r="BT97" s="293"/>
      <c r="BU97" s="293"/>
      <c r="BV97" s="293"/>
      <c r="BW97" s="293"/>
      <c r="BX97" s="293"/>
      <c r="BY97" s="293"/>
      <c r="BZ97" s="293"/>
      <c r="CA97" s="293"/>
      <c r="CB97" s="293"/>
      <c r="CC97" s="293"/>
      <c r="CD97" s="293"/>
      <c r="CE97" s="293"/>
      <c r="CF97" s="293"/>
      <c r="CG97" s="293"/>
      <c r="CH97" s="293"/>
      <c r="CI97" s="293"/>
      <c r="CJ97" s="293"/>
      <c r="CK97" s="293"/>
      <c r="CL97" s="293"/>
      <c r="CM97" s="293"/>
      <c r="CN97" s="293"/>
      <c r="CO97" s="293"/>
      <c r="CP97" s="293"/>
      <c r="CQ97" s="293"/>
      <c r="CR97" s="293"/>
      <c r="CS97" s="293"/>
      <c r="CT97" s="293"/>
      <c r="CU97" s="293"/>
      <c r="CV97" s="293"/>
      <c r="CW97" s="293"/>
      <c r="CX97" s="293"/>
      <c r="CY97" s="293"/>
      <c r="CZ97" s="293"/>
      <c r="DA97" s="293"/>
      <c r="DB97" s="293"/>
      <c r="DC97" s="293"/>
      <c r="DD97" s="293"/>
      <c r="DE97" s="293"/>
      <c r="DF97" s="293"/>
      <c r="DG97" s="288"/>
      <c r="DH97" s="288"/>
      <c r="DI97" s="288"/>
      <c r="DJ97" s="288"/>
      <c r="DK97" s="288"/>
      <c r="DL97" s="288"/>
      <c r="DM97" s="288"/>
      <c r="DN97" s="288"/>
      <c r="DO97" s="288"/>
      <c r="DP97" s="288"/>
      <c r="DQ97" s="288"/>
      <c r="DR97" s="288"/>
      <c r="DS97" s="288"/>
      <c r="DT97" s="288"/>
      <c r="DU97" s="288"/>
      <c r="DV97" s="288"/>
      <c r="DW97" s="288"/>
      <c r="DX97" s="288"/>
    </row>
    <row r="98" ht="14.25" customHeight="1">
      <c r="A98" s="293"/>
      <c r="B98" s="293"/>
      <c r="C98" s="293"/>
      <c r="D98" s="293"/>
      <c r="E98" s="293"/>
      <c r="F98" s="293"/>
      <c r="G98" s="293"/>
      <c r="H98" s="293"/>
      <c r="I98" s="293"/>
      <c r="J98" s="293"/>
      <c r="K98" s="293"/>
      <c r="L98" s="293"/>
      <c r="M98" s="293"/>
      <c r="N98" s="293"/>
      <c r="O98" s="293"/>
      <c r="P98" s="293"/>
      <c r="Q98" s="293"/>
      <c r="R98" s="293"/>
      <c r="S98" s="293"/>
      <c r="T98" s="293"/>
      <c r="U98" s="293"/>
      <c r="V98" s="293"/>
      <c r="W98" s="293"/>
      <c r="X98" s="293"/>
      <c r="Y98" s="293"/>
      <c r="Z98" s="293"/>
      <c r="AA98" s="293"/>
      <c r="AB98" s="293"/>
      <c r="AC98" s="293"/>
      <c r="AD98" s="293"/>
      <c r="AE98" s="293"/>
      <c r="AF98" s="293"/>
      <c r="AG98" s="293"/>
      <c r="AH98" s="293"/>
      <c r="AI98" s="293"/>
      <c r="AJ98" s="293"/>
      <c r="AK98" s="293"/>
      <c r="AL98" s="293"/>
      <c r="AM98" s="293"/>
      <c r="AN98" s="293"/>
      <c r="AO98" s="293"/>
      <c r="AP98" s="293"/>
      <c r="AQ98" s="293"/>
      <c r="AR98" s="293"/>
      <c r="AS98" s="293"/>
      <c r="AT98" s="293"/>
      <c r="AU98" s="293"/>
      <c r="AV98" s="293"/>
      <c r="AW98" s="293"/>
      <c r="AX98" s="293"/>
      <c r="AY98" s="293"/>
      <c r="AZ98" s="293"/>
      <c r="BA98" s="293"/>
      <c r="BB98" s="293"/>
      <c r="BC98" s="293"/>
      <c r="BD98" s="293"/>
      <c r="BE98" s="293"/>
      <c r="BF98" s="293"/>
      <c r="BG98" s="293"/>
      <c r="BH98" s="293"/>
      <c r="BI98" s="293"/>
      <c r="BJ98" s="293"/>
      <c r="BK98" s="293"/>
      <c r="BL98" s="293"/>
      <c r="BM98" s="293"/>
      <c r="BN98" s="293"/>
      <c r="BO98" s="293"/>
      <c r="BP98" s="293"/>
      <c r="BQ98" s="293"/>
      <c r="BR98" s="293"/>
      <c r="BS98" s="293"/>
      <c r="BT98" s="293"/>
      <c r="BU98" s="293"/>
      <c r="BV98" s="293"/>
      <c r="BW98" s="293"/>
      <c r="BX98" s="293"/>
      <c r="BY98" s="293"/>
      <c r="BZ98" s="293"/>
      <c r="CA98" s="293"/>
      <c r="CB98" s="293"/>
      <c r="CC98" s="293"/>
      <c r="CD98" s="293"/>
      <c r="CE98" s="293"/>
      <c r="CF98" s="293"/>
      <c r="CG98" s="293"/>
      <c r="CH98" s="293"/>
      <c r="CI98" s="293"/>
      <c r="CJ98" s="293"/>
      <c r="CK98" s="293"/>
      <c r="CL98" s="293"/>
      <c r="CM98" s="293"/>
      <c r="CN98" s="293"/>
      <c r="CO98" s="293"/>
      <c r="CP98" s="293"/>
      <c r="CQ98" s="293"/>
      <c r="CR98" s="293"/>
      <c r="CS98" s="293"/>
      <c r="CT98" s="293"/>
      <c r="CU98" s="293"/>
      <c r="CV98" s="293"/>
      <c r="CW98" s="293"/>
      <c r="CX98" s="293"/>
      <c r="CY98" s="293"/>
      <c r="CZ98" s="293"/>
      <c r="DA98" s="293"/>
      <c r="DB98" s="293"/>
      <c r="DC98" s="293"/>
      <c r="DD98" s="293"/>
      <c r="DE98" s="293"/>
      <c r="DF98" s="293"/>
      <c r="DG98" s="288"/>
      <c r="DH98" s="288"/>
      <c r="DI98" s="288"/>
      <c r="DJ98" s="288"/>
      <c r="DK98" s="288"/>
      <c r="DL98" s="288"/>
      <c r="DM98" s="288"/>
      <c r="DN98" s="288"/>
      <c r="DO98" s="288"/>
      <c r="DP98" s="288"/>
      <c r="DQ98" s="288"/>
      <c r="DR98" s="288"/>
      <c r="DS98" s="288"/>
      <c r="DT98" s="288"/>
      <c r="DU98" s="288"/>
      <c r="DV98" s="288"/>
      <c r="DW98" s="288"/>
      <c r="DX98" s="288"/>
    </row>
    <row r="99" ht="14.25" customHeight="1">
      <c r="A99" s="293"/>
      <c r="B99" s="293"/>
      <c r="C99" s="293"/>
      <c r="D99" s="293"/>
      <c r="E99" s="293"/>
      <c r="F99" s="293"/>
      <c r="G99" s="293"/>
      <c r="H99" s="293"/>
      <c r="I99" s="293"/>
      <c r="J99" s="293"/>
      <c r="K99" s="293"/>
      <c r="L99" s="293"/>
      <c r="M99" s="293"/>
      <c r="N99" s="293"/>
      <c r="O99" s="293"/>
      <c r="P99" s="293"/>
      <c r="Q99" s="293"/>
      <c r="R99" s="293"/>
      <c r="S99" s="293"/>
      <c r="T99" s="293"/>
      <c r="U99" s="293"/>
      <c r="V99" s="293"/>
      <c r="W99" s="293"/>
      <c r="X99" s="293"/>
      <c r="Y99" s="293"/>
      <c r="Z99" s="293"/>
      <c r="AA99" s="293"/>
      <c r="AB99" s="293"/>
      <c r="AC99" s="293"/>
      <c r="AD99" s="293"/>
      <c r="AE99" s="293"/>
      <c r="AF99" s="293"/>
      <c r="AG99" s="293"/>
      <c r="AH99" s="293"/>
      <c r="AI99" s="293"/>
      <c r="AJ99" s="293"/>
      <c r="AK99" s="293"/>
      <c r="AL99" s="293"/>
      <c r="AM99" s="293"/>
      <c r="AN99" s="293"/>
      <c r="AO99" s="293"/>
      <c r="AP99" s="293"/>
      <c r="AQ99" s="293"/>
      <c r="AR99" s="293"/>
      <c r="AS99" s="293"/>
      <c r="AT99" s="293"/>
      <c r="AU99" s="293"/>
      <c r="AV99" s="293"/>
      <c r="AW99" s="293"/>
      <c r="AX99" s="293"/>
      <c r="AY99" s="293"/>
      <c r="AZ99" s="293"/>
      <c r="BA99" s="293"/>
      <c r="BB99" s="293"/>
      <c r="BC99" s="293"/>
      <c r="BD99" s="293"/>
      <c r="BE99" s="293"/>
      <c r="BF99" s="293"/>
      <c r="BG99" s="293"/>
      <c r="BH99" s="293"/>
      <c r="BI99" s="293"/>
      <c r="BJ99" s="293"/>
      <c r="BK99" s="293"/>
      <c r="BL99" s="293"/>
      <c r="BM99" s="293"/>
      <c r="BN99" s="293"/>
      <c r="BO99" s="293"/>
      <c r="BP99" s="293"/>
      <c r="BQ99" s="293"/>
      <c r="BR99" s="293"/>
      <c r="BS99" s="293"/>
      <c r="BT99" s="293"/>
      <c r="BU99" s="293"/>
      <c r="BV99" s="293"/>
      <c r="BW99" s="293"/>
      <c r="BX99" s="293"/>
      <c r="BY99" s="293"/>
      <c r="BZ99" s="293"/>
      <c r="CA99" s="293"/>
      <c r="CB99" s="293"/>
      <c r="CC99" s="293"/>
      <c r="CD99" s="293"/>
      <c r="CE99" s="293"/>
      <c r="CF99" s="293"/>
      <c r="CG99" s="293"/>
      <c r="CH99" s="293"/>
      <c r="CI99" s="293"/>
      <c r="CJ99" s="293"/>
      <c r="CK99" s="293"/>
      <c r="CL99" s="293"/>
      <c r="CM99" s="293"/>
      <c r="CN99" s="293"/>
      <c r="CO99" s="293"/>
      <c r="CP99" s="293"/>
      <c r="CQ99" s="293"/>
      <c r="CR99" s="293"/>
      <c r="CS99" s="293"/>
      <c r="CT99" s="293"/>
      <c r="CU99" s="293"/>
      <c r="CV99" s="293"/>
      <c r="CW99" s="293"/>
      <c r="CX99" s="293"/>
      <c r="CY99" s="293"/>
      <c r="CZ99" s="293"/>
      <c r="DA99" s="293"/>
      <c r="DB99" s="293"/>
      <c r="DC99" s="293"/>
      <c r="DD99" s="293"/>
      <c r="DE99" s="293"/>
      <c r="DF99" s="293"/>
      <c r="DG99" s="288"/>
      <c r="DH99" s="288"/>
      <c r="DI99" s="288"/>
      <c r="DJ99" s="288"/>
      <c r="DK99" s="288"/>
      <c r="DL99" s="288"/>
      <c r="DM99" s="288"/>
      <c r="DN99" s="288"/>
      <c r="DO99" s="288"/>
      <c r="DP99" s="288"/>
      <c r="DQ99" s="288"/>
      <c r="DR99" s="288"/>
      <c r="DS99" s="288"/>
      <c r="DT99" s="288"/>
      <c r="DU99" s="288"/>
      <c r="DV99" s="288"/>
      <c r="DW99" s="288"/>
      <c r="DX99" s="288"/>
    </row>
    <row r="100" ht="14.25" customHeight="1">
      <c r="A100" s="293"/>
      <c r="B100" s="293"/>
      <c r="C100" s="293"/>
      <c r="D100" s="293"/>
      <c r="E100" s="293"/>
      <c r="F100" s="293"/>
      <c r="G100" s="293"/>
      <c r="H100" s="293"/>
      <c r="I100" s="293"/>
      <c r="J100" s="293"/>
      <c r="K100" s="293"/>
      <c r="L100" s="293"/>
      <c r="M100" s="293"/>
      <c r="N100" s="293"/>
      <c r="O100" s="293"/>
      <c r="P100" s="293"/>
      <c r="Q100" s="293"/>
      <c r="R100" s="293"/>
      <c r="S100" s="293"/>
      <c r="T100" s="293"/>
      <c r="U100" s="293"/>
      <c r="V100" s="293"/>
      <c r="W100" s="293"/>
      <c r="X100" s="293"/>
      <c r="Y100" s="293"/>
      <c r="Z100" s="293"/>
      <c r="AA100" s="293"/>
      <c r="AB100" s="293"/>
      <c r="AC100" s="293"/>
      <c r="AD100" s="293"/>
      <c r="AE100" s="293"/>
      <c r="AF100" s="293"/>
      <c r="AG100" s="293"/>
      <c r="AH100" s="293"/>
      <c r="AI100" s="293"/>
      <c r="AJ100" s="293"/>
      <c r="AK100" s="293"/>
      <c r="AL100" s="293"/>
      <c r="AM100" s="293"/>
      <c r="AN100" s="293"/>
      <c r="AO100" s="293"/>
      <c r="AP100" s="293"/>
      <c r="AQ100" s="293"/>
      <c r="AR100" s="293"/>
      <c r="AS100" s="293"/>
      <c r="AT100" s="293"/>
      <c r="AU100" s="293"/>
      <c r="AV100" s="293"/>
      <c r="AW100" s="293"/>
      <c r="AX100" s="293"/>
      <c r="AY100" s="293"/>
      <c r="AZ100" s="293"/>
      <c r="BA100" s="293"/>
      <c r="BB100" s="293"/>
      <c r="BC100" s="293"/>
      <c r="BD100" s="293"/>
      <c r="BE100" s="293"/>
      <c r="BF100" s="293"/>
      <c r="BG100" s="293"/>
      <c r="BH100" s="293"/>
      <c r="BI100" s="293"/>
      <c r="BJ100" s="293"/>
      <c r="BK100" s="293"/>
      <c r="BL100" s="293"/>
      <c r="BM100" s="293"/>
      <c r="BN100" s="293"/>
      <c r="BO100" s="293"/>
      <c r="BP100" s="293"/>
      <c r="BQ100" s="293"/>
      <c r="BR100" s="293"/>
      <c r="BS100" s="293"/>
      <c r="BT100" s="293"/>
      <c r="BU100" s="293"/>
      <c r="BV100" s="293"/>
      <c r="BW100" s="293"/>
      <c r="BX100" s="293"/>
      <c r="BY100" s="293"/>
      <c r="BZ100" s="293"/>
      <c r="CA100" s="293"/>
      <c r="CB100" s="293"/>
      <c r="CC100" s="293"/>
      <c r="CD100" s="293"/>
      <c r="CE100" s="293"/>
      <c r="CF100" s="293"/>
      <c r="CG100" s="293"/>
      <c r="CH100" s="293"/>
      <c r="CI100" s="293"/>
      <c r="CJ100" s="293"/>
      <c r="CK100" s="293"/>
      <c r="CL100" s="293"/>
      <c r="CM100" s="293"/>
      <c r="CN100" s="293"/>
      <c r="CO100" s="293"/>
      <c r="CP100" s="293"/>
      <c r="CQ100" s="293"/>
      <c r="CR100" s="293"/>
      <c r="CS100" s="293"/>
      <c r="CT100" s="293"/>
      <c r="CU100" s="293"/>
      <c r="CV100" s="293"/>
      <c r="CW100" s="293"/>
      <c r="CX100" s="293"/>
      <c r="CY100" s="293"/>
      <c r="CZ100" s="293"/>
      <c r="DA100" s="293"/>
      <c r="DB100" s="293"/>
      <c r="DC100" s="293"/>
      <c r="DD100" s="293"/>
      <c r="DE100" s="293"/>
      <c r="DF100" s="293"/>
      <c r="DG100" s="288"/>
      <c r="DH100" s="288"/>
      <c r="DI100" s="288"/>
      <c r="DJ100" s="288"/>
      <c r="DK100" s="288"/>
      <c r="DL100" s="288"/>
      <c r="DM100" s="288"/>
      <c r="DN100" s="288"/>
      <c r="DO100" s="288"/>
      <c r="DP100" s="288"/>
      <c r="DQ100" s="288"/>
      <c r="DR100" s="288"/>
      <c r="DS100" s="288"/>
      <c r="DT100" s="288"/>
      <c r="DU100" s="288"/>
      <c r="DV100" s="288"/>
      <c r="DW100" s="288"/>
      <c r="DX100" s="288"/>
    </row>
    <row r="101" ht="14.25" customHeight="1">
      <c r="A101" s="293"/>
      <c r="B101" s="293"/>
      <c r="C101" s="293"/>
      <c r="D101" s="293"/>
      <c r="E101" s="293"/>
      <c r="F101" s="293"/>
      <c r="G101" s="293"/>
      <c r="H101" s="293"/>
      <c r="I101" s="293"/>
      <c r="J101" s="293"/>
      <c r="K101" s="293"/>
      <c r="L101" s="293"/>
      <c r="M101" s="293"/>
      <c r="N101" s="293"/>
      <c r="O101" s="293"/>
      <c r="P101" s="293"/>
      <c r="Q101" s="293"/>
      <c r="R101" s="293"/>
      <c r="S101" s="293"/>
      <c r="T101" s="293"/>
      <c r="U101" s="293"/>
      <c r="V101" s="293"/>
      <c r="W101" s="293"/>
      <c r="X101" s="293"/>
      <c r="Y101" s="293"/>
      <c r="Z101" s="293"/>
      <c r="AA101" s="293"/>
      <c r="AB101" s="293"/>
      <c r="AC101" s="293"/>
      <c r="AD101" s="293"/>
      <c r="AE101" s="293"/>
      <c r="AF101" s="293"/>
      <c r="AG101" s="293"/>
      <c r="AH101" s="293"/>
      <c r="AI101" s="293"/>
      <c r="AJ101" s="293"/>
      <c r="AK101" s="293"/>
      <c r="AL101" s="293"/>
      <c r="AM101" s="293"/>
      <c r="AN101" s="293"/>
      <c r="AO101" s="293"/>
      <c r="AP101" s="293"/>
      <c r="AQ101" s="293"/>
      <c r="AR101" s="293"/>
      <c r="AS101" s="293"/>
      <c r="AT101" s="293"/>
      <c r="AU101" s="293"/>
      <c r="AV101" s="293"/>
      <c r="AW101" s="293"/>
      <c r="AX101" s="293"/>
      <c r="AY101" s="293"/>
      <c r="AZ101" s="293"/>
      <c r="BA101" s="293"/>
      <c r="BB101" s="293"/>
      <c r="BC101" s="293"/>
      <c r="BD101" s="293"/>
      <c r="BE101" s="293"/>
      <c r="BF101" s="293"/>
      <c r="BG101" s="293"/>
      <c r="BH101" s="293"/>
      <c r="BI101" s="293"/>
      <c r="BJ101" s="293"/>
      <c r="BK101" s="293"/>
      <c r="BL101" s="293"/>
      <c r="BM101" s="293"/>
      <c r="BN101" s="293"/>
      <c r="BO101" s="293"/>
      <c r="BP101" s="293"/>
      <c r="BQ101" s="293"/>
      <c r="BR101" s="293"/>
      <c r="BS101" s="293"/>
      <c r="BT101" s="293"/>
      <c r="BU101" s="293"/>
      <c r="BV101" s="293"/>
      <c r="BW101" s="293"/>
      <c r="BX101" s="293"/>
      <c r="BY101" s="293"/>
      <c r="BZ101" s="293"/>
      <c r="CA101" s="293"/>
      <c r="CB101" s="293"/>
      <c r="CC101" s="293"/>
      <c r="CD101" s="293"/>
      <c r="CE101" s="293"/>
      <c r="CF101" s="293"/>
      <c r="CG101" s="293"/>
      <c r="CH101" s="293"/>
      <c r="CI101" s="293"/>
      <c r="CJ101" s="293"/>
      <c r="CK101" s="293"/>
      <c r="CL101" s="293"/>
      <c r="CM101" s="293"/>
      <c r="CN101" s="293"/>
      <c r="CO101" s="293"/>
      <c r="CP101" s="293"/>
      <c r="CQ101" s="293"/>
      <c r="CR101" s="293"/>
      <c r="CS101" s="293"/>
      <c r="CT101" s="293"/>
      <c r="CU101" s="293"/>
      <c r="CV101" s="293"/>
      <c r="CW101" s="293"/>
      <c r="CX101" s="293"/>
      <c r="CY101" s="293"/>
      <c r="CZ101" s="293"/>
      <c r="DA101" s="293"/>
      <c r="DB101" s="293"/>
      <c r="DC101" s="293"/>
      <c r="DD101" s="293"/>
      <c r="DE101" s="293"/>
      <c r="DF101" s="293"/>
      <c r="DG101" s="288"/>
      <c r="DH101" s="288"/>
      <c r="DI101" s="288"/>
      <c r="DJ101" s="288"/>
      <c r="DK101" s="288"/>
      <c r="DL101" s="288"/>
      <c r="DM101" s="288"/>
      <c r="DN101" s="288"/>
      <c r="DO101" s="288"/>
      <c r="DP101" s="288"/>
      <c r="DQ101" s="288"/>
      <c r="DR101" s="288"/>
      <c r="DS101" s="288"/>
      <c r="DT101" s="288"/>
      <c r="DU101" s="288"/>
      <c r="DV101" s="288"/>
      <c r="DW101" s="288"/>
      <c r="DX101" s="288"/>
    </row>
    <row r="102" ht="14.25" customHeight="1">
      <c r="A102" s="293"/>
      <c r="B102" s="293"/>
      <c r="C102" s="293"/>
      <c r="D102" s="293"/>
      <c r="E102" s="293"/>
      <c r="F102" s="293"/>
      <c r="G102" s="293"/>
      <c r="H102" s="293"/>
      <c r="I102" s="293"/>
      <c r="J102" s="293"/>
      <c r="K102" s="293"/>
      <c r="L102" s="293"/>
      <c r="M102" s="293"/>
      <c r="N102" s="293"/>
      <c r="O102" s="293"/>
      <c r="P102" s="293"/>
      <c r="Q102" s="293"/>
      <c r="R102" s="293"/>
      <c r="S102" s="293"/>
      <c r="T102" s="293"/>
      <c r="U102" s="293"/>
      <c r="V102" s="293"/>
      <c r="W102" s="293"/>
      <c r="X102" s="293"/>
      <c r="Y102" s="293"/>
      <c r="Z102" s="293"/>
      <c r="AA102" s="293"/>
      <c r="AB102" s="293"/>
      <c r="AC102" s="293"/>
      <c r="AD102" s="293"/>
      <c r="AE102" s="293"/>
      <c r="AF102" s="293"/>
      <c r="AG102" s="293"/>
      <c r="AH102" s="293"/>
      <c r="AI102" s="293"/>
      <c r="AJ102" s="293"/>
      <c r="AK102" s="293"/>
      <c r="AL102" s="293"/>
      <c r="AM102" s="293"/>
      <c r="AN102" s="293"/>
      <c r="AO102" s="293"/>
      <c r="AP102" s="293"/>
      <c r="AQ102" s="293"/>
      <c r="AR102" s="293"/>
      <c r="AS102" s="293"/>
      <c r="AT102" s="293"/>
      <c r="AU102" s="293"/>
      <c r="AV102" s="293"/>
      <c r="AW102" s="293"/>
      <c r="AX102" s="293"/>
      <c r="AY102" s="293"/>
      <c r="AZ102" s="293"/>
      <c r="BA102" s="293"/>
      <c r="BB102" s="293"/>
      <c r="BC102" s="293"/>
      <c r="BD102" s="293"/>
      <c r="BE102" s="293"/>
      <c r="BF102" s="293"/>
      <c r="BG102" s="293"/>
      <c r="BH102" s="293"/>
      <c r="BI102" s="293"/>
      <c r="BJ102" s="293"/>
      <c r="BK102" s="293"/>
      <c r="BL102" s="293"/>
      <c r="BM102" s="293"/>
      <c r="BN102" s="293"/>
      <c r="BO102" s="293"/>
      <c r="BP102" s="293"/>
      <c r="BQ102" s="293"/>
      <c r="BR102" s="293"/>
      <c r="BS102" s="293"/>
      <c r="BT102" s="293"/>
      <c r="BU102" s="293"/>
      <c r="BV102" s="293"/>
      <c r="BW102" s="293"/>
      <c r="BX102" s="293"/>
      <c r="BY102" s="293"/>
      <c r="BZ102" s="293"/>
      <c r="CA102" s="293"/>
      <c r="CB102" s="293"/>
      <c r="CC102" s="293"/>
      <c r="CD102" s="293"/>
      <c r="CE102" s="293"/>
      <c r="CF102" s="293"/>
      <c r="CG102" s="293"/>
      <c r="CH102" s="293"/>
      <c r="CI102" s="293"/>
      <c r="CJ102" s="293"/>
      <c r="CK102" s="293"/>
      <c r="CL102" s="293"/>
      <c r="CM102" s="293"/>
      <c r="CN102" s="293"/>
      <c r="CO102" s="293"/>
      <c r="CP102" s="293"/>
      <c r="CQ102" s="293"/>
      <c r="CR102" s="293"/>
      <c r="CS102" s="293"/>
      <c r="CT102" s="293"/>
      <c r="CU102" s="293"/>
      <c r="CV102" s="293"/>
      <c r="CW102" s="293"/>
      <c r="CX102" s="293"/>
      <c r="CY102" s="293"/>
      <c r="CZ102" s="293"/>
      <c r="DA102" s="293"/>
      <c r="DB102" s="293"/>
      <c r="DC102" s="293"/>
      <c r="DD102" s="293"/>
      <c r="DE102" s="293"/>
      <c r="DF102" s="293"/>
      <c r="DG102" s="288"/>
      <c r="DH102" s="288"/>
      <c r="DI102" s="288"/>
      <c r="DJ102" s="288"/>
      <c r="DK102" s="288"/>
      <c r="DL102" s="288"/>
      <c r="DM102" s="288"/>
      <c r="DN102" s="288"/>
      <c r="DO102" s="288"/>
      <c r="DP102" s="288"/>
      <c r="DQ102" s="288"/>
      <c r="DR102" s="288"/>
      <c r="DS102" s="288"/>
      <c r="DT102" s="288"/>
      <c r="DU102" s="288"/>
      <c r="DV102" s="288"/>
      <c r="DW102" s="288"/>
      <c r="DX102" s="288"/>
    </row>
    <row r="103" ht="14.25" customHeight="1">
      <c r="A103" s="293"/>
      <c r="B103" s="293"/>
      <c r="C103" s="293"/>
      <c r="D103" s="293"/>
      <c r="E103" s="293"/>
      <c r="F103" s="293"/>
      <c r="G103" s="293"/>
      <c r="H103" s="293"/>
      <c r="I103" s="293"/>
      <c r="J103" s="293"/>
      <c r="K103" s="293"/>
      <c r="L103" s="293"/>
      <c r="M103" s="293"/>
      <c r="N103" s="293"/>
      <c r="O103" s="293"/>
      <c r="P103" s="293"/>
      <c r="Q103" s="293"/>
      <c r="R103" s="293"/>
      <c r="S103" s="293"/>
      <c r="T103" s="293"/>
      <c r="U103" s="293"/>
      <c r="V103" s="293"/>
      <c r="W103" s="293"/>
      <c r="X103" s="293"/>
      <c r="Y103" s="293"/>
      <c r="Z103" s="293"/>
      <c r="AA103" s="293"/>
      <c r="AB103" s="293"/>
      <c r="AC103" s="293"/>
      <c r="AD103" s="293"/>
      <c r="AE103" s="293"/>
      <c r="AF103" s="293"/>
      <c r="AG103" s="293"/>
      <c r="AH103" s="293"/>
      <c r="AI103" s="293"/>
      <c r="AJ103" s="293"/>
      <c r="AK103" s="293"/>
      <c r="AL103" s="293"/>
      <c r="AM103" s="293"/>
      <c r="AN103" s="293"/>
      <c r="AO103" s="293"/>
      <c r="AP103" s="293"/>
      <c r="AQ103" s="293"/>
      <c r="AR103" s="293"/>
      <c r="AS103" s="293"/>
      <c r="AT103" s="293"/>
      <c r="AU103" s="293"/>
      <c r="AV103" s="293"/>
      <c r="AW103" s="293"/>
      <c r="AX103" s="293"/>
      <c r="AY103" s="293"/>
      <c r="AZ103" s="293"/>
      <c r="BA103" s="293"/>
      <c r="BB103" s="293"/>
      <c r="BC103" s="293"/>
      <c r="BD103" s="293"/>
      <c r="BE103" s="293"/>
      <c r="BF103" s="293"/>
      <c r="BG103" s="293"/>
      <c r="BH103" s="293"/>
      <c r="BI103" s="293"/>
      <c r="BJ103" s="293"/>
      <c r="BK103" s="293"/>
      <c r="BL103" s="293"/>
      <c r="BM103" s="293"/>
      <c r="BN103" s="293"/>
      <c r="BO103" s="293"/>
      <c r="BP103" s="293"/>
      <c r="BQ103" s="293"/>
      <c r="BR103" s="293"/>
      <c r="BS103" s="293"/>
      <c r="BT103" s="293"/>
      <c r="BU103" s="293"/>
      <c r="BV103" s="293"/>
      <c r="BW103" s="293"/>
      <c r="BX103" s="293"/>
      <c r="BY103" s="293"/>
      <c r="BZ103" s="293"/>
      <c r="CA103" s="293"/>
      <c r="CB103" s="293"/>
      <c r="CC103" s="293"/>
      <c r="CD103" s="293"/>
      <c r="CE103" s="293"/>
      <c r="CF103" s="293"/>
      <c r="CG103" s="293"/>
      <c r="CH103" s="293"/>
      <c r="CI103" s="293"/>
      <c r="CJ103" s="293"/>
      <c r="CK103" s="293"/>
      <c r="CL103" s="293"/>
      <c r="CM103" s="293"/>
      <c r="CN103" s="293"/>
      <c r="CO103" s="293"/>
      <c r="CP103" s="293"/>
      <c r="CQ103" s="293"/>
      <c r="CR103" s="293"/>
      <c r="CS103" s="293"/>
      <c r="CT103" s="293"/>
      <c r="CU103" s="293"/>
      <c r="CV103" s="293"/>
      <c r="CW103" s="293"/>
      <c r="CX103" s="293"/>
      <c r="CY103" s="293"/>
      <c r="CZ103" s="293"/>
      <c r="DA103" s="293"/>
      <c r="DB103" s="293"/>
      <c r="DC103" s="293"/>
      <c r="DD103" s="293"/>
      <c r="DE103" s="293"/>
      <c r="DF103" s="293"/>
      <c r="DG103" s="288"/>
      <c r="DH103" s="288"/>
      <c r="DI103" s="288"/>
      <c r="DJ103" s="288"/>
      <c r="DK103" s="288"/>
      <c r="DL103" s="288"/>
      <c r="DM103" s="288"/>
      <c r="DN103" s="288"/>
      <c r="DO103" s="288"/>
      <c r="DP103" s="288"/>
      <c r="DQ103" s="288"/>
      <c r="DR103" s="288"/>
      <c r="DS103" s="288"/>
      <c r="DT103" s="288"/>
      <c r="DU103" s="288"/>
      <c r="DV103" s="288"/>
      <c r="DW103" s="288"/>
      <c r="DX103" s="288"/>
    </row>
    <row r="104" ht="14.25" customHeight="1">
      <c r="A104" s="293"/>
      <c r="B104" s="293"/>
      <c r="C104" s="293"/>
      <c r="D104" s="293"/>
      <c r="E104" s="293"/>
      <c r="F104" s="293"/>
      <c r="G104" s="293"/>
      <c r="H104" s="293"/>
      <c r="I104" s="293"/>
      <c r="J104" s="293"/>
      <c r="K104" s="293"/>
      <c r="L104" s="293"/>
      <c r="M104" s="293"/>
      <c r="N104" s="293"/>
      <c r="O104" s="293"/>
      <c r="P104" s="293"/>
      <c r="Q104" s="293"/>
      <c r="R104" s="293"/>
      <c r="S104" s="293"/>
      <c r="T104" s="293"/>
      <c r="U104" s="293"/>
      <c r="V104" s="293"/>
      <c r="W104" s="293"/>
      <c r="X104" s="293"/>
      <c r="Y104" s="293"/>
      <c r="Z104" s="293"/>
      <c r="AA104" s="293"/>
      <c r="AB104" s="293"/>
      <c r="AC104" s="293"/>
      <c r="AD104" s="293"/>
      <c r="AE104" s="293"/>
      <c r="AF104" s="293"/>
      <c r="AG104" s="293"/>
      <c r="AH104" s="293"/>
      <c r="AI104" s="293"/>
      <c r="AJ104" s="293"/>
      <c r="AK104" s="293"/>
      <c r="AL104" s="293"/>
      <c r="AM104" s="293"/>
      <c r="AN104" s="293"/>
      <c r="AO104" s="293"/>
      <c r="AP104" s="293"/>
      <c r="AQ104" s="293"/>
      <c r="AR104" s="293"/>
      <c r="AS104" s="293"/>
      <c r="AT104" s="293"/>
      <c r="AU104" s="293"/>
      <c r="AV104" s="293"/>
      <c r="AW104" s="293"/>
      <c r="AX104" s="293"/>
      <c r="AY104" s="293"/>
      <c r="AZ104" s="293"/>
      <c r="BA104" s="293"/>
      <c r="BB104" s="293"/>
      <c r="BC104" s="293"/>
      <c r="BD104" s="293"/>
      <c r="BE104" s="293"/>
      <c r="BF104" s="293"/>
      <c r="BG104" s="293"/>
      <c r="BH104" s="293"/>
      <c r="BI104" s="293"/>
      <c r="BJ104" s="293"/>
      <c r="BK104" s="293"/>
      <c r="BL104" s="293"/>
      <c r="BM104" s="293"/>
      <c r="BN104" s="293"/>
      <c r="BO104" s="293"/>
      <c r="BP104" s="293"/>
      <c r="BQ104" s="293"/>
      <c r="BR104" s="293"/>
      <c r="BS104" s="293"/>
      <c r="BT104" s="293"/>
      <c r="BU104" s="293"/>
      <c r="BV104" s="293"/>
      <c r="BW104" s="293"/>
      <c r="BX104" s="293"/>
      <c r="BY104" s="293"/>
      <c r="BZ104" s="293"/>
      <c r="CA104" s="293"/>
      <c r="CB104" s="293"/>
      <c r="CC104" s="293"/>
      <c r="CD104" s="293"/>
      <c r="CE104" s="293"/>
      <c r="CF104" s="293"/>
      <c r="CG104" s="293"/>
      <c r="CH104" s="293"/>
      <c r="CI104" s="293"/>
      <c r="CJ104" s="293"/>
      <c r="CK104" s="293"/>
      <c r="CL104" s="293"/>
      <c r="CM104" s="293"/>
      <c r="CN104" s="293"/>
      <c r="CO104" s="293"/>
      <c r="CP104" s="293"/>
      <c r="CQ104" s="293"/>
      <c r="CR104" s="293"/>
      <c r="CS104" s="293"/>
      <c r="CT104" s="293"/>
      <c r="CU104" s="293"/>
      <c r="CV104" s="293"/>
      <c r="CW104" s="293"/>
      <c r="CX104" s="293"/>
      <c r="CY104" s="293"/>
      <c r="CZ104" s="293"/>
      <c r="DA104" s="293"/>
      <c r="DB104" s="293"/>
      <c r="DC104" s="293"/>
      <c r="DD104" s="293"/>
      <c r="DE104" s="293"/>
      <c r="DF104" s="293"/>
      <c r="DG104" s="288"/>
      <c r="DH104" s="288"/>
      <c r="DI104" s="288"/>
      <c r="DJ104" s="288"/>
      <c r="DK104" s="288"/>
      <c r="DL104" s="288"/>
      <c r="DM104" s="288"/>
      <c r="DN104" s="288"/>
      <c r="DO104" s="288"/>
      <c r="DP104" s="288"/>
      <c r="DQ104" s="288"/>
      <c r="DR104" s="288"/>
      <c r="DS104" s="288"/>
      <c r="DT104" s="288"/>
      <c r="DU104" s="288"/>
      <c r="DV104" s="288"/>
      <c r="DW104" s="288"/>
      <c r="DX104" s="288"/>
    </row>
    <row r="105" ht="14.25" customHeight="1">
      <c r="A105" s="293"/>
      <c r="B105" s="293"/>
      <c r="C105" s="293"/>
      <c r="D105" s="293"/>
      <c r="E105" s="293"/>
      <c r="F105" s="293"/>
      <c r="G105" s="293"/>
      <c r="H105" s="293"/>
      <c r="I105" s="293"/>
      <c r="J105" s="293"/>
      <c r="K105" s="293"/>
      <c r="L105" s="293"/>
      <c r="M105" s="293"/>
      <c r="N105" s="293"/>
      <c r="O105" s="293"/>
      <c r="P105" s="293"/>
      <c r="Q105" s="293"/>
      <c r="R105" s="293"/>
      <c r="S105" s="293"/>
      <c r="T105" s="293"/>
      <c r="U105" s="293"/>
      <c r="V105" s="293"/>
      <c r="W105" s="293"/>
      <c r="X105" s="293"/>
      <c r="Y105" s="293"/>
      <c r="Z105" s="293"/>
      <c r="AA105" s="293"/>
      <c r="AB105" s="293"/>
      <c r="AC105" s="293"/>
      <c r="AD105" s="293"/>
      <c r="AE105" s="293"/>
      <c r="AF105" s="293"/>
      <c r="AG105" s="293"/>
      <c r="AH105" s="293"/>
      <c r="AI105" s="293"/>
      <c r="AJ105" s="293"/>
      <c r="AK105" s="293"/>
      <c r="AL105" s="293"/>
      <c r="AM105" s="293"/>
      <c r="AN105" s="293"/>
      <c r="AO105" s="293"/>
      <c r="AP105" s="293"/>
      <c r="AQ105" s="293"/>
      <c r="AR105" s="293"/>
      <c r="AS105" s="293"/>
      <c r="AT105" s="293"/>
      <c r="AU105" s="293"/>
      <c r="AV105" s="293"/>
      <c r="AW105" s="293"/>
      <c r="AX105" s="293"/>
      <c r="AY105" s="293"/>
      <c r="AZ105" s="293"/>
      <c r="BA105" s="293"/>
      <c r="BB105" s="293"/>
      <c r="BC105" s="293"/>
      <c r="BD105" s="293"/>
      <c r="BE105" s="293"/>
      <c r="BF105" s="293"/>
      <c r="BG105" s="293"/>
      <c r="BH105" s="293"/>
      <c r="BI105" s="293"/>
      <c r="BJ105" s="293"/>
      <c r="BK105" s="293"/>
      <c r="BL105" s="293"/>
      <c r="BM105" s="293"/>
      <c r="BN105" s="293"/>
      <c r="BO105" s="293"/>
      <c r="BP105" s="293"/>
      <c r="BQ105" s="293"/>
      <c r="BR105" s="293"/>
      <c r="BS105" s="293"/>
      <c r="BT105" s="293"/>
      <c r="BU105" s="293"/>
      <c r="BV105" s="293"/>
      <c r="BW105" s="293"/>
      <c r="BX105" s="293"/>
      <c r="BY105" s="293"/>
      <c r="BZ105" s="293"/>
      <c r="CA105" s="293"/>
      <c r="CB105" s="293"/>
      <c r="CC105" s="293"/>
      <c r="CD105" s="293"/>
      <c r="CE105" s="293"/>
      <c r="CF105" s="293"/>
      <c r="CG105" s="293"/>
      <c r="CH105" s="293"/>
      <c r="CI105" s="293"/>
      <c r="CJ105" s="293"/>
      <c r="CK105" s="293"/>
      <c r="CL105" s="293"/>
      <c r="CM105" s="293"/>
      <c r="CN105" s="293"/>
      <c r="CO105" s="293"/>
      <c r="CP105" s="293"/>
      <c r="CQ105" s="293"/>
      <c r="CR105" s="293"/>
      <c r="CS105" s="293"/>
      <c r="CT105" s="293"/>
      <c r="CU105" s="293"/>
      <c r="CV105" s="293"/>
      <c r="CW105" s="293"/>
      <c r="CX105" s="293"/>
      <c r="CY105" s="293"/>
      <c r="CZ105" s="293"/>
      <c r="DA105" s="293"/>
      <c r="DB105" s="293"/>
      <c r="DC105" s="293"/>
      <c r="DD105" s="293"/>
      <c r="DE105" s="293"/>
      <c r="DF105" s="293"/>
      <c r="DG105" s="288"/>
      <c r="DH105" s="288"/>
      <c r="DI105" s="288"/>
      <c r="DJ105" s="288"/>
      <c r="DK105" s="288"/>
      <c r="DL105" s="288"/>
      <c r="DM105" s="288"/>
      <c r="DN105" s="288"/>
      <c r="DO105" s="288"/>
      <c r="DP105" s="288"/>
      <c r="DQ105" s="288"/>
      <c r="DR105" s="288"/>
      <c r="DS105" s="288"/>
      <c r="DT105" s="288"/>
      <c r="DU105" s="288"/>
      <c r="DV105" s="288"/>
      <c r="DW105" s="288"/>
      <c r="DX105" s="288"/>
    </row>
    <row r="106" ht="14.25" customHeight="1">
      <c r="A106" s="293"/>
      <c r="B106" s="293"/>
      <c r="C106" s="293"/>
      <c r="D106" s="293"/>
      <c r="E106" s="293"/>
      <c r="F106" s="293"/>
      <c r="G106" s="293"/>
      <c r="H106" s="293"/>
      <c r="I106" s="293"/>
      <c r="J106" s="293"/>
      <c r="K106" s="293"/>
      <c r="L106" s="293"/>
      <c r="M106" s="293"/>
      <c r="N106" s="293"/>
      <c r="O106" s="293"/>
      <c r="P106" s="293"/>
      <c r="Q106" s="293"/>
      <c r="R106" s="293"/>
      <c r="S106" s="293"/>
      <c r="T106" s="293"/>
      <c r="U106" s="293"/>
      <c r="V106" s="293"/>
      <c r="W106" s="293"/>
      <c r="X106" s="293"/>
      <c r="Y106" s="293"/>
      <c r="Z106" s="293"/>
      <c r="AA106" s="293"/>
      <c r="AB106" s="293"/>
      <c r="AC106" s="293"/>
      <c r="AD106" s="293"/>
      <c r="AE106" s="293"/>
      <c r="AF106" s="293"/>
      <c r="AG106" s="293"/>
      <c r="AH106" s="293"/>
      <c r="AI106" s="293"/>
      <c r="AJ106" s="293"/>
      <c r="AK106" s="293"/>
      <c r="AL106" s="293"/>
      <c r="AM106" s="293"/>
      <c r="AN106" s="293"/>
      <c r="AO106" s="293"/>
      <c r="AP106" s="293"/>
      <c r="AQ106" s="293"/>
      <c r="AR106" s="293"/>
      <c r="AS106" s="293"/>
      <c r="AT106" s="293"/>
      <c r="AU106" s="293"/>
      <c r="AV106" s="293"/>
      <c r="AW106" s="293"/>
      <c r="AX106" s="293"/>
      <c r="AY106" s="293"/>
      <c r="AZ106" s="293"/>
      <c r="BA106" s="293"/>
      <c r="BB106" s="293"/>
      <c r="BC106" s="293"/>
      <c r="BD106" s="293"/>
      <c r="BE106" s="293"/>
      <c r="BF106" s="293"/>
      <c r="BG106" s="293"/>
      <c r="BH106" s="293"/>
      <c r="BI106" s="293"/>
      <c r="BJ106" s="293"/>
      <c r="BK106" s="293"/>
      <c r="BL106" s="293"/>
      <c r="BM106" s="293"/>
      <c r="BN106" s="293"/>
      <c r="BO106" s="293"/>
      <c r="BP106" s="293"/>
      <c r="BQ106" s="293"/>
      <c r="BR106" s="293"/>
      <c r="BS106" s="293"/>
      <c r="BT106" s="293"/>
      <c r="BU106" s="293"/>
      <c r="BV106" s="293"/>
      <c r="BW106" s="293"/>
      <c r="BX106" s="293"/>
      <c r="BY106" s="293"/>
      <c r="BZ106" s="293"/>
      <c r="CA106" s="293"/>
      <c r="CB106" s="293"/>
      <c r="CC106" s="293"/>
      <c r="CD106" s="293"/>
      <c r="CE106" s="293"/>
      <c r="CF106" s="293"/>
      <c r="CG106" s="293"/>
      <c r="CH106" s="293"/>
      <c r="CI106" s="293"/>
      <c r="CJ106" s="293"/>
      <c r="CK106" s="293"/>
      <c r="CL106" s="293"/>
      <c r="CM106" s="293"/>
      <c r="CN106" s="293"/>
      <c r="CO106" s="293"/>
      <c r="CP106" s="293"/>
      <c r="CQ106" s="293"/>
      <c r="CR106" s="293"/>
      <c r="CS106" s="293"/>
      <c r="CT106" s="293"/>
      <c r="CU106" s="293"/>
      <c r="CV106" s="293"/>
      <c r="CW106" s="293"/>
      <c r="CX106" s="293"/>
      <c r="CY106" s="293"/>
      <c r="CZ106" s="293"/>
      <c r="DA106" s="293"/>
      <c r="DB106" s="293"/>
      <c r="DC106" s="293"/>
      <c r="DD106" s="293"/>
      <c r="DE106" s="293"/>
      <c r="DF106" s="293"/>
      <c r="DG106" s="288"/>
      <c r="DH106" s="288"/>
      <c r="DI106" s="288"/>
      <c r="DJ106" s="288"/>
      <c r="DK106" s="288"/>
      <c r="DL106" s="288"/>
      <c r="DM106" s="288"/>
      <c r="DN106" s="288"/>
      <c r="DO106" s="288"/>
      <c r="DP106" s="288"/>
      <c r="DQ106" s="288"/>
      <c r="DR106" s="288"/>
      <c r="DS106" s="288"/>
      <c r="DT106" s="288"/>
      <c r="DU106" s="288"/>
      <c r="DV106" s="288"/>
      <c r="DW106" s="288"/>
      <c r="DX106" s="288"/>
    </row>
    <row r="107" ht="14.25" customHeight="1">
      <c r="A107" s="293"/>
      <c r="B107" s="293"/>
      <c r="C107" s="293"/>
      <c r="D107" s="293"/>
      <c r="E107" s="293"/>
      <c r="F107" s="293"/>
      <c r="G107" s="293"/>
      <c r="H107" s="293"/>
      <c r="I107" s="293"/>
      <c r="J107" s="293"/>
      <c r="K107" s="293"/>
      <c r="L107" s="293"/>
      <c r="M107" s="293"/>
      <c r="N107" s="293"/>
      <c r="O107" s="293"/>
      <c r="P107" s="293"/>
      <c r="Q107" s="293"/>
      <c r="R107" s="293"/>
      <c r="S107" s="293"/>
      <c r="T107" s="293"/>
      <c r="U107" s="293"/>
      <c r="V107" s="293"/>
      <c r="W107" s="293"/>
      <c r="X107" s="293"/>
      <c r="Y107" s="293"/>
      <c r="Z107" s="293"/>
      <c r="AA107" s="293"/>
      <c r="AB107" s="293"/>
      <c r="AC107" s="293"/>
      <c r="AD107" s="293"/>
      <c r="AE107" s="293"/>
      <c r="AF107" s="293"/>
      <c r="AG107" s="293"/>
      <c r="AH107" s="293"/>
      <c r="AI107" s="293"/>
      <c r="AJ107" s="293"/>
      <c r="AK107" s="293"/>
      <c r="AL107" s="293"/>
      <c r="AM107" s="293"/>
      <c r="AN107" s="293"/>
      <c r="AO107" s="293"/>
      <c r="AP107" s="293"/>
      <c r="AQ107" s="293"/>
      <c r="AR107" s="293"/>
      <c r="AS107" s="293"/>
      <c r="AT107" s="293"/>
      <c r="AU107" s="293"/>
      <c r="AV107" s="293"/>
      <c r="AW107" s="293"/>
      <c r="AX107" s="293"/>
      <c r="AY107" s="293"/>
      <c r="AZ107" s="293"/>
      <c r="BA107" s="293"/>
      <c r="BB107" s="293"/>
      <c r="BC107" s="293"/>
      <c r="BD107" s="293"/>
      <c r="BE107" s="293"/>
      <c r="BF107" s="293"/>
      <c r="BG107" s="293"/>
      <c r="BH107" s="293"/>
      <c r="BI107" s="293"/>
      <c r="BJ107" s="293"/>
      <c r="BK107" s="293"/>
      <c r="BL107" s="293"/>
      <c r="BM107" s="293"/>
      <c r="BN107" s="293"/>
      <c r="BO107" s="293"/>
      <c r="BP107" s="293"/>
      <c r="BQ107" s="293"/>
      <c r="BR107" s="293"/>
      <c r="BS107" s="293"/>
      <c r="BT107" s="293"/>
      <c r="BU107" s="293"/>
      <c r="BV107" s="293"/>
      <c r="BW107" s="293"/>
      <c r="BX107" s="293"/>
      <c r="BY107" s="293"/>
      <c r="BZ107" s="293"/>
      <c r="CA107" s="293"/>
      <c r="CB107" s="293"/>
      <c r="CC107" s="293"/>
      <c r="CD107" s="293"/>
      <c r="CE107" s="293"/>
      <c r="CF107" s="293"/>
      <c r="CG107" s="293"/>
      <c r="CH107" s="293"/>
      <c r="CI107" s="293"/>
      <c r="CJ107" s="293"/>
      <c r="CK107" s="293"/>
      <c r="CL107" s="293"/>
      <c r="CM107" s="293"/>
      <c r="CN107" s="293"/>
      <c r="CO107" s="293"/>
      <c r="CP107" s="293"/>
      <c r="CQ107" s="293"/>
      <c r="CR107" s="293"/>
      <c r="CS107" s="293"/>
      <c r="CT107" s="293"/>
      <c r="CU107" s="293"/>
      <c r="CV107" s="293"/>
      <c r="CW107" s="293"/>
      <c r="CX107" s="293"/>
      <c r="CY107" s="293"/>
      <c r="CZ107" s="293"/>
      <c r="DA107" s="293"/>
      <c r="DB107" s="293"/>
      <c r="DC107" s="293"/>
      <c r="DD107" s="293"/>
      <c r="DE107" s="293"/>
      <c r="DF107" s="293"/>
      <c r="DG107" s="288"/>
      <c r="DH107" s="288"/>
      <c r="DI107" s="288"/>
      <c r="DJ107" s="288"/>
      <c r="DK107" s="288"/>
      <c r="DL107" s="288"/>
      <c r="DM107" s="288"/>
      <c r="DN107" s="288"/>
      <c r="DO107" s="288"/>
      <c r="DP107" s="288"/>
      <c r="DQ107" s="288"/>
      <c r="DR107" s="288"/>
      <c r="DS107" s="288"/>
      <c r="DT107" s="288"/>
      <c r="DU107" s="288"/>
      <c r="DV107" s="288"/>
      <c r="DW107" s="288"/>
      <c r="DX107" s="288"/>
    </row>
    <row r="108" ht="14.25" customHeight="1">
      <c r="A108" s="293"/>
      <c r="B108" s="293"/>
      <c r="C108" s="293"/>
      <c r="D108" s="293"/>
      <c r="E108" s="293"/>
      <c r="F108" s="293"/>
      <c r="G108" s="293"/>
      <c r="H108" s="293"/>
      <c r="I108" s="293"/>
      <c r="J108" s="293"/>
      <c r="K108" s="293"/>
      <c r="L108" s="293"/>
      <c r="M108" s="293"/>
      <c r="N108" s="293"/>
      <c r="O108" s="293"/>
      <c r="P108" s="293"/>
      <c r="Q108" s="293"/>
      <c r="R108" s="293"/>
      <c r="S108" s="293"/>
      <c r="T108" s="293"/>
      <c r="U108" s="293"/>
      <c r="V108" s="293"/>
      <c r="W108" s="293"/>
      <c r="X108" s="293"/>
      <c r="Y108" s="293"/>
      <c r="Z108" s="293"/>
      <c r="AA108" s="293"/>
      <c r="AB108" s="293"/>
      <c r="AC108" s="293"/>
      <c r="AD108" s="293"/>
      <c r="AE108" s="293"/>
      <c r="AF108" s="293"/>
      <c r="AG108" s="293"/>
      <c r="AH108" s="293"/>
      <c r="AI108" s="293"/>
      <c r="AJ108" s="293"/>
      <c r="AK108" s="293"/>
      <c r="AL108" s="293"/>
      <c r="AM108" s="293"/>
      <c r="AN108" s="293"/>
      <c r="AO108" s="293"/>
      <c r="AP108" s="293"/>
      <c r="AQ108" s="293"/>
      <c r="AR108" s="293"/>
      <c r="AS108" s="293"/>
      <c r="AT108" s="293"/>
      <c r="AU108" s="293"/>
      <c r="AV108" s="293"/>
      <c r="AW108" s="293"/>
      <c r="AX108" s="293"/>
      <c r="AY108" s="293"/>
      <c r="AZ108" s="293"/>
      <c r="BA108" s="293"/>
      <c r="BB108" s="293"/>
      <c r="BC108" s="293"/>
      <c r="BD108" s="293"/>
      <c r="BE108" s="293"/>
      <c r="BF108" s="293"/>
      <c r="BG108" s="293"/>
      <c r="BH108" s="293"/>
      <c r="BI108" s="293"/>
      <c r="BJ108" s="293"/>
      <c r="BK108" s="293"/>
      <c r="BL108" s="293"/>
      <c r="BM108" s="293"/>
      <c r="BN108" s="293"/>
      <c r="BO108" s="293"/>
      <c r="BP108" s="293"/>
      <c r="BQ108" s="293"/>
      <c r="BR108" s="293"/>
      <c r="BS108" s="293"/>
      <c r="BT108" s="293"/>
      <c r="BU108" s="293"/>
      <c r="BV108" s="293"/>
      <c r="BW108" s="293"/>
      <c r="BX108" s="293"/>
      <c r="BY108" s="293"/>
      <c r="BZ108" s="293"/>
      <c r="CA108" s="293"/>
      <c r="CB108" s="293"/>
      <c r="CC108" s="293"/>
      <c r="CD108" s="293"/>
      <c r="CE108" s="293"/>
      <c r="CF108" s="293"/>
      <c r="CG108" s="293"/>
      <c r="CH108" s="293"/>
      <c r="CI108" s="293"/>
      <c r="CJ108" s="293"/>
      <c r="CK108" s="293"/>
      <c r="CL108" s="293"/>
      <c r="CM108" s="293"/>
      <c r="CN108" s="293"/>
      <c r="CO108" s="293"/>
      <c r="CP108" s="293"/>
      <c r="CQ108" s="293"/>
      <c r="CR108" s="293"/>
      <c r="CS108" s="293"/>
      <c r="CT108" s="293"/>
      <c r="CU108" s="293"/>
      <c r="CV108" s="293"/>
      <c r="CW108" s="293"/>
      <c r="CX108" s="293"/>
      <c r="CY108" s="293"/>
      <c r="CZ108" s="293"/>
      <c r="DA108" s="293"/>
      <c r="DB108" s="293"/>
      <c r="DC108" s="293"/>
      <c r="DD108" s="293"/>
      <c r="DE108" s="293"/>
      <c r="DF108" s="293"/>
      <c r="DG108" s="288"/>
      <c r="DH108" s="288"/>
      <c r="DI108" s="288"/>
      <c r="DJ108" s="288"/>
      <c r="DK108" s="288"/>
      <c r="DL108" s="288"/>
      <c r="DM108" s="288"/>
      <c r="DN108" s="288"/>
      <c r="DO108" s="288"/>
      <c r="DP108" s="288"/>
      <c r="DQ108" s="288"/>
      <c r="DR108" s="288"/>
      <c r="DS108" s="288"/>
      <c r="DT108" s="288"/>
      <c r="DU108" s="288"/>
      <c r="DV108" s="288"/>
      <c r="DW108" s="288"/>
      <c r="DX108" s="288"/>
    </row>
    <row r="109" ht="14.25" customHeight="1">
      <c r="A109" s="293"/>
      <c r="B109" s="293"/>
      <c r="C109" s="293"/>
      <c r="D109" s="293"/>
      <c r="E109" s="293"/>
      <c r="F109" s="293"/>
      <c r="G109" s="293"/>
      <c r="H109" s="293"/>
      <c r="I109" s="293"/>
      <c r="J109" s="293"/>
      <c r="K109" s="293"/>
      <c r="L109" s="293"/>
      <c r="M109" s="293"/>
      <c r="N109" s="293"/>
      <c r="O109" s="293"/>
      <c r="P109" s="293"/>
      <c r="Q109" s="293"/>
      <c r="R109" s="293"/>
      <c r="S109" s="293"/>
      <c r="T109" s="293"/>
      <c r="U109" s="293"/>
      <c r="V109" s="293"/>
      <c r="W109" s="293"/>
      <c r="X109" s="293"/>
      <c r="Y109" s="293"/>
      <c r="Z109" s="293"/>
      <c r="AA109" s="293"/>
      <c r="AB109" s="293"/>
      <c r="AC109" s="293"/>
      <c r="AD109" s="293"/>
      <c r="AE109" s="293"/>
      <c r="AF109" s="293"/>
      <c r="AG109" s="293"/>
      <c r="AH109" s="293"/>
      <c r="AI109" s="293"/>
      <c r="AJ109" s="293"/>
      <c r="AK109" s="293"/>
      <c r="AL109" s="293"/>
      <c r="AM109" s="293"/>
      <c r="AN109" s="293"/>
      <c r="AO109" s="293"/>
      <c r="AP109" s="293"/>
      <c r="AQ109" s="293"/>
      <c r="AR109" s="293"/>
      <c r="AS109" s="293"/>
      <c r="AT109" s="293"/>
      <c r="AU109" s="293"/>
      <c r="AV109" s="293"/>
      <c r="AW109" s="293"/>
      <c r="AX109" s="293"/>
      <c r="AY109" s="293"/>
      <c r="AZ109" s="293"/>
      <c r="BA109" s="293"/>
      <c r="BB109" s="293"/>
      <c r="BC109" s="293"/>
      <c r="BD109" s="293"/>
      <c r="BE109" s="293"/>
      <c r="BF109" s="293"/>
      <c r="BG109" s="293"/>
      <c r="BH109" s="293"/>
      <c r="BI109" s="293"/>
      <c r="BJ109" s="293"/>
      <c r="BK109" s="293"/>
      <c r="BL109" s="293"/>
      <c r="BM109" s="293"/>
      <c r="BN109" s="293"/>
      <c r="BO109" s="293"/>
      <c r="BP109" s="293"/>
      <c r="BQ109" s="293"/>
      <c r="BR109" s="293"/>
      <c r="BS109" s="293"/>
      <c r="BT109" s="293"/>
      <c r="BU109" s="293"/>
      <c r="BV109" s="293"/>
      <c r="BW109" s="293"/>
      <c r="BX109" s="293"/>
      <c r="BY109" s="293"/>
      <c r="BZ109" s="293"/>
      <c r="CA109" s="293"/>
      <c r="CB109" s="293"/>
      <c r="CC109" s="293"/>
      <c r="CD109" s="293"/>
      <c r="CE109" s="293"/>
      <c r="CF109" s="293"/>
      <c r="CG109" s="293"/>
      <c r="CH109" s="293"/>
      <c r="CI109" s="293"/>
      <c r="CJ109" s="293"/>
      <c r="CK109" s="293"/>
      <c r="CL109" s="293"/>
      <c r="CM109" s="293"/>
      <c r="CN109" s="293"/>
      <c r="CO109" s="293"/>
      <c r="CP109" s="293"/>
      <c r="CQ109" s="293"/>
      <c r="CR109" s="293"/>
      <c r="CS109" s="293"/>
      <c r="CT109" s="293"/>
      <c r="CU109" s="293"/>
      <c r="CV109" s="293"/>
      <c r="CW109" s="293"/>
      <c r="CX109" s="293"/>
      <c r="CY109" s="293"/>
      <c r="CZ109" s="293"/>
      <c r="DA109" s="293"/>
      <c r="DB109" s="293"/>
      <c r="DC109" s="293"/>
      <c r="DD109" s="293"/>
      <c r="DE109" s="293"/>
      <c r="DF109" s="293"/>
      <c r="DG109" s="288"/>
      <c r="DH109" s="288"/>
      <c r="DI109" s="288"/>
      <c r="DJ109" s="288"/>
      <c r="DK109" s="288"/>
      <c r="DL109" s="288"/>
      <c r="DM109" s="288"/>
      <c r="DN109" s="288"/>
      <c r="DO109" s="288"/>
      <c r="DP109" s="288"/>
      <c r="DQ109" s="288"/>
      <c r="DR109" s="288"/>
      <c r="DS109" s="288"/>
      <c r="DT109" s="288"/>
      <c r="DU109" s="288"/>
      <c r="DV109" s="288"/>
      <c r="DW109" s="288"/>
      <c r="DX109" s="288"/>
    </row>
    <row r="110" ht="14.25" customHeight="1">
      <c r="A110" s="293"/>
      <c r="B110" s="293"/>
      <c r="C110" s="293"/>
      <c r="D110" s="293"/>
      <c r="E110" s="293"/>
      <c r="F110" s="293"/>
      <c r="G110" s="293"/>
      <c r="H110" s="293"/>
      <c r="I110" s="293"/>
      <c r="J110" s="293"/>
      <c r="K110" s="293"/>
      <c r="L110" s="293"/>
      <c r="M110" s="293"/>
      <c r="N110" s="293"/>
      <c r="O110" s="293"/>
      <c r="P110" s="293"/>
      <c r="Q110" s="293"/>
      <c r="R110" s="293"/>
      <c r="S110" s="293"/>
      <c r="T110" s="293"/>
      <c r="U110" s="293"/>
      <c r="V110" s="293"/>
      <c r="W110" s="293"/>
      <c r="X110" s="293"/>
      <c r="Y110" s="293"/>
      <c r="Z110" s="293"/>
      <c r="AA110" s="293"/>
      <c r="AB110" s="293"/>
      <c r="AC110" s="293"/>
      <c r="AD110" s="293"/>
      <c r="AE110" s="293"/>
      <c r="AF110" s="293"/>
      <c r="AG110" s="293"/>
      <c r="AH110" s="293"/>
      <c r="AI110" s="293"/>
      <c r="AJ110" s="293"/>
      <c r="AK110" s="293"/>
      <c r="AL110" s="293"/>
      <c r="AM110" s="293"/>
      <c r="AN110" s="293"/>
      <c r="AO110" s="293"/>
      <c r="AP110" s="293"/>
      <c r="AQ110" s="293"/>
      <c r="AR110" s="293"/>
      <c r="AS110" s="293"/>
      <c r="AT110" s="293"/>
      <c r="AU110" s="293"/>
      <c r="AV110" s="293"/>
      <c r="AW110" s="293"/>
      <c r="AX110" s="293"/>
      <c r="AY110" s="293"/>
      <c r="AZ110" s="293"/>
      <c r="BA110" s="293"/>
      <c r="BB110" s="293"/>
      <c r="BC110" s="293"/>
      <c r="BD110" s="293"/>
      <c r="BE110" s="293"/>
      <c r="BF110" s="293"/>
      <c r="BG110" s="293"/>
      <c r="BH110" s="293"/>
      <c r="BI110" s="293"/>
      <c r="BJ110" s="293"/>
      <c r="BK110" s="293"/>
      <c r="BL110" s="293"/>
      <c r="BM110" s="293"/>
      <c r="BN110" s="293"/>
      <c r="BO110" s="293"/>
      <c r="BP110" s="293"/>
      <c r="BQ110" s="293"/>
      <c r="BR110" s="293"/>
      <c r="BS110" s="293"/>
      <c r="BT110" s="293"/>
      <c r="BU110" s="293"/>
      <c r="BV110" s="293"/>
      <c r="BW110" s="293"/>
      <c r="BX110" s="293"/>
      <c r="BY110" s="293"/>
      <c r="BZ110" s="293"/>
      <c r="CA110" s="293"/>
      <c r="CB110" s="293"/>
      <c r="CC110" s="293"/>
      <c r="CD110" s="293"/>
      <c r="CE110" s="293"/>
      <c r="CF110" s="293"/>
      <c r="CG110" s="293"/>
      <c r="CH110" s="293"/>
      <c r="CI110" s="293"/>
      <c r="CJ110" s="293"/>
      <c r="CK110" s="293"/>
      <c r="CL110" s="293"/>
      <c r="CM110" s="293"/>
      <c r="CN110" s="293"/>
      <c r="CO110" s="293"/>
      <c r="CP110" s="293"/>
      <c r="CQ110" s="293"/>
      <c r="CR110" s="293"/>
      <c r="CS110" s="293"/>
      <c r="CT110" s="293"/>
      <c r="CU110" s="293"/>
      <c r="CV110" s="293"/>
      <c r="CW110" s="293"/>
      <c r="CX110" s="293"/>
      <c r="CY110" s="293"/>
      <c r="CZ110" s="293"/>
      <c r="DA110" s="293"/>
      <c r="DB110" s="293"/>
      <c r="DC110" s="293"/>
      <c r="DD110" s="293"/>
      <c r="DE110" s="293"/>
      <c r="DF110" s="293"/>
      <c r="DG110" s="288"/>
      <c r="DH110" s="288"/>
      <c r="DI110" s="288"/>
      <c r="DJ110" s="288"/>
      <c r="DK110" s="288"/>
      <c r="DL110" s="288"/>
      <c r="DM110" s="288"/>
      <c r="DN110" s="288"/>
      <c r="DO110" s="288"/>
      <c r="DP110" s="288"/>
      <c r="DQ110" s="288"/>
      <c r="DR110" s="288"/>
      <c r="DS110" s="288"/>
      <c r="DT110" s="288"/>
      <c r="DU110" s="288"/>
      <c r="DV110" s="288"/>
      <c r="DW110" s="288"/>
      <c r="DX110" s="288"/>
    </row>
    <row r="111" ht="14.25" customHeight="1">
      <c r="A111" s="293"/>
      <c r="B111" s="293"/>
      <c r="C111" s="293"/>
      <c r="D111" s="293"/>
      <c r="E111" s="293"/>
      <c r="F111" s="293"/>
      <c r="G111" s="293"/>
      <c r="H111" s="293"/>
      <c r="I111" s="293"/>
      <c r="J111" s="293"/>
      <c r="K111" s="293"/>
      <c r="L111" s="293"/>
      <c r="M111" s="293"/>
      <c r="N111" s="293"/>
      <c r="O111" s="293"/>
      <c r="P111" s="293"/>
      <c r="Q111" s="293"/>
      <c r="R111" s="293"/>
      <c r="S111" s="293"/>
      <c r="T111" s="293"/>
      <c r="U111" s="293"/>
      <c r="V111" s="293"/>
      <c r="W111" s="293"/>
      <c r="X111" s="293"/>
      <c r="Y111" s="293"/>
      <c r="Z111" s="293"/>
      <c r="AA111" s="293"/>
      <c r="AB111" s="293"/>
      <c r="AC111" s="293"/>
      <c r="AD111" s="293"/>
      <c r="AE111" s="293"/>
      <c r="AF111" s="293"/>
      <c r="AG111" s="293"/>
      <c r="AH111" s="293"/>
      <c r="AI111" s="293"/>
      <c r="AJ111" s="293"/>
      <c r="AK111" s="293"/>
      <c r="AL111" s="293"/>
      <c r="AM111" s="293"/>
      <c r="AN111" s="293"/>
      <c r="AO111" s="293"/>
      <c r="AP111" s="293"/>
      <c r="AQ111" s="293"/>
      <c r="AR111" s="293"/>
      <c r="AS111" s="293"/>
      <c r="AT111" s="293"/>
      <c r="AU111" s="293"/>
      <c r="AV111" s="293"/>
      <c r="AW111" s="293"/>
      <c r="AX111" s="293"/>
      <c r="AY111" s="293"/>
      <c r="AZ111" s="293"/>
      <c r="BA111" s="293"/>
      <c r="BB111" s="293"/>
      <c r="BC111" s="293"/>
      <c r="BD111" s="293"/>
      <c r="BE111" s="293"/>
      <c r="BF111" s="293"/>
      <c r="BG111" s="293"/>
      <c r="BH111" s="293"/>
      <c r="BI111" s="293"/>
      <c r="BJ111" s="293"/>
      <c r="BK111" s="293"/>
      <c r="BL111" s="293"/>
      <c r="BM111" s="293"/>
      <c r="BN111" s="293"/>
      <c r="BO111" s="293"/>
      <c r="BP111" s="293"/>
      <c r="BQ111" s="293"/>
      <c r="BR111" s="293"/>
      <c r="BS111" s="293"/>
      <c r="BT111" s="293"/>
      <c r="BU111" s="293"/>
      <c r="BV111" s="293"/>
      <c r="BW111" s="293"/>
      <c r="BX111" s="293"/>
      <c r="BY111" s="293"/>
      <c r="BZ111" s="293"/>
      <c r="CA111" s="293"/>
      <c r="CB111" s="293"/>
      <c r="CC111" s="293"/>
      <c r="CD111" s="293"/>
      <c r="CE111" s="293"/>
      <c r="CF111" s="293"/>
      <c r="CG111" s="293"/>
      <c r="CH111" s="293"/>
      <c r="CI111" s="293"/>
      <c r="CJ111" s="293"/>
      <c r="CK111" s="293"/>
      <c r="CL111" s="293"/>
      <c r="CM111" s="293"/>
      <c r="CN111" s="293"/>
      <c r="CO111" s="293"/>
      <c r="CP111" s="293"/>
      <c r="CQ111" s="293"/>
      <c r="CR111" s="293"/>
      <c r="CS111" s="293"/>
      <c r="CT111" s="293"/>
      <c r="CU111" s="293"/>
      <c r="CV111" s="293"/>
      <c r="CW111" s="293"/>
      <c r="CX111" s="293"/>
      <c r="CY111" s="293"/>
      <c r="CZ111" s="293"/>
      <c r="DA111" s="293"/>
      <c r="DB111" s="293"/>
      <c r="DC111" s="293"/>
      <c r="DD111" s="293"/>
      <c r="DE111" s="293"/>
      <c r="DF111" s="293"/>
      <c r="DG111" s="288"/>
      <c r="DH111" s="288"/>
      <c r="DI111" s="288"/>
      <c r="DJ111" s="288"/>
      <c r="DK111" s="288"/>
      <c r="DL111" s="288"/>
      <c r="DM111" s="288"/>
      <c r="DN111" s="288"/>
      <c r="DO111" s="288"/>
      <c r="DP111" s="288"/>
      <c r="DQ111" s="288"/>
      <c r="DR111" s="288"/>
      <c r="DS111" s="288"/>
      <c r="DT111" s="288"/>
      <c r="DU111" s="288"/>
      <c r="DV111" s="288"/>
      <c r="DW111" s="288"/>
      <c r="DX111" s="288"/>
    </row>
    <row r="112" ht="14.25" customHeight="1">
      <c r="A112" s="293"/>
      <c r="B112" s="293"/>
      <c r="C112" s="293"/>
      <c r="D112" s="293"/>
      <c r="E112" s="293"/>
      <c r="F112" s="293"/>
      <c r="G112" s="293"/>
      <c r="H112" s="293"/>
      <c r="I112" s="293"/>
      <c r="J112" s="293"/>
      <c r="K112" s="293"/>
      <c r="L112" s="293"/>
      <c r="M112" s="293"/>
      <c r="N112" s="293"/>
      <c r="O112" s="293"/>
      <c r="P112" s="293"/>
      <c r="Q112" s="293"/>
      <c r="R112" s="293"/>
      <c r="S112" s="293"/>
      <c r="T112" s="293"/>
      <c r="U112" s="293"/>
      <c r="V112" s="293"/>
      <c r="W112" s="293"/>
      <c r="X112" s="293"/>
      <c r="Y112" s="293"/>
      <c r="Z112" s="293"/>
      <c r="AA112" s="293"/>
      <c r="AB112" s="293"/>
      <c r="AC112" s="293"/>
      <c r="AD112" s="293"/>
      <c r="AE112" s="293"/>
      <c r="AF112" s="293"/>
      <c r="AG112" s="293"/>
      <c r="AH112" s="293"/>
      <c r="AI112" s="293"/>
      <c r="AJ112" s="293"/>
      <c r="AK112" s="293"/>
      <c r="AL112" s="293"/>
      <c r="AM112" s="293"/>
      <c r="AN112" s="293"/>
      <c r="AO112" s="293"/>
      <c r="AP112" s="293"/>
      <c r="AQ112" s="293"/>
      <c r="AR112" s="293"/>
      <c r="AS112" s="293"/>
      <c r="AT112" s="293"/>
      <c r="AU112" s="293"/>
      <c r="AV112" s="293"/>
      <c r="AW112" s="293"/>
      <c r="AX112" s="293"/>
      <c r="AY112" s="293"/>
      <c r="AZ112" s="293"/>
      <c r="BA112" s="293"/>
      <c r="BB112" s="293"/>
      <c r="BC112" s="293"/>
      <c r="BD112" s="293"/>
      <c r="BE112" s="293"/>
      <c r="BF112" s="293"/>
      <c r="BG112" s="293"/>
      <c r="BH112" s="293"/>
      <c r="BI112" s="293"/>
      <c r="BJ112" s="293"/>
      <c r="BK112" s="293"/>
      <c r="BL112" s="293"/>
      <c r="BM112" s="293"/>
      <c r="BN112" s="293"/>
      <c r="BO112" s="293"/>
      <c r="BP112" s="293"/>
      <c r="BQ112" s="293"/>
      <c r="BR112" s="293"/>
      <c r="BS112" s="293"/>
      <c r="BT112" s="293"/>
      <c r="BU112" s="293"/>
      <c r="BV112" s="293"/>
      <c r="BW112" s="293"/>
      <c r="BX112" s="293"/>
      <c r="BY112" s="293"/>
      <c r="BZ112" s="293"/>
      <c r="CA112" s="293"/>
      <c r="CB112" s="293"/>
      <c r="CC112" s="293"/>
      <c r="CD112" s="293"/>
      <c r="CE112" s="293"/>
      <c r="CF112" s="293"/>
      <c r="CG112" s="293"/>
      <c r="CH112" s="293"/>
      <c r="CI112" s="293"/>
      <c r="CJ112" s="293"/>
      <c r="CK112" s="293"/>
      <c r="CL112" s="293"/>
      <c r="CM112" s="293"/>
      <c r="CN112" s="293"/>
      <c r="CO112" s="293"/>
      <c r="CP112" s="293"/>
      <c r="CQ112" s="293"/>
      <c r="CR112" s="293"/>
      <c r="CS112" s="293"/>
      <c r="CT112" s="293"/>
      <c r="CU112" s="293"/>
      <c r="CV112" s="293"/>
      <c r="CW112" s="293"/>
      <c r="CX112" s="293"/>
      <c r="CY112" s="293"/>
      <c r="CZ112" s="293"/>
      <c r="DA112" s="293"/>
      <c r="DB112" s="293"/>
      <c r="DC112" s="293"/>
      <c r="DD112" s="293"/>
      <c r="DE112" s="293"/>
      <c r="DF112" s="293"/>
      <c r="DG112" s="288"/>
      <c r="DH112" s="288"/>
      <c r="DI112" s="288"/>
      <c r="DJ112" s="288"/>
      <c r="DK112" s="288"/>
      <c r="DL112" s="288"/>
      <c r="DM112" s="288"/>
      <c r="DN112" s="288"/>
      <c r="DO112" s="288"/>
      <c r="DP112" s="288"/>
      <c r="DQ112" s="288"/>
      <c r="DR112" s="288"/>
      <c r="DS112" s="288"/>
      <c r="DT112" s="288"/>
      <c r="DU112" s="288"/>
      <c r="DV112" s="288"/>
      <c r="DW112" s="288"/>
      <c r="DX112" s="288"/>
    </row>
    <row r="113" ht="14.25" customHeight="1">
      <c r="A113" s="293"/>
      <c r="B113" s="293"/>
      <c r="C113" s="293"/>
      <c r="D113" s="293"/>
      <c r="E113" s="293"/>
      <c r="F113" s="293"/>
      <c r="G113" s="293"/>
      <c r="H113" s="293"/>
      <c r="I113" s="293"/>
      <c r="J113" s="293"/>
      <c r="K113" s="293"/>
      <c r="L113" s="293"/>
      <c r="M113" s="293"/>
      <c r="N113" s="293"/>
      <c r="O113" s="293"/>
      <c r="P113" s="293"/>
      <c r="Q113" s="293"/>
      <c r="R113" s="293"/>
      <c r="S113" s="293"/>
      <c r="T113" s="293"/>
      <c r="U113" s="293"/>
      <c r="V113" s="293"/>
      <c r="W113" s="293"/>
      <c r="X113" s="293"/>
      <c r="Y113" s="293"/>
      <c r="Z113" s="293"/>
      <c r="AA113" s="293"/>
      <c r="AB113" s="293"/>
      <c r="AC113" s="293"/>
      <c r="AD113" s="293"/>
      <c r="AE113" s="293"/>
      <c r="AF113" s="293"/>
      <c r="AG113" s="293"/>
      <c r="AH113" s="293"/>
      <c r="AI113" s="293"/>
      <c r="AJ113" s="293"/>
      <c r="AK113" s="293"/>
      <c r="AL113" s="293"/>
      <c r="AM113" s="293"/>
      <c r="AN113" s="293"/>
      <c r="AO113" s="293"/>
      <c r="AP113" s="293"/>
      <c r="AQ113" s="293"/>
      <c r="AR113" s="293"/>
      <c r="AS113" s="293"/>
      <c r="AT113" s="293"/>
      <c r="AU113" s="293"/>
      <c r="AV113" s="293"/>
      <c r="AW113" s="293"/>
      <c r="AX113" s="293"/>
      <c r="AY113" s="293"/>
      <c r="AZ113" s="293"/>
      <c r="BA113" s="293"/>
      <c r="BB113" s="293"/>
      <c r="BC113" s="293"/>
      <c r="BD113" s="293"/>
      <c r="BE113" s="293"/>
      <c r="BF113" s="293"/>
      <c r="BG113" s="293"/>
      <c r="BH113" s="293"/>
      <c r="BI113" s="293"/>
      <c r="BJ113" s="293"/>
      <c r="BK113" s="293"/>
      <c r="BL113" s="293"/>
      <c r="BM113" s="293"/>
      <c r="BN113" s="293"/>
      <c r="BO113" s="293"/>
      <c r="BP113" s="293"/>
      <c r="BQ113" s="293"/>
      <c r="BR113" s="293"/>
      <c r="BS113" s="293"/>
      <c r="BT113" s="293"/>
      <c r="BU113" s="293"/>
      <c r="BV113" s="293"/>
      <c r="BW113" s="293"/>
      <c r="BX113" s="293"/>
      <c r="BY113" s="293"/>
      <c r="BZ113" s="293"/>
      <c r="CA113" s="293"/>
      <c r="CB113" s="293"/>
      <c r="CC113" s="293"/>
      <c r="CD113" s="293"/>
      <c r="CE113" s="293"/>
      <c r="CF113" s="293"/>
      <c r="CG113" s="293"/>
      <c r="CH113" s="293"/>
      <c r="CI113" s="293"/>
      <c r="CJ113" s="293"/>
      <c r="CK113" s="293"/>
      <c r="CL113" s="293"/>
      <c r="CM113" s="293"/>
      <c r="CN113" s="293"/>
      <c r="CO113" s="293"/>
      <c r="CP113" s="293"/>
      <c r="CQ113" s="293"/>
      <c r="CR113" s="293"/>
      <c r="CS113" s="293"/>
      <c r="CT113" s="293"/>
      <c r="CU113" s="293"/>
      <c r="CV113" s="293"/>
      <c r="CW113" s="293"/>
      <c r="CX113" s="293"/>
      <c r="CY113" s="293"/>
      <c r="CZ113" s="293"/>
      <c r="DA113" s="293"/>
      <c r="DB113" s="293"/>
      <c r="DC113" s="293"/>
      <c r="DD113" s="293"/>
      <c r="DE113" s="293"/>
      <c r="DF113" s="293"/>
      <c r="DG113" s="288"/>
      <c r="DH113" s="288"/>
      <c r="DI113" s="288"/>
      <c r="DJ113" s="288"/>
      <c r="DK113" s="288"/>
      <c r="DL113" s="288"/>
      <c r="DM113" s="288"/>
      <c r="DN113" s="288"/>
      <c r="DO113" s="288"/>
      <c r="DP113" s="288"/>
      <c r="DQ113" s="288"/>
      <c r="DR113" s="288"/>
      <c r="DS113" s="288"/>
      <c r="DT113" s="288"/>
      <c r="DU113" s="288"/>
      <c r="DV113" s="288"/>
      <c r="DW113" s="288"/>
      <c r="DX113" s="288"/>
    </row>
    <row r="114" ht="14.25" customHeight="1">
      <c r="A114" s="293"/>
      <c r="B114" s="293"/>
      <c r="C114" s="293"/>
      <c r="D114" s="293"/>
      <c r="E114" s="293"/>
      <c r="F114" s="293"/>
      <c r="G114" s="293"/>
      <c r="H114" s="293"/>
      <c r="I114" s="293"/>
      <c r="J114" s="293"/>
      <c r="K114" s="293"/>
      <c r="L114" s="293"/>
      <c r="M114" s="293"/>
      <c r="N114" s="293"/>
      <c r="O114" s="293"/>
      <c r="P114" s="293"/>
      <c r="Q114" s="293"/>
      <c r="R114" s="293"/>
      <c r="S114" s="293"/>
      <c r="T114" s="293"/>
      <c r="U114" s="293"/>
      <c r="V114" s="293"/>
      <c r="W114" s="293"/>
      <c r="X114" s="293"/>
      <c r="Y114" s="293"/>
      <c r="Z114" s="293"/>
      <c r="AA114" s="293"/>
      <c r="AB114" s="293"/>
      <c r="AC114" s="293"/>
      <c r="AD114" s="293"/>
      <c r="AE114" s="293"/>
      <c r="AF114" s="293"/>
      <c r="AG114" s="293"/>
      <c r="AH114" s="293"/>
      <c r="AI114" s="293"/>
      <c r="AJ114" s="293"/>
      <c r="AK114" s="293"/>
      <c r="AL114" s="293"/>
      <c r="AM114" s="293"/>
      <c r="AN114" s="293"/>
      <c r="AO114" s="293"/>
      <c r="AP114" s="293"/>
      <c r="AQ114" s="293"/>
      <c r="AR114" s="293"/>
      <c r="AS114" s="293"/>
      <c r="AT114" s="293"/>
      <c r="AU114" s="293"/>
      <c r="AV114" s="293"/>
      <c r="AW114" s="293"/>
      <c r="AX114" s="293"/>
      <c r="AY114" s="293"/>
      <c r="AZ114" s="293"/>
      <c r="BA114" s="293"/>
      <c r="BB114" s="293"/>
      <c r="BC114" s="293"/>
      <c r="BD114" s="293"/>
      <c r="BE114" s="293"/>
      <c r="BF114" s="293"/>
      <c r="BG114" s="293"/>
      <c r="BH114" s="293"/>
      <c r="BI114" s="293"/>
      <c r="BJ114" s="293"/>
      <c r="BK114" s="293"/>
      <c r="BL114" s="293"/>
      <c r="BM114" s="293"/>
      <c r="BN114" s="293"/>
      <c r="BO114" s="293"/>
      <c r="BP114" s="293"/>
      <c r="BQ114" s="293"/>
      <c r="BR114" s="293"/>
      <c r="BS114" s="293"/>
      <c r="BT114" s="293"/>
      <c r="BU114" s="293"/>
      <c r="BV114" s="293"/>
      <c r="BW114" s="293"/>
      <c r="BX114" s="293"/>
      <c r="BY114" s="293"/>
      <c r="BZ114" s="293"/>
      <c r="CA114" s="293"/>
      <c r="CB114" s="293"/>
      <c r="CC114" s="293"/>
      <c r="CD114" s="293"/>
      <c r="CE114" s="293"/>
      <c r="CF114" s="293"/>
      <c r="CG114" s="293"/>
      <c r="CH114" s="293"/>
      <c r="CI114" s="293"/>
      <c r="CJ114" s="293"/>
      <c r="CK114" s="293"/>
      <c r="CL114" s="293"/>
      <c r="CM114" s="293"/>
      <c r="CN114" s="293"/>
      <c r="CO114" s="293"/>
      <c r="CP114" s="293"/>
      <c r="CQ114" s="293"/>
      <c r="CR114" s="293"/>
      <c r="CS114" s="293"/>
      <c r="CT114" s="293"/>
      <c r="CU114" s="293"/>
      <c r="CV114" s="293"/>
      <c r="CW114" s="293"/>
      <c r="CX114" s="293"/>
      <c r="CY114" s="293"/>
      <c r="CZ114" s="293"/>
      <c r="DA114" s="293"/>
      <c r="DB114" s="293"/>
      <c r="DC114" s="293"/>
      <c r="DD114" s="293"/>
      <c r="DE114" s="293"/>
      <c r="DF114" s="293"/>
      <c r="DG114" s="288"/>
      <c r="DH114" s="288"/>
      <c r="DI114" s="288"/>
      <c r="DJ114" s="288"/>
      <c r="DK114" s="288"/>
      <c r="DL114" s="288"/>
      <c r="DM114" s="288"/>
      <c r="DN114" s="288"/>
      <c r="DO114" s="288"/>
      <c r="DP114" s="288"/>
      <c r="DQ114" s="288"/>
      <c r="DR114" s="288"/>
      <c r="DS114" s="288"/>
      <c r="DT114" s="288"/>
      <c r="DU114" s="288"/>
      <c r="DV114" s="288"/>
      <c r="DW114" s="288"/>
      <c r="DX114" s="288"/>
    </row>
    <row r="115" ht="14.25" customHeight="1">
      <c r="A115" s="293"/>
      <c r="B115" s="293"/>
      <c r="C115" s="293"/>
      <c r="D115" s="293"/>
      <c r="E115" s="293"/>
      <c r="F115" s="293"/>
      <c r="G115" s="293"/>
      <c r="H115" s="293"/>
      <c r="I115" s="293"/>
      <c r="J115" s="293"/>
      <c r="K115" s="293"/>
      <c r="L115" s="293"/>
      <c r="M115" s="293"/>
      <c r="N115" s="293"/>
      <c r="O115" s="293"/>
      <c r="P115" s="293"/>
      <c r="Q115" s="293"/>
      <c r="R115" s="293"/>
      <c r="S115" s="293"/>
      <c r="T115" s="293"/>
      <c r="U115" s="293"/>
      <c r="V115" s="293"/>
      <c r="W115" s="293"/>
      <c r="X115" s="293"/>
      <c r="Y115" s="293"/>
      <c r="Z115" s="293"/>
      <c r="AA115" s="293"/>
      <c r="AB115" s="293"/>
      <c r="AC115" s="293"/>
      <c r="AD115" s="293"/>
      <c r="AE115" s="293"/>
      <c r="AF115" s="293"/>
      <c r="AG115" s="293"/>
      <c r="AH115" s="293"/>
      <c r="AI115" s="293"/>
      <c r="AJ115" s="293"/>
      <c r="AK115" s="293"/>
      <c r="AL115" s="293"/>
      <c r="AM115" s="293"/>
      <c r="AN115" s="293"/>
      <c r="AO115" s="293"/>
      <c r="AP115" s="293"/>
      <c r="AQ115" s="293"/>
      <c r="AR115" s="293"/>
      <c r="AS115" s="293"/>
      <c r="AT115" s="293"/>
      <c r="AU115" s="293"/>
      <c r="AV115" s="293"/>
      <c r="AW115" s="293"/>
      <c r="AX115" s="293"/>
      <c r="AY115" s="293"/>
      <c r="AZ115" s="293"/>
      <c r="BA115" s="293"/>
      <c r="BB115" s="293"/>
      <c r="BC115" s="293"/>
      <c r="BD115" s="293"/>
      <c r="BE115" s="293"/>
      <c r="BF115" s="293"/>
      <c r="BG115" s="293"/>
      <c r="BH115" s="293"/>
      <c r="BI115" s="293"/>
      <c r="BJ115" s="293"/>
      <c r="BK115" s="293"/>
      <c r="BL115" s="293"/>
      <c r="BM115" s="293"/>
      <c r="BN115" s="293"/>
      <c r="BO115" s="293"/>
      <c r="BP115" s="293"/>
      <c r="BQ115" s="293"/>
      <c r="BR115" s="293"/>
      <c r="BS115" s="293"/>
      <c r="BT115" s="293"/>
      <c r="BU115" s="293"/>
      <c r="BV115" s="293"/>
      <c r="BW115" s="293"/>
      <c r="BX115" s="293"/>
      <c r="BY115" s="293"/>
      <c r="BZ115" s="293"/>
      <c r="CA115" s="293"/>
      <c r="CB115" s="293"/>
      <c r="CC115" s="293"/>
      <c r="CD115" s="293"/>
      <c r="CE115" s="293"/>
      <c r="CF115" s="293"/>
      <c r="CG115" s="293"/>
      <c r="CH115" s="293"/>
      <c r="CI115" s="293"/>
      <c r="CJ115" s="293"/>
      <c r="CK115" s="293"/>
      <c r="CL115" s="293"/>
      <c r="CM115" s="293"/>
      <c r="CN115" s="293"/>
      <c r="CO115" s="293"/>
      <c r="CP115" s="293"/>
      <c r="CQ115" s="293"/>
      <c r="CR115" s="293"/>
      <c r="CS115" s="293"/>
      <c r="CT115" s="293"/>
      <c r="CU115" s="293"/>
      <c r="CV115" s="293"/>
      <c r="CW115" s="293"/>
      <c r="CX115" s="293"/>
      <c r="CY115" s="293"/>
      <c r="CZ115" s="293"/>
      <c r="DA115" s="293"/>
      <c r="DB115" s="293"/>
      <c r="DC115" s="293"/>
      <c r="DD115" s="293"/>
      <c r="DE115" s="293"/>
      <c r="DF115" s="293"/>
      <c r="DG115" s="288"/>
      <c r="DH115" s="288"/>
      <c r="DI115" s="288"/>
      <c r="DJ115" s="288"/>
      <c r="DK115" s="288"/>
      <c r="DL115" s="288"/>
      <c r="DM115" s="288"/>
      <c r="DN115" s="288"/>
      <c r="DO115" s="288"/>
      <c r="DP115" s="288"/>
      <c r="DQ115" s="288"/>
      <c r="DR115" s="288"/>
      <c r="DS115" s="288"/>
      <c r="DT115" s="288"/>
      <c r="DU115" s="288"/>
      <c r="DV115" s="288"/>
      <c r="DW115" s="288"/>
      <c r="DX115" s="288"/>
    </row>
    <row r="116" ht="14.25" customHeight="1">
      <c r="A116" s="293"/>
      <c r="B116" s="293"/>
      <c r="C116" s="293"/>
      <c r="D116" s="293"/>
      <c r="E116" s="293"/>
      <c r="F116" s="293"/>
      <c r="G116" s="293"/>
      <c r="H116" s="293"/>
      <c r="I116" s="293"/>
      <c r="J116" s="293"/>
      <c r="K116" s="293"/>
      <c r="L116" s="293"/>
      <c r="M116" s="293"/>
      <c r="N116" s="293"/>
      <c r="O116" s="293"/>
      <c r="P116" s="293"/>
      <c r="Q116" s="293"/>
      <c r="R116" s="293"/>
      <c r="S116" s="293"/>
      <c r="T116" s="293"/>
      <c r="U116" s="293"/>
      <c r="V116" s="293"/>
      <c r="W116" s="293"/>
      <c r="X116" s="293"/>
      <c r="Y116" s="293"/>
      <c r="Z116" s="293"/>
      <c r="AA116" s="293"/>
      <c r="AB116" s="293"/>
      <c r="AC116" s="293"/>
      <c r="AD116" s="293"/>
      <c r="AE116" s="293"/>
      <c r="AF116" s="293"/>
      <c r="AG116" s="293"/>
      <c r="AH116" s="293"/>
      <c r="AI116" s="293"/>
      <c r="AJ116" s="293"/>
      <c r="AK116" s="293"/>
      <c r="AL116" s="293"/>
      <c r="AM116" s="293"/>
      <c r="AN116" s="293"/>
      <c r="AO116" s="293"/>
      <c r="AP116" s="293"/>
      <c r="AQ116" s="293"/>
      <c r="AR116" s="293"/>
      <c r="AS116" s="293"/>
      <c r="AT116" s="293"/>
      <c r="AU116" s="293"/>
      <c r="AV116" s="293"/>
      <c r="AW116" s="293"/>
      <c r="AX116" s="293"/>
      <c r="AY116" s="293"/>
      <c r="AZ116" s="293"/>
      <c r="BA116" s="293"/>
      <c r="BB116" s="293"/>
      <c r="BC116" s="293"/>
      <c r="BD116" s="293"/>
      <c r="BE116" s="293"/>
      <c r="BF116" s="293"/>
      <c r="BG116" s="293"/>
      <c r="BH116" s="293"/>
      <c r="BI116" s="293"/>
      <c r="BJ116" s="293"/>
      <c r="BK116" s="293"/>
      <c r="BL116" s="293"/>
      <c r="BM116" s="293"/>
      <c r="BN116" s="293"/>
      <c r="BO116" s="293"/>
      <c r="BP116" s="293"/>
      <c r="BQ116" s="293"/>
      <c r="BR116" s="293"/>
      <c r="BS116" s="293"/>
      <c r="BT116" s="293"/>
      <c r="BU116" s="293"/>
      <c r="BV116" s="293"/>
      <c r="BW116" s="293"/>
      <c r="BX116" s="293"/>
      <c r="BY116" s="293"/>
      <c r="BZ116" s="293"/>
      <c r="CA116" s="293"/>
      <c r="CB116" s="293"/>
      <c r="CC116" s="293"/>
      <c r="CD116" s="293"/>
      <c r="CE116" s="293"/>
      <c r="CF116" s="293"/>
      <c r="CG116" s="293"/>
      <c r="CH116" s="293"/>
      <c r="CI116" s="293"/>
      <c r="CJ116" s="293"/>
      <c r="CK116" s="293"/>
      <c r="CL116" s="293"/>
      <c r="CM116" s="293"/>
      <c r="CN116" s="293"/>
      <c r="CO116" s="293"/>
      <c r="CP116" s="293"/>
      <c r="CQ116" s="293"/>
      <c r="CR116" s="293"/>
      <c r="CS116" s="293"/>
      <c r="CT116" s="293"/>
      <c r="CU116" s="293"/>
      <c r="CV116" s="293"/>
      <c r="CW116" s="293"/>
      <c r="CX116" s="293"/>
      <c r="CY116" s="293"/>
      <c r="CZ116" s="293"/>
      <c r="DA116" s="293"/>
      <c r="DB116" s="293"/>
      <c r="DC116" s="293"/>
      <c r="DD116" s="293"/>
      <c r="DE116" s="293"/>
      <c r="DF116" s="293"/>
      <c r="DG116" s="288"/>
      <c r="DH116" s="288"/>
      <c r="DI116" s="288"/>
      <c r="DJ116" s="288"/>
      <c r="DK116" s="288"/>
      <c r="DL116" s="288"/>
      <c r="DM116" s="288"/>
      <c r="DN116" s="288"/>
      <c r="DO116" s="288"/>
      <c r="DP116" s="288"/>
      <c r="DQ116" s="288"/>
      <c r="DR116" s="288"/>
      <c r="DS116" s="288"/>
      <c r="DT116" s="288"/>
      <c r="DU116" s="288"/>
      <c r="DV116" s="288"/>
      <c r="DW116" s="288"/>
      <c r="DX116" s="288"/>
    </row>
    <row r="117" ht="14.25" customHeight="1">
      <c r="A117" s="293"/>
      <c r="B117" s="293"/>
      <c r="C117" s="293"/>
      <c r="D117" s="293"/>
      <c r="E117" s="293"/>
      <c r="F117" s="293"/>
      <c r="G117" s="293"/>
      <c r="H117" s="293"/>
      <c r="I117" s="293"/>
      <c r="J117" s="293"/>
      <c r="K117" s="293"/>
      <c r="L117" s="293"/>
      <c r="M117" s="293"/>
      <c r="N117" s="293"/>
      <c r="O117" s="293"/>
      <c r="P117" s="293"/>
      <c r="Q117" s="293"/>
      <c r="R117" s="293"/>
      <c r="S117" s="293"/>
      <c r="T117" s="293"/>
      <c r="U117" s="293"/>
      <c r="V117" s="293"/>
      <c r="W117" s="293"/>
      <c r="X117" s="293"/>
      <c r="Y117" s="293"/>
      <c r="Z117" s="293"/>
      <c r="AA117" s="293"/>
      <c r="AB117" s="293"/>
      <c r="AC117" s="293"/>
      <c r="AD117" s="293"/>
      <c r="AE117" s="293"/>
      <c r="AF117" s="293"/>
      <c r="AG117" s="293"/>
      <c r="AH117" s="293"/>
      <c r="AI117" s="293"/>
      <c r="AJ117" s="293"/>
      <c r="AK117" s="293"/>
      <c r="AL117" s="293"/>
      <c r="AM117" s="293"/>
      <c r="AN117" s="293"/>
      <c r="AO117" s="293"/>
      <c r="AP117" s="293"/>
      <c r="AQ117" s="293"/>
      <c r="AR117" s="293"/>
      <c r="AS117" s="293"/>
      <c r="AT117" s="293"/>
      <c r="AU117" s="293"/>
      <c r="AV117" s="293"/>
      <c r="AW117" s="293"/>
      <c r="AX117" s="293"/>
      <c r="AY117" s="293"/>
      <c r="AZ117" s="293"/>
      <c r="BA117" s="293"/>
      <c r="BB117" s="293"/>
      <c r="BC117" s="293"/>
      <c r="BD117" s="293"/>
      <c r="BE117" s="293"/>
      <c r="BF117" s="293"/>
      <c r="BG117" s="293"/>
      <c r="BH117" s="293"/>
      <c r="BI117" s="293"/>
      <c r="BJ117" s="293"/>
      <c r="BK117" s="293"/>
      <c r="BL117" s="293"/>
      <c r="BM117" s="293"/>
      <c r="BN117" s="293"/>
      <c r="BO117" s="293"/>
      <c r="BP117" s="293"/>
      <c r="BQ117" s="293"/>
      <c r="BR117" s="293"/>
      <c r="BS117" s="293"/>
      <c r="BT117" s="293"/>
      <c r="BU117" s="293"/>
      <c r="BV117" s="293"/>
      <c r="BW117" s="293"/>
      <c r="BX117" s="293"/>
      <c r="BY117" s="293"/>
      <c r="BZ117" s="293"/>
      <c r="CA117" s="293"/>
      <c r="CB117" s="293"/>
      <c r="CC117" s="293"/>
      <c r="CD117" s="293"/>
      <c r="CE117" s="293"/>
      <c r="CF117" s="293"/>
      <c r="CG117" s="293"/>
      <c r="CH117" s="293"/>
      <c r="CI117" s="293"/>
      <c r="CJ117" s="293"/>
      <c r="CK117" s="293"/>
      <c r="CL117" s="293"/>
      <c r="CM117" s="293"/>
      <c r="CN117" s="293"/>
      <c r="CO117" s="293"/>
      <c r="CP117" s="293"/>
      <c r="CQ117" s="293"/>
      <c r="CR117" s="293"/>
      <c r="CS117" s="293"/>
      <c r="CT117" s="293"/>
      <c r="CU117" s="293"/>
      <c r="CV117" s="293"/>
      <c r="CW117" s="293"/>
      <c r="CX117" s="293"/>
      <c r="CY117" s="293"/>
      <c r="CZ117" s="293"/>
      <c r="DA117" s="293"/>
      <c r="DB117" s="293"/>
      <c r="DC117" s="293"/>
      <c r="DD117" s="293"/>
      <c r="DE117" s="293"/>
      <c r="DF117" s="293"/>
      <c r="DG117" s="288"/>
      <c r="DH117" s="288"/>
      <c r="DI117" s="288"/>
      <c r="DJ117" s="288"/>
      <c r="DK117" s="288"/>
      <c r="DL117" s="288"/>
      <c r="DM117" s="288"/>
      <c r="DN117" s="288"/>
      <c r="DO117" s="288"/>
      <c r="DP117" s="288"/>
      <c r="DQ117" s="288"/>
      <c r="DR117" s="288"/>
      <c r="DS117" s="288"/>
      <c r="DT117" s="288"/>
      <c r="DU117" s="288"/>
      <c r="DV117" s="288"/>
      <c r="DW117" s="288"/>
      <c r="DX117" s="288"/>
    </row>
    <row r="118" ht="14.25" customHeight="1">
      <c r="A118" s="293"/>
      <c r="B118" s="293"/>
      <c r="C118" s="293"/>
      <c r="D118" s="293"/>
      <c r="E118" s="293"/>
      <c r="F118" s="293"/>
      <c r="G118" s="293"/>
      <c r="H118" s="293"/>
      <c r="I118" s="293"/>
      <c r="J118" s="293"/>
      <c r="K118" s="293"/>
      <c r="L118" s="293"/>
      <c r="M118" s="293"/>
      <c r="N118" s="293"/>
      <c r="O118" s="293"/>
      <c r="P118" s="293"/>
      <c r="Q118" s="293"/>
      <c r="R118" s="293"/>
      <c r="S118" s="293"/>
      <c r="T118" s="293"/>
      <c r="U118" s="293"/>
      <c r="V118" s="293"/>
      <c r="W118" s="293"/>
      <c r="X118" s="293"/>
      <c r="Y118" s="293"/>
      <c r="Z118" s="293"/>
      <c r="AA118" s="293"/>
      <c r="AB118" s="293"/>
      <c r="AC118" s="293"/>
      <c r="AD118" s="293"/>
      <c r="AE118" s="293"/>
      <c r="AF118" s="293"/>
      <c r="AG118" s="293"/>
      <c r="AH118" s="293"/>
      <c r="AI118" s="293"/>
      <c r="AJ118" s="293"/>
      <c r="AK118" s="293"/>
      <c r="AL118" s="293"/>
      <c r="AM118" s="293"/>
      <c r="AN118" s="293"/>
      <c r="AO118" s="293"/>
      <c r="AP118" s="293"/>
      <c r="AQ118" s="293"/>
      <c r="AR118" s="293"/>
      <c r="AS118" s="293"/>
      <c r="AT118" s="293"/>
      <c r="AU118" s="293"/>
      <c r="AV118" s="293"/>
      <c r="AW118" s="293"/>
      <c r="AX118" s="293"/>
      <c r="AY118" s="293"/>
      <c r="AZ118" s="293"/>
      <c r="BA118" s="293"/>
      <c r="BB118" s="293"/>
      <c r="BC118" s="293"/>
      <c r="BD118" s="293"/>
      <c r="BE118" s="293"/>
      <c r="BF118" s="293"/>
      <c r="BG118" s="293"/>
      <c r="BH118" s="293"/>
      <c r="BI118" s="293"/>
      <c r="BJ118" s="293"/>
      <c r="BK118" s="293"/>
      <c r="BL118" s="293"/>
      <c r="BM118" s="293"/>
      <c r="BN118" s="293"/>
      <c r="BO118" s="293"/>
      <c r="BP118" s="293"/>
      <c r="BQ118" s="293"/>
      <c r="BR118" s="293"/>
      <c r="BS118" s="293"/>
      <c r="BT118" s="293"/>
      <c r="BU118" s="293"/>
      <c r="BV118" s="293"/>
      <c r="BW118" s="293"/>
      <c r="BX118" s="293"/>
      <c r="BY118" s="293"/>
      <c r="BZ118" s="293"/>
      <c r="CA118" s="293"/>
      <c r="CB118" s="293"/>
      <c r="CC118" s="293"/>
      <c r="CD118" s="293"/>
      <c r="CE118" s="293"/>
      <c r="CF118" s="293"/>
      <c r="CG118" s="293"/>
      <c r="CH118" s="293"/>
      <c r="CI118" s="293"/>
      <c r="CJ118" s="293"/>
      <c r="CK118" s="293"/>
      <c r="CL118" s="293"/>
      <c r="CM118" s="293"/>
      <c r="CN118" s="293"/>
      <c r="CO118" s="293"/>
      <c r="CP118" s="293"/>
      <c r="CQ118" s="293"/>
      <c r="CR118" s="293"/>
      <c r="CS118" s="293"/>
      <c r="CT118" s="293"/>
      <c r="CU118" s="293"/>
      <c r="CV118" s="293"/>
      <c r="CW118" s="293"/>
      <c r="CX118" s="293"/>
      <c r="CY118" s="293"/>
      <c r="CZ118" s="293"/>
      <c r="DA118" s="293"/>
      <c r="DB118" s="293"/>
      <c r="DC118" s="293"/>
      <c r="DD118" s="293"/>
      <c r="DE118" s="293"/>
      <c r="DF118" s="293"/>
      <c r="DG118" s="288"/>
      <c r="DH118" s="288"/>
      <c r="DI118" s="288"/>
      <c r="DJ118" s="288"/>
      <c r="DK118" s="288"/>
      <c r="DL118" s="288"/>
      <c r="DM118" s="288"/>
      <c r="DN118" s="288"/>
      <c r="DO118" s="288"/>
      <c r="DP118" s="288"/>
      <c r="DQ118" s="288"/>
      <c r="DR118" s="288"/>
      <c r="DS118" s="288"/>
      <c r="DT118" s="288"/>
      <c r="DU118" s="288"/>
      <c r="DV118" s="288"/>
      <c r="DW118" s="288"/>
      <c r="DX118" s="288"/>
    </row>
    <row r="119" ht="14.25" customHeight="1">
      <c r="A119" s="293"/>
      <c r="B119" s="293"/>
      <c r="C119" s="293"/>
      <c r="D119" s="293"/>
      <c r="E119" s="293"/>
      <c r="F119" s="293"/>
      <c r="G119" s="293"/>
      <c r="H119" s="293"/>
      <c r="I119" s="293"/>
      <c r="J119" s="293"/>
      <c r="K119" s="293"/>
      <c r="L119" s="293"/>
      <c r="M119" s="293"/>
      <c r="N119" s="293"/>
      <c r="O119" s="293"/>
      <c r="P119" s="293"/>
      <c r="Q119" s="293"/>
      <c r="R119" s="293"/>
      <c r="S119" s="293"/>
      <c r="T119" s="293"/>
      <c r="U119" s="293"/>
      <c r="V119" s="293"/>
      <c r="W119" s="293"/>
      <c r="X119" s="293"/>
      <c r="Y119" s="293"/>
      <c r="Z119" s="293"/>
      <c r="AA119" s="293"/>
      <c r="AB119" s="293"/>
      <c r="AC119" s="293"/>
      <c r="AD119" s="293"/>
      <c r="AE119" s="293"/>
      <c r="AF119" s="293"/>
      <c r="AG119" s="293"/>
      <c r="AH119" s="293"/>
      <c r="AI119" s="293"/>
      <c r="AJ119" s="293"/>
      <c r="AK119" s="293"/>
      <c r="AL119" s="293"/>
      <c r="AM119" s="293"/>
      <c r="AN119" s="293"/>
      <c r="AO119" s="293"/>
      <c r="AP119" s="293"/>
      <c r="AQ119" s="293"/>
      <c r="AR119" s="293"/>
      <c r="AS119" s="293"/>
      <c r="AT119" s="293"/>
      <c r="AU119" s="293"/>
      <c r="AV119" s="293"/>
      <c r="AW119" s="293"/>
      <c r="AX119" s="293"/>
      <c r="AY119" s="293"/>
      <c r="AZ119" s="293"/>
      <c r="BA119" s="293"/>
      <c r="BB119" s="293"/>
      <c r="BC119" s="293"/>
      <c r="BD119" s="293"/>
      <c r="BE119" s="293"/>
      <c r="BF119" s="293"/>
      <c r="BG119" s="293"/>
      <c r="BH119" s="293"/>
      <c r="BI119" s="293"/>
      <c r="BJ119" s="293"/>
      <c r="BK119" s="293"/>
      <c r="BL119" s="293"/>
      <c r="BM119" s="293"/>
      <c r="BN119" s="293"/>
      <c r="BO119" s="293"/>
      <c r="BP119" s="293"/>
      <c r="BQ119" s="293"/>
      <c r="BR119" s="293"/>
      <c r="BS119" s="293"/>
      <c r="BT119" s="293"/>
      <c r="BU119" s="293"/>
      <c r="BV119" s="293"/>
      <c r="BW119" s="293"/>
      <c r="BX119" s="293"/>
      <c r="BY119" s="293"/>
      <c r="BZ119" s="293"/>
      <c r="CA119" s="293"/>
      <c r="CB119" s="293"/>
      <c r="CC119" s="293"/>
      <c r="CD119" s="293"/>
      <c r="CE119" s="293"/>
      <c r="CF119" s="293"/>
      <c r="CG119" s="293"/>
      <c r="CH119" s="293"/>
      <c r="CI119" s="293"/>
      <c r="CJ119" s="293"/>
      <c r="CK119" s="293"/>
      <c r="CL119" s="293"/>
      <c r="CM119" s="293"/>
      <c r="CN119" s="293"/>
      <c r="CO119" s="293"/>
      <c r="CP119" s="293"/>
      <c r="CQ119" s="293"/>
      <c r="CR119" s="293"/>
      <c r="CS119" s="293"/>
      <c r="CT119" s="293"/>
      <c r="CU119" s="293"/>
      <c r="CV119" s="293"/>
      <c r="CW119" s="293"/>
      <c r="CX119" s="293"/>
      <c r="CY119" s="293"/>
      <c r="CZ119" s="293"/>
      <c r="DA119" s="293"/>
      <c r="DB119" s="293"/>
      <c r="DC119" s="293"/>
      <c r="DD119" s="293"/>
      <c r="DE119" s="293"/>
      <c r="DF119" s="293"/>
      <c r="DG119" s="288"/>
      <c r="DH119" s="288"/>
      <c r="DI119" s="288"/>
      <c r="DJ119" s="288"/>
      <c r="DK119" s="288"/>
      <c r="DL119" s="288"/>
      <c r="DM119" s="288"/>
      <c r="DN119" s="288"/>
      <c r="DO119" s="288"/>
      <c r="DP119" s="288"/>
      <c r="DQ119" s="288"/>
      <c r="DR119" s="288"/>
      <c r="DS119" s="288"/>
      <c r="DT119" s="288"/>
      <c r="DU119" s="288"/>
      <c r="DV119" s="288"/>
      <c r="DW119" s="288"/>
      <c r="DX119" s="288"/>
    </row>
    <row r="120" ht="14.25" customHeight="1">
      <c r="A120" s="293"/>
      <c r="B120" s="293"/>
      <c r="C120" s="293"/>
      <c r="D120" s="293"/>
      <c r="E120" s="293"/>
      <c r="F120" s="293"/>
      <c r="G120" s="293"/>
      <c r="H120" s="293"/>
      <c r="I120" s="293"/>
      <c r="J120" s="293"/>
      <c r="K120" s="293"/>
      <c r="L120" s="293"/>
      <c r="M120" s="293"/>
      <c r="N120" s="293"/>
      <c r="O120" s="293"/>
      <c r="P120" s="293"/>
      <c r="Q120" s="293"/>
      <c r="R120" s="293"/>
      <c r="S120" s="293"/>
      <c r="T120" s="293"/>
      <c r="U120" s="293"/>
      <c r="V120" s="293"/>
      <c r="W120" s="293"/>
      <c r="X120" s="293"/>
      <c r="Y120" s="293"/>
      <c r="Z120" s="293"/>
      <c r="AA120" s="293"/>
      <c r="AB120" s="293"/>
      <c r="AC120" s="293"/>
      <c r="AD120" s="293"/>
      <c r="AE120" s="293"/>
      <c r="AF120" s="293"/>
      <c r="AG120" s="293"/>
      <c r="AH120" s="293"/>
      <c r="AI120" s="293"/>
      <c r="AJ120" s="293"/>
      <c r="AK120" s="293"/>
      <c r="AL120" s="293"/>
      <c r="AM120" s="293"/>
      <c r="AN120" s="293"/>
      <c r="AO120" s="293"/>
      <c r="AP120" s="293"/>
      <c r="AQ120" s="293"/>
      <c r="AR120" s="293"/>
      <c r="AS120" s="293"/>
      <c r="AT120" s="293"/>
      <c r="AU120" s="293"/>
      <c r="AV120" s="293"/>
      <c r="AW120" s="293"/>
      <c r="AX120" s="293"/>
      <c r="AY120" s="293"/>
      <c r="AZ120" s="293"/>
      <c r="BA120" s="293"/>
      <c r="BB120" s="293"/>
      <c r="BC120" s="293"/>
      <c r="BD120" s="293"/>
      <c r="BE120" s="293"/>
      <c r="BF120" s="293"/>
      <c r="BG120" s="293"/>
      <c r="BH120" s="293"/>
      <c r="BI120" s="293"/>
      <c r="BJ120" s="293"/>
      <c r="BK120" s="293"/>
      <c r="BL120" s="293"/>
      <c r="BM120" s="293"/>
      <c r="BN120" s="293"/>
      <c r="BO120" s="293"/>
      <c r="BP120" s="293"/>
      <c r="BQ120" s="293"/>
      <c r="BR120" s="293"/>
      <c r="BS120" s="293"/>
      <c r="BT120" s="293"/>
      <c r="BU120" s="293"/>
      <c r="BV120" s="293"/>
      <c r="BW120" s="293"/>
      <c r="BX120" s="293"/>
      <c r="BY120" s="293"/>
      <c r="BZ120" s="293"/>
      <c r="CA120" s="293"/>
      <c r="CB120" s="293"/>
      <c r="CC120" s="293"/>
      <c r="CD120" s="293"/>
      <c r="CE120" s="293"/>
      <c r="CF120" s="293"/>
      <c r="CG120" s="293"/>
      <c r="CH120" s="293"/>
      <c r="CI120" s="293"/>
      <c r="CJ120" s="293"/>
      <c r="CK120" s="293"/>
      <c r="CL120" s="293"/>
      <c r="CM120" s="293"/>
      <c r="CN120" s="293"/>
      <c r="CO120" s="293"/>
      <c r="CP120" s="293"/>
      <c r="CQ120" s="293"/>
      <c r="CR120" s="293"/>
      <c r="CS120" s="293"/>
      <c r="CT120" s="293"/>
      <c r="CU120" s="293"/>
      <c r="CV120" s="293"/>
      <c r="CW120" s="293"/>
      <c r="CX120" s="293"/>
      <c r="CY120" s="293"/>
      <c r="CZ120" s="293"/>
      <c r="DA120" s="293"/>
      <c r="DB120" s="293"/>
      <c r="DC120" s="293"/>
      <c r="DD120" s="293"/>
      <c r="DE120" s="293"/>
      <c r="DF120" s="293"/>
      <c r="DG120" s="288"/>
      <c r="DH120" s="288"/>
      <c r="DI120" s="288"/>
      <c r="DJ120" s="288"/>
      <c r="DK120" s="288"/>
      <c r="DL120" s="288"/>
      <c r="DM120" s="288"/>
      <c r="DN120" s="288"/>
      <c r="DO120" s="288"/>
      <c r="DP120" s="288"/>
      <c r="DQ120" s="288"/>
      <c r="DR120" s="288"/>
      <c r="DS120" s="288"/>
      <c r="DT120" s="288"/>
      <c r="DU120" s="288"/>
      <c r="DV120" s="288"/>
      <c r="DW120" s="288"/>
      <c r="DX120" s="288"/>
    </row>
    <row r="121" ht="14.25" customHeight="1">
      <c r="A121" s="293"/>
      <c r="B121" s="293"/>
      <c r="C121" s="293"/>
      <c r="D121" s="293"/>
      <c r="E121" s="293"/>
      <c r="F121" s="293"/>
      <c r="G121" s="293"/>
      <c r="H121" s="293"/>
      <c r="I121" s="293"/>
      <c r="J121" s="293"/>
      <c r="K121" s="293"/>
      <c r="L121" s="293"/>
      <c r="M121" s="293"/>
      <c r="N121" s="293"/>
      <c r="O121" s="293"/>
      <c r="P121" s="293"/>
      <c r="Q121" s="293"/>
      <c r="R121" s="293"/>
      <c r="S121" s="293"/>
      <c r="T121" s="293"/>
      <c r="U121" s="293"/>
      <c r="V121" s="293"/>
      <c r="W121" s="293"/>
      <c r="X121" s="293"/>
      <c r="Y121" s="293"/>
      <c r="Z121" s="293"/>
      <c r="AA121" s="293"/>
      <c r="AB121" s="293"/>
      <c r="AC121" s="293"/>
      <c r="AD121" s="293"/>
      <c r="AE121" s="293"/>
      <c r="AF121" s="293"/>
      <c r="AG121" s="293"/>
      <c r="AH121" s="293"/>
      <c r="AI121" s="293"/>
      <c r="AJ121" s="293"/>
      <c r="AK121" s="293"/>
      <c r="AL121" s="293"/>
      <c r="AM121" s="293"/>
      <c r="AN121" s="293"/>
      <c r="AO121" s="293"/>
      <c r="AP121" s="293"/>
      <c r="AQ121" s="293"/>
      <c r="AR121" s="293"/>
      <c r="AS121" s="293"/>
      <c r="AT121" s="293"/>
      <c r="AU121" s="293"/>
      <c r="AV121" s="293"/>
      <c r="AW121" s="293"/>
      <c r="AX121" s="293"/>
      <c r="AY121" s="293"/>
      <c r="AZ121" s="293"/>
      <c r="BA121" s="293"/>
      <c r="BB121" s="293"/>
      <c r="BC121" s="293"/>
      <c r="BD121" s="293"/>
      <c r="BE121" s="293"/>
      <c r="BF121" s="293"/>
      <c r="BG121" s="293"/>
      <c r="BH121" s="293"/>
      <c r="BI121" s="293"/>
      <c r="BJ121" s="293"/>
      <c r="BK121" s="293"/>
      <c r="BL121" s="293"/>
      <c r="BM121" s="293"/>
      <c r="BN121" s="293"/>
      <c r="BO121" s="293"/>
      <c r="BP121" s="293"/>
      <c r="BQ121" s="293"/>
      <c r="BR121" s="293"/>
      <c r="BS121" s="293"/>
      <c r="BT121" s="293"/>
      <c r="BU121" s="293"/>
      <c r="BV121" s="293"/>
      <c r="BW121" s="293"/>
      <c r="BX121" s="293"/>
      <c r="BY121" s="293"/>
      <c r="BZ121" s="293"/>
      <c r="CA121" s="293"/>
      <c r="CB121" s="293"/>
      <c r="CC121" s="293"/>
      <c r="CD121" s="293"/>
      <c r="CE121" s="293"/>
      <c r="CF121" s="293"/>
      <c r="CG121" s="293"/>
      <c r="CH121" s="293"/>
      <c r="CI121" s="293"/>
      <c r="CJ121" s="293"/>
      <c r="CK121" s="293"/>
      <c r="CL121" s="293"/>
      <c r="CM121" s="293"/>
      <c r="CN121" s="293"/>
      <c r="CO121" s="293"/>
      <c r="CP121" s="293"/>
      <c r="CQ121" s="293"/>
      <c r="CR121" s="293"/>
      <c r="CS121" s="293"/>
      <c r="CT121" s="293"/>
      <c r="CU121" s="293"/>
      <c r="CV121" s="293"/>
      <c r="CW121" s="293"/>
      <c r="CX121" s="293"/>
      <c r="CY121" s="293"/>
      <c r="CZ121" s="293"/>
      <c r="DA121" s="293"/>
      <c r="DB121" s="293"/>
      <c r="DC121" s="293"/>
      <c r="DD121" s="293"/>
      <c r="DE121" s="293"/>
      <c r="DF121" s="293"/>
      <c r="DG121" s="288"/>
      <c r="DH121" s="288"/>
      <c r="DI121" s="288"/>
      <c r="DJ121" s="288"/>
      <c r="DK121" s="288"/>
      <c r="DL121" s="288"/>
      <c r="DM121" s="288"/>
      <c r="DN121" s="288"/>
      <c r="DO121" s="288"/>
      <c r="DP121" s="288"/>
      <c r="DQ121" s="288"/>
      <c r="DR121" s="288"/>
      <c r="DS121" s="288"/>
      <c r="DT121" s="288"/>
      <c r="DU121" s="288"/>
      <c r="DV121" s="288"/>
      <c r="DW121" s="288"/>
      <c r="DX121" s="288"/>
    </row>
    <row r="122" ht="14.25" customHeight="1">
      <c r="A122" s="293"/>
      <c r="B122" s="293"/>
      <c r="C122" s="293"/>
      <c r="D122" s="293"/>
      <c r="E122" s="293"/>
      <c r="F122" s="293"/>
      <c r="G122" s="293"/>
      <c r="H122" s="293"/>
      <c r="I122" s="293"/>
      <c r="J122" s="293"/>
      <c r="K122" s="293"/>
      <c r="L122" s="293"/>
      <c r="M122" s="293"/>
      <c r="N122" s="293"/>
      <c r="O122" s="293"/>
      <c r="P122" s="293"/>
      <c r="Q122" s="293"/>
      <c r="R122" s="293"/>
      <c r="S122" s="293"/>
      <c r="T122" s="293"/>
      <c r="U122" s="293"/>
      <c r="V122" s="293"/>
      <c r="W122" s="293"/>
      <c r="X122" s="293"/>
      <c r="Y122" s="293"/>
      <c r="Z122" s="293"/>
      <c r="AA122" s="293"/>
      <c r="AB122" s="293"/>
      <c r="AC122" s="293"/>
      <c r="AD122" s="293"/>
      <c r="AE122" s="293"/>
      <c r="AF122" s="293"/>
      <c r="AG122" s="293"/>
      <c r="AH122" s="293"/>
      <c r="AI122" s="293"/>
      <c r="AJ122" s="293"/>
      <c r="AK122" s="293"/>
      <c r="AL122" s="293"/>
      <c r="AM122" s="293"/>
      <c r="AN122" s="293"/>
      <c r="AO122" s="293"/>
      <c r="AP122" s="293"/>
      <c r="AQ122" s="293"/>
      <c r="AR122" s="293"/>
      <c r="AS122" s="293"/>
      <c r="AT122" s="293"/>
      <c r="AU122" s="293"/>
      <c r="AV122" s="293"/>
      <c r="AW122" s="293"/>
      <c r="AX122" s="293"/>
      <c r="AY122" s="293"/>
      <c r="AZ122" s="293"/>
      <c r="BA122" s="293"/>
      <c r="BB122" s="293"/>
      <c r="BC122" s="293"/>
      <c r="BD122" s="293"/>
      <c r="BE122" s="293"/>
      <c r="BF122" s="293"/>
      <c r="BG122" s="293"/>
      <c r="BH122" s="293"/>
      <c r="BI122" s="293"/>
      <c r="BJ122" s="293"/>
      <c r="BK122" s="293"/>
      <c r="BL122" s="293"/>
      <c r="BM122" s="293"/>
      <c r="BN122" s="293"/>
      <c r="BO122" s="293"/>
      <c r="BP122" s="293"/>
      <c r="BQ122" s="293"/>
      <c r="BR122" s="293"/>
      <c r="BS122" s="293"/>
      <c r="BT122" s="293"/>
      <c r="BU122" s="293"/>
      <c r="BV122" s="293"/>
      <c r="BW122" s="293"/>
      <c r="BX122" s="293"/>
      <c r="BY122" s="293"/>
      <c r="BZ122" s="293"/>
      <c r="CA122" s="293"/>
      <c r="CB122" s="293"/>
      <c r="CC122" s="293"/>
      <c r="CD122" s="293"/>
      <c r="CE122" s="293"/>
      <c r="CF122" s="293"/>
      <c r="CG122" s="293"/>
      <c r="CH122" s="293"/>
      <c r="CI122" s="293"/>
      <c r="CJ122" s="293"/>
      <c r="CK122" s="293"/>
      <c r="CL122" s="293"/>
      <c r="CM122" s="293"/>
      <c r="CN122" s="293"/>
      <c r="CO122" s="293"/>
      <c r="CP122" s="293"/>
      <c r="CQ122" s="293"/>
      <c r="CR122" s="293"/>
      <c r="CS122" s="293"/>
      <c r="CT122" s="293"/>
      <c r="CU122" s="293"/>
      <c r="CV122" s="293"/>
      <c r="CW122" s="293"/>
      <c r="CX122" s="293"/>
      <c r="CY122" s="293"/>
      <c r="CZ122" s="293"/>
      <c r="DA122" s="293"/>
      <c r="DB122" s="293"/>
      <c r="DC122" s="293"/>
      <c r="DD122" s="293"/>
      <c r="DE122" s="293"/>
      <c r="DF122" s="293"/>
      <c r="DG122" s="288"/>
      <c r="DH122" s="288"/>
      <c r="DI122" s="288"/>
      <c r="DJ122" s="288"/>
      <c r="DK122" s="288"/>
      <c r="DL122" s="288"/>
      <c r="DM122" s="288"/>
      <c r="DN122" s="288"/>
      <c r="DO122" s="288"/>
      <c r="DP122" s="288"/>
      <c r="DQ122" s="288"/>
      <c r="DR122" s="288"/>
      <c r="DS122" s="288"/>
      <c r="DT122" s="288"/>
      <c r="DU122" s="288"/>
      <c r="DV122" s="288"/>
      <c r="DW122" s="288"/>
      <c r="DX122" s="288"/>
    </row>
    <row r="123" ht="14.25" customHeight="1">
      <c r="A123" s="293"/>
      <c r="B123" s="293"/>
      <c r="C123" s="293"/>
      <c r="D123" s="293"/>
      <c r="E123" s="293"/>
      <c r="F123" s="293"/>
      <c r="G123" s="293"/>
      <c r="H123" s="293"/>
      <c r="I123" s="293"/>
      <c r="J123" s="293"/>
      <c r="K123" s="293"/>
      <c r="L123" s="293"/>
      <c r="M123" s="293"/>
      <c r="N123" s="293"/>
      <c r="O123" s="293"/>
      <c r="P123" s="293"/>
      <c r="Q123" s="293"/>
      <c r="R123" s="293"/>
      <c r="S123" s="293"/>
      <c r="T123" s="293"/>
      <c r="U123" s="293"/>
      <c r="V123" s="293"/>
      <c r="W123" s="293"/>
      <c r="X123" s="293"/>
      <c r="Y123" s="293"/>
      <c r="Z123" s="293"/>
      <c r="AA123" s="293"/>
      <c r="AB123" s="293"/>
      <c r="AC123" s="293"/>
      <c r="AD123" s="293"/>
      <c r="AE123" s="293"/>
      <c r="AF123" s="293"/>
      <c r="AG123" s="293"/>
      <c r="AH123" s="293"/>
      <c r="AI123" s="293"/>
      <c r="AJ123" s="293"/>
      <c r="AK123" s="293"/>
      <c r="AL123" s="293"/>
      <c r="AM123" s="293"/>
      <c r="AN123" s="293"/>
      <c r="AO123" s="293"/>
      <c r="AP123" s="293"/>
      <c r="AQ123" s="293"/>
      <c r="AR123" s="293"/>
      <c r="AS123" s="293"/>
      <c r="AT123" s="293"/>
      <c r="AU123" s="293"/>
      <c r="AV123" s="293"/>
      <c r="AW123" s="293"/>
      <c r="AX123" s="293"/>
      <c r="AY123" s="293"/>
      <c r="AZ123" s="293"/>
      <c r="BA123" s="293"/>
      <c r="BB123" s="293"/>
      <c r="BC123" s="293"/>
      <c r="BD123" s="293"/>
      <c r="BE123" s="293"/>
      <c r="BF123" s="293"/>
      <c r="BG123" s="293"/>
      <c r="BH123" s="293"/>
      <c r="BI123" s="293"/>
      <c r="BJ123" s="293"/>
      <c r="BK123" s="293"/>
      <c r="BL123" s="293"/>
      <c r="BM123" s="293"/>
      <c r="BN123" s="293"/>
      <c r="BO123" s="293"/>
      <c r="BP123" s="293"/>
      <c r="BQ123" s="293"/>
      <c r="BR123" s="293"/>
      <c r="BS123" s="293"/>
      <c r="BT123" s="293"/>
      <c r="BU123" s="293"/>
      <c r="BV123" s="293"/>
      <c r="BW123" s="293"/>
      <c r="BX123" s="293"/>
      <c r="BY123" s="293"/>
      <c r="BZ123" s="293"/>
      <c r="CA123" s="293"/>
      <c r="CB123" s="293"/>
      <c r="CC123" s="293"/>
      <c r="CD123" s="293"/>
      <c r="CE123" s="293"/>
      <c r="CF123" s="293"/>
      <c r="CG123" s="293"/>
      <c r="CH123" s="293"/>
      <c r="CI123" s="293"/>
      <c r="CJ123" s="293"/>
      <c r="CK123" s="293"/>
      <c r="CL123" s="293"/>
      <c r="CM123" s="293"/>
      <c r="CN123" s="293"/>
      <c r="CO123" s="293"/>
      <c r="CP123" s="293"/>
      <c r="CQ123" s="293"/>
      <c r="CR123" s="293"/>
      <c r="CS123" s="293"/>
      <c r="CT123" s="293"/>
      <c r="CU123" s="293"/>
      <c r="CV123" s="293"/>
      <c r="CW123" s="293"/>
      <c r="CX123" s="293"/>
      <c r="CY123" s="293"/>
      <c r="CZ123" s="293"/>
      <c r="DA123" s="293"/>
      <c r="DB123" s="293"/>
      <c r="DC123" s="293"/>
      <c r="DD123" s="293"/>
      <c r="DE123" s="293"/>
      <c r="DF123" s="293"/>
      <c r="DG123" s="288"/>
      <c r="DH123" s="288"/>
      <c r="DI123" s="288"/>
      <c r="DJ123" s="288"/>
      <c r="DK123" s="288"/>
      <c r="DL123" s="288"/>
      <c r="DM123" s="288"/>
      <c r="DN123" s="288"/>
      <c r="DO123" s="288"/>
      <c r="DP123" s="288"/>
      <c r="DQ123" s="288"/>
      <c r="DR123" s="288"/>
      <c r="DS123" s="288"/>
      <c r="DT123" s="288"/>
      <c r="DU123" s="288"/>
      <c r="DV123" s="288"/>
      <c r="DW123" s="288"/>
      <c r="DX123" s="288"/>
    </row>
    <row r="124" ht="14.25" customHeight="1">
      <c r="A124" s="293"/>
      <c r="B124" s="293"/>
      <c r="C124" s="293"/>
      <c r="D124" s="293"/>
      <c r="E124" s="293"/>
      <c r="F124" s="293"/>
      <c r="G124" s="293"/>
      <c r="H124" s="293"/>
      <c r="I124" s="293"/>
      <c r="J124" s="293"/>
      <c r="K124" s="293"/>
      <c r="L124" s="293"/>
      <c r="M124" s="293"/>
      <c r="N124" s="293"/>
      <c r="O124" s="293"/>
      <c r="P124" s="293"/>
      <c r="Q124" s="293"/>
      <c r="R124" s="293"/>
      <c r="S124" s="293"/>
      <c r="T124" s="293"/>
      <c r="U124" s="293"/>
      <c r="V124" s="293"/>
      <c r="W124" s="293"/>
      <c r="X124" s="293"/>
      <c r="Y124" s="293"/>
      <c r="Z124" s="293"/>
      <c r="AA124" s="293"/>
      <c r="AB124" s="293"/>
      <c r="AC124" s="293"/>
      <c r="AD124" s="293"/>
      <c r="AE124" s="293"/>
      <c r="AF124" s="293"/>
      <c r="AG124" s="293"/>
      <c r="AH124" s="293"/>
      <c r="AI124" s="293"/>
      <c r="AJ124" s="293"/>
      <c r="AK124" s="293"/>
      <c r="AL124" s="293"/>
      <c r="AM124" s="293"/>
      <c r="AN124" s="293"/>
      <c r="AO124" s="293"/>
      <c r="AP124" s="293"/>
      <c r="AQ124" s="293"/>
      <c r="AR124" s="293"/>
      <c r="AS124" s="293"/>
      <c r="AT124" s="293"/>
      <c r="AU124" s="293"/>
      <c r="AV124" s="293"/>
      <c r="AW124" s="293"/>
      <c r="AX124" s="293"/>
      <c r="AY124" s="293"/>
      <c r="AZ124" s="293"/>
      <c r="BA124" s="293"/>
      <c r="BB124" s="293"/>
      <c r="BC124" s="293"/>
      <c r="BD124" s="293"/>
      <c r="BE124" s="293"/>
      <c r="BF124" s="293"/>
      <c r="BG124" s="293"/>
      <c r="BH124" s="293"/>
      <c r="BI124" s="293"/>
      <c r="BJ124" s="293"/>
      <c r="BK124" s="293"/>
      <c r="BL124" s="293"/>
      <c r="BM124" s="293"/>
      <c r="BN124" s="293"/>
      <c r="BO124" s="293"/>
      <c r="BP124" s="293"/>
      <c r="BQ124" s="293"/>
      <c r="BR124" s="293"/>
      <c r="BS124" s="293"/>
      <c r="BT124" s="293"/>
      <c r="BU124" s="293"/>
      <c r="BV124" s="293"/>
      <c r="BW124" s="293"/>
      <c r="BX124" s="293"/>
      <c r="BY124" s="293"/>
      <c r="BZ124" s="293"/>
      <c r="CA124" s="293"/>
      <c r="CB124" s="293"/>
      <c r="CC124" s="293"/>
      <c r="CD124" s="293"/>
      <c r="CE124" s="293"/>
      <c r="CF124" s="293"/>
      <c r="CG124" s="293"/>
      <c r="CH124" s="293"/>
      <c r="CI124" s="293"/>
      <c r="CJ124" s="293"/>
      <c r="CK124" s="293"/>
      <c r="CL124" s="293"/>
      <c r="CM124" s="293"/>
      <c r="CN124" s="293"/>
      <c r="CO124" s="293"/>
      <c r="CP124" s="293"/>
      <c r="CQ124" s="293"/>
      <c r="CR124" s="293"/>
      <c r="CS124" s="293"/>
      <c r="CT124" s="293"/>
      <c r="CU124" s="293"/>
      <c r="CV124" s="293"/>
      <c r="CW124" s="293"/>
      <c r="CX124" s="293"/>
      <c r="CY124" s="293"/>
      <c r="CZ124" s="293"/>
      <c r="DA124" s="293"/>
      <c r="DB124" s="293"/>
      <c r="DC124" s="293"/>
      <c r="DD124" s="293"/>
      <c r="DE124" s="293"/>
      <c r="DF124" s="293"/>
      <c r="DG124" s="288"/>
      <c r="DH124" s="288"/>
      <c r="DI124" s="288"/>
      <c r="DJ124" s="288"/>
      <c r="DK124" s="288"/>
      <c r="DL124" s="288"/>
      <c r="DM124" s="288"/>
      <c r="DN124" s="288"/>
      <c r="DO124" s="288"/>
      <c r="DP124" s="288"/>
      <c r="DQ124" s="288"/>
      <c r="DR124" s="288"/>
      <c r="DS124" s="288"/>
      <c r="DT124" s="288"/>
      <c r="DU124" s="288"/>
      <c r="DV124" s="288"/>
      <c r="DW124" s="288"/>
      <c r="DX124" s="288"/>
    </row>
    <row r="125" ht="14.25" customHeight="1">
      <c r="A125" s="293"/>
      <c r="B125" s="293"/>
      <c r="C125" s="293"/>
      <c r="D125" s="293"/>
      <c r="E125" s="293"/>
      <c r="F125" s="293"/>
      <c r="G125" s="293"/>
      <c r="H125" s="293"/>
      <c r="I125" s="293"/>
      <c r="J125" s="293"/>
      <c r="K125" s="293"/>
      <c r="L125" s="293"/>
      <c r="M125" s="293"/>
      <c r="N125" s="293"/>
      <c r="O125" s="293"/>
      <c r="P125" s="293"/>
      <c r="Q125" s="293"/>
      <c r="R125" s="293"/>
      <c r="S125" s="293"/>
      <c r="T125" s="293"/>
      <c r="U125" s="293"/>
      <c r="V125" s="293"/>
      <c r="W125" s="293"/>
      <c r="X125" s="293"/>
      <c r="Y125" s="293"/>
      <c r="Z125" s="293"/>
      <c r="AA125" s="293"/>
      <c r="AB125" s="293"/>
      <c r="AC125" s="293"/>
      <c r="AD125" s="293"/>
      <c r="AE125" s="293"/>
      <c r="AF125" s="293"/>
      <c r="AG125" s="293"/>
      <c r="AH125" s="293"/>
      <c r="AI125" s="293"/>
      <c r="AJ125" s="293"/>
      <c r="AK125" s="293"/>
      <c r="AL125" s="293"/>
      <c r="AM125" s="293"/>
      <c r="AN125" s="293"/>
      <c r="AO125" s="293"/>
      <c r="AP125" s="293"/>
      <c r="AQ125" s="293"/>
      <c r="AR125" s="293"/>
      <c r="AS125" s="293"/>
      <c r="AT125" s="293"/>
      <c r="AU125" s="293"/>
      <c r="AV125" s="293"/>
      <c r="AW125" s="293"/>
      <c r="AX125" s="293"/>
      <c r="AY125" s="293"/>
      <c r="AZ125" s="293"/>
      <c r="BA125" s="293"/>
      <c r="BB125" s="293"/>
      <c r="BC125" s="293"/>
      <c r="BD125" s="293"/>
      <c r="BE125" s="293"/>
      <c r="BF125" s="293"/>
      <c r="BG125" s="293"/>
      <c r="BH125" s="293"/>
      <c r="BI125" s="293"/>
      <c r="BJ125" s="293"/>
      <c r="BK125" s="293"/>
      <c r="BL125" s="293"/>
      <c r="BM125" s="293"/>
      <c r="BN125" s="293"/>
      <c r="BO125" s="293"/>
      <c r="BP125" s="293"/>
      <c r="BQ125" s="293"/>
      <c r="BR125" s="293"/>
      <c r="BS125" s="293"/>
      <c r="BT125" s="293"/>
      <c r="BU125" s="293"/>
      <c r="BV125" s="293"/>
      <c r="BW125" s="293"/>
      <c r="BX125" s="293"/>
      <c r="BY125" s="293"/>
      <c r="BZ125" s="293"/>
      <c r="CA125" s="293"/>
      <c r="CB125" s="293"/>
      <c r="CC125" s="293"/>
      <c r="CD125" s="293"/>
      <c r="CE125" s="293"/>
      <c r="CF125" s="293"/>
      <c r="CG125" s="293"/>
      <c r="CH125" s="293"/>
      <c r="CI125" s="293"/>
      <c r="CJ125" s="293"/>
      <c r="CK125" s="293"/>
      <c r="CL125" s="293"/>
      <c r="CM125" s="293"/>
      <c r="CN125" s="293"/>
      <c r="CO125" s="293"/>
      <c r="CP125" s="293"/>
      <c r="CQ125" s="293"/>
      <c r="CR125" s="293"/>
      <c r="CS125" s="293"/>
      <c r="CT125" s="293"/>
      <c r="CU125" s="293"/>
      <c r="CV125" s="293"/>
      <c r="CW125" s="293"/>
      <c r="CX125" s="293"/>
      <c r="CY125" s="293"/>
      <c r="CZ125" s="293"/>
      <c r="DA125" s="293"/>
      <c r="DB125" s="293"/>
      <c r="DC125" s="293"/>
      <c r="DD125" s="293"/>
      <c r="DE125" s="293"/>
      <c r="DF125" s="293"/>
      <c r="DG125" s="288"/>
      <c r="DH125" s="288"/>
      <c r="DI125" s="288"/>
      <c r="DJ125" s="288"/>
      <c r="DK125" s="288"/>
      <c r="DL125" s="288"/>
      <c r="DM125" s="288"/>
      <c r="DN125" s="288"/>
      <c r="DO125" s="288"/>
      <c r="DP125" s="288"/>
      <c r="DQ125" s="288"/>
      <c r="DR125" s="288"/>
      <c r="DS125" s="288"/>
      <c r="DT125" s="288"/>
      <c r="DU125" s="288"/>
      <c r="DV125" s="288"/>
      <c r="DW125" s="288"/>
      <c r="DX125" s="288"/>
    </row>
    <row r="126" ht="14.25" customHeight="1">
      <c r="A126" s="293"/>
      <c r="B126" s="293"/>
      <c r="C126" s="293"/>
      <c r="D126" s="293"/>
      <c r="E126" s="293"/>
      <c r="F126" s="293"/>
      <c r="G126" s="293"/>
      <c r="H126" s="293"/>
      <c r="I126" s="293"/>
      <c r="J126" s="293"/>
      <c r="K126" s="293"/>
      <c r="L126" s="293"/>
      <c r="M126" s="293"/>
      <c r="N126" s="293"/>
      <c r="O126" s="293"/>
      <c r="P126" s="293"/>
      <c r="Q126" s="293"/>
      <c r="R126" s="293"/>
      <c r="S126" s="293"/>
      <c r="T126" s="293"/>
      <c r="U126" s="293"/>
      <c r="V126" s="293"/>
      <c r="W126" s="293"/>
      <c r="X126" s="293"/>
      <c r="Y126" s="293"/>
      <c r="Z126" s="293"/>
      <c r="AA126" s="293"/>
      <c r="AB126" s="293"/>
      <c r="AC126" s="293"/>
      <c r="AD126" s="293"/>
      <c r="AE126" s="293"/>
      <c r="AF126" s="293"/>
      <c r="AG126" s="293"/>
      <c r="AH126" s="293"/>
      <c r="AI126" s="293"/>
      <c r="AJ126" s="293"/>
      <c r="AK126" s="293"/>
      <c r="AL126" s="293"/>
      <c r="AM126" s="293"/>
      <c r="AN126" s="293"/>
      <c r="AO126" s="293"/>
      <c r="AP126" s="293"/>
      <c r="AQ126" s="293"/>
      <c r="AR126" s="293"/>
      <c r="AS126" s="293"/>
      <c r="AT126" s="293"/>
      <c r="AU126" s="293"/>
      <c r="AV126" s="293"/>
      <c r="AW126" s="293"/>
      <c r="AX126" s="293"/>
      <c r="AY126" s="293"/>
      <c r="AZ126" s="293"/>
      <c r="BA126" s="293"/>
      <c r="BB126" s="293"/>
      <c r="BC126" s="293"/>
      <c r="BD126" s="293"/>
      <c r="BE126" s="293"/>
      <c r="BF126" s="293"/>
      <c r="BG126" s="293"/>
      <c r="BH126" s="293"/>
      <c r="BI126" s="293"/>
      <c r="BJ126" s="293"/>
      <c r="BK126" s="293"/>
      <c r="BL126" s="293"/>
      <c r="BM126" s="293"/>
      <c r="BN126" s="293"/>
      <c r="BO126" s="293"/>
      <c r="BP126" s="293"/>
      <c r="BQ126" s="293"/>
      <c r="BR126" s="293"/>
      <c r="BS126" s="293"/>
      <c r="BT126" s="293"/>
      <c r="BU126" s="293"/>
      <c r="BV126" s="293"/>
      <c r="BW126" s="293"/>
      <c r="BX126" s="293"/>
      <c r="BY126" s="293"/>
      <c r="BZ126" s="293"/>
      <c r="CA126" s="293"/>
      <c r="CB126" s="293"/>
      <c r="CC126" s="293"/>
      <c r="CD126" s="293"/>
      <c r="CE126" s="293"/>
      <c r="CF126" s="293"/>
      <c r="CG126" s="293"/>
      <c r="CH126" s="293"/>
      <c r="CI126" s="293"/>
      <c r="CJ126" s="293"/>
      <c r="CK126" s="293"/>
      <c r="CL126" s="293"/>
      <c r="CM126" s="293"/>
      <c r="CN126" s="293"/>
      <c r="CO126" s="293"/>
      <c r="CP126" s="293"/>
      <c r="CQ126" s="293"/>
      <c r="CR126" s="293"/>
      <c r="CS126" s="293"/>
      <c r="CT126" s="293"/>
      <c r="CU126" s="293"/>
      <c r="CV126" s="293"/>
      <c r="CW126" s="293"/>
      <c r="CX126" s="293"/>
      <c r="CY126" s="293"/>
      <c r="CZ126" s="293"/>
      <c r="DA126" s="293"/>
      <c r="DB126" s="293"/>
      <c r="DC126" s="293"/>
      <c r="DD126" s="293"/>
      <c r="DE126" s="293"/>
      <c r="DF126" s="293"/>
      <c r="DG126" s="288"/>
      <c r="DH126" s="288"/>
      <c r="DI126" s="288"/>
      <c r="DJ126" s="288"/>
      <c r="DK126" s="288"/>
      <c r="DL126" s="288"/>
      <c r="DM126" s="288"/>
      <c r="DN126" s="288"/>
      <c r="DO126" s="288"/>
      <c r="DP126" s="288"/>
      <c r="DQ126" s="288"/>
      <c r="DR126" s="288"/>
      <c r="DS126" s="288"/>
      <c r="DT126" s="288"/>
      <c r="DU126" s="288"/>
      <c r="DV126" s="288"/>
      <c r="DW126" s="288"/>
      <c r="DX126" s="288"/>
    </row>
    <row r="127" ht="14.25" customHeight="1">
      <c r="A127" s="293"/>
      <c r="B127" s="293"/>
      <c r="C127" s="293"/>
      <c r="D127" s="293"/>
      <c r="E127" s="293"/>
      <c r="F127" s="293"/>
      <c r="G127" s="293"/>
      <c r="H127" s="293"/>
      <c r="I127" s="293"/>
      <c r="J127" s="293"/>
      <c r="K127" s="293"/>
      <c r="L127" s="293"/>
      <c r="M127" s="293"/>
      <c r="N127" s="293"/>
      <c r="O127" s="293"/>
      <c r="P127" s="293"/>
      <c r="Q127" s="293"/>
      <c r="R127" s="293"/>
      <c r="S127" s="293"/>
      <c r="T127" s="293"/>
      <c r="U127" s="293"/>
      <c r="V127" s="293"/>
      <c r="W127" s="293"/>
      <c r="X127" s="293"/>
      <c r="Y127" s="293"/>
      <c r="Z127" s="293"/>
      <c r="AA127" s="293"/>
      <c r="AB127" s="293"/>
      <c r="AC127" s="293"/>
      <c r="AD127" s="293"/>
      <c r="AE127" s="293"/>
      <c r="AF127" s="293"/>
      <c r="AG127" s="293"/>
      <c r="AH127" s="293"/>
      <c r="AI127" s="293"/>
      <c r="AJ127" s="293"/>
      <c r="AK127" s="293"/>
      <c r="AL127" s="293"/>
      <c r="AM127" s="293"/>
      <c r="AN127" s="293"/>
      <c r="AO127" s="293"/>
      <c r="AP127" s="293"/>
      <c r="AQ127" s="293"/>
      <c r="AR127" s="293"/>
      <c r="AS127" s="293"/>
      <c r="AT127" s="293"/>
      <c r="AU127" s="293"/>
      <c r="AV127" s="293"/>
      <c r="AW127" s="293"/>
      <c r="AX127" s="293"/>
      <c r="AY127" s="293"/>
      <c r="AZ127" s="293"/>
      <c r="BA127" s="293"/>
      <c r="BB127" s="293"/>
      <c r="BC127" s="293"/>
      <c r="BD127" s="293"/>
      <c r="BE127" s="293"/>
      <c r="BF127" s="293"/>
      <c r="BG127" s="293"/>
      <c r="BH127" s="293"/>
      <c r="BI127" s="293"/>
      <c r="BJ127" s="293"/>
      <c r="BK127" s="293"/>
      <c r="BL127" s="293"/>
      <c r="BM127" s="293"/>
      <c r="BN127" s="293"/>
      <c r="BO127" s="293"/>
      <c r="BP127" s="293"/>
      <c r="BQ127" s="293"/>
      <c r="BR127" s="293"/>
      <c r="BS127" s="293"/>
      <c r="BT127" s="293"/>
      <c r="BU127" s="293"/>
      <c r="BV127" s="293"/>
      <c r="BW127" s="293"/>
      <c r="BX127" s="293"/>
      <c r="BY127" s="293"/>
      <c r="BZ127" s="293"/>
      <c r="CA127" s="293"/>
      <c r="CB127" s="293"/>
      <c r="CC127" s="293"/>
      <c r="CD127" s="293"/>
      <c r="CE127" s="293"/>
      <c r="CF127" s="293"/>
      <c r="CG127" s="293"/>
      <c r="CH127" s="293"/>
      <c r="CI127" s="293"/>
      <c r="CJ127" s="293"/>
      <c r="CK127" s="293"/>
      <c r="CL127" s="293"/>
      <c r="CM127" s="293"/>
      <c r="CN127" s="293"/>
      <c r="CO127" s="293"/>
      <c r="CP127" s="293"/>
      <c r="CQ127" s="293"/>
      <c r="CR127" s="293"/>
      <c r="CS127" s="293"/>
      <c r="CT127" s="293"/>
      <c r="CU127" s="293"/>
      <c r="CV127" s="293"/>
      <c r="CW127" s="293"/>
      <c r="CX127" s="293"/>
      <c r="CY127" s="293"/>
      <c r="CZ127" s="293"/>
      <c r="DA127" s="293"/>
      <c r="DB127" s="293"/>
      <c r="DC127" s="293"/>
      <c r="DD127" s="293"/>
      <c r="DE127" s="293"/>
      <c r="DF127" s="293"/>
      <c r="DG127" s="288"/>
      <c r="DH127" s="288"/>
      <c r="DI127" s="288"/>
      <c r="DJ127" s="288"/>
      <c r="DK127" s="288"/>
      <c r="DL127" s="288"/>
      <c r="DM127" s="288"/>
      <c r="DN127" s="288"/>
      <c r="DO127" s="288"/>
      <c r="DP127" s="288"/>
      <c r="DQ127" s="288"/>
      <c r="DR127" s="288"/>
      <c r="DS127" s="288"/>
      <c r="DT127" s="288"/>
      <c r="DU127" s="288"/>
      <c r="DV127" s="288"/>
      <c r="DW127" s="288"/>
      <c r="DX127" s="288"/>
    </row>
    <row r="128" ht="14.25" customHeight="1">
      <c r="A128" s="293"/>
      <c r="B128" s="293"/>
      <c r="C128" s="293"/>
      <c r="D128" s="293"/>
      <c r="E128" s="293"/>
      <c r="F128" s="293"/>
      <c r="G128" s="293"/>
      <c r="H128" s="293"/>
      <c r="I128" s="293"/>
      <c r="J128" s="293"/>
      <c r="K128" s="293"/>
      <c r="L128" s="293"/>
      <c r="M128" s="293"/>
      <c r="N128" s="293"/>
      <c r="O128" s="293"/>
      <c r="P128" s="293"/>
      <c r="Q128" s="293"/>
      <c r="R128" s="293"/>
      <c r="S128" s="293"/>
      <c r="T128" s="293"/>
      <c r="U128" s="293"/>
      <c r="V128" s="293"/>
      <c r="W128" s="293"/>
      <c r="X128" s="293"/>
      <c r="Y128" s="293"/>
      <c r="Z128" s="293"/>
      <c r="AA128" s="293"/>
      <c r="AB128" s="293"/>
      <c r="AC128" s="293"/>
      <c r="AD128" s="293"/>
      <c r="AE128" s="293"/>
      <c r="AF128" s="293"/>
      <c r="AG128" s="293"/>
      <c r="AH128" s="293"/>
      <c r="AI128" s="293"/>
      <c r="AJ128" s="293"/>
      <c r="AK128" s="293"/>
      <c r="AL128" s="293"/>
      <c r="AM128" s="293"/>
      <c r="AN128" s="293"/>
      <c r="AO128" s="293"/>
      <c r="AP128" s="293"/>
      <c r="AQ128" s="293"/>
      <c r="AR128" s="293"/>
      <c r="AS128" s="293"/>
      <c r="AT128" s="293"/>
      <c r="AU128" s="293"/>
      <c r="AV128" s="293"/>
      <c r="AW128" s="293"/>
      <c r="AX128" s="293"/>
      <c r="AY128" s="293"/>
      <c r="AZ128" s="293"/>
      <c r="BA128" s="293"/>
      <c r="BB128" s="293"/>
      <c r="BC128" s="293"/>
      <c r="BD128" s="293"/>
      <c r="BE128" s="293"/>
      <c r="BF128" s="293"/>
      <c r="BG128" s="293"/>
      <c r="BH128" s="293"/>
      <c r="BI128" s="293"/>
      <c r="BJ128" s="293"/>
      <c r="BK128" s="293"/>
      <c r="BL128" s="293"/>
      <c r="BM128" s="293"/>
      <c r="BN128" s="293"/>
      <c r="BO128" s="293"/>
      <c r="BP128" s="293"/>
      <c r="BQ128" s="293"/>
      <c r="BR128" s="293"/>
      <c r="BS128" s="293"/>
      <c r="BT128" s="293"/>
      <c r="BU128" s="293"/>
      <c r="BV128" s="293"/>
      <c r="BW128" s="293"/>
      <c r="BX128" s="293"/>
      <c r="BY128" s="293"/>
      <c r="BZ128" s="293"/>
      <c r="CA128" s="293"/>
      <c r="CB128" s="293"/>
      <c r="CC128" s="293"/>
      <c r="CD128" s="293"/>
      <c r="CE128" s="293"/>
      <c r="CF128" s="293"/>
      <c r="CG128" s="293"/>
      <c r="CH128" s="293"/>
      <c r="CI128" s="293"/>
      <c r="CJ128" s="293"/>
      <c r="CK128" s="293"/>
      <c r="CL128" s="293"/>
      <c r="CM128" s="293"/>
      <c r="CN128" s="293"/>
      <c r="CO128" s="293"/>
      <c r="CP128" s="293"/>
      <c r="CQ128" s="293"/>
      <c r="CR128" s="293"/>
      <c r="CS128" s="293"/>
      <c r="CT128" s="293"/>
      <c r="CU128" s="293"/>
      <c r="CV128" s="293"/>
      <c r="CW128" s="293"/>
      <c r="CX128" s="293"/>
      <c r="CY128" s="293"/>
      <c r="CZ128" s="293"/>
      <c r="DA128" s="293"/>
      <c r="DB128" s="293"/>
      <c r="DC128" s="293"/>
      <c r="DD128" s="293"/>
      <c r="DE128" s="293"/>
      <c r="DF128" s="293"/>
      <c r="DG128" s="288"/>
      <c r="DH128" s="288"/>
      <c r="DI128" s="288"/>
      <c r="DJ128" s="288"/>
      <c r="DK128" s="288"/>
      <c r="DL128" s="288"/>
      <c r="DM128" s="288"/>
      <c r="DN128" s="288"/>
      <c r="DO128" s="288"/>
      <c r="DP128" s="288"/>
      <c r="DQ128" s="288"/>
      <c r="DR128" s="288"/>
      <c r="DS128" s="288"/>
      <c r="DT128" s="288"/>
      <c r="DU128" s="288"/>
      <c r="DV128" s="288"/>
      <c r="DW128" s="288"/>
      <c r="DX128" s="288"/>
    </row>
    <row r="129" ht="14.25" customHeight="1">
      <c r="A129" s="293"/>
      <c r="B129" s="293"/>
      <c r="C129" s="293"/>
      <c r="D129" s="293"/>
      <c r="E129" s="293"/>
      <c r="F129" s="293"/>
      <c r="G129" s="293"/>
      <c r="H129" s="293"/>
      <c r="I129" s="293"/>
      <c r="J129" s="293"/>
      <c r="K129" s="293"/>
      <c r="L129" s="293"/>
      <c r="M129" s="293"/>
      <c r="N129" s="293"/>
      <c r="O129" s="293"/>
      <c r="P129" s="293"/>
      <c r="Q129" s="293"/>
      <c r="R129" s="293"/>
      <c r="S129" s="293"/>
      <c r="T129" s="293"/>
      <c r="U129" s="293"/>
      <c r="V129" s="293"/>
      <c r="W129" s="293"/>
      <c r="X129" s="293"/>
      <c r="Y129" s="293"/>
      <c r="Z129" s="293"/>
      <c r="AA129" s="293"/>
      <c r="AB129" s="293"/>
      <c r="AC129" s="293"/>
      <c r="AD129" s="293"/>
      <c r="AE129" s="293"/>
      <c r="AF129" s="293"/>
      <c r="AG129" s="293"/>
      <c r="AH129" s="293"/>
      <c r="AI129" s="293"/>
      <c r="AJ129" s="293"/>
      <c r="AK129" s="293"/>
      <c r="AL129" s="293"/>
      <c r="AM129" s="293"/>
      <c r="AN129" s="293"/>
      <c r="AO129" s="293"/>
      <c r="AP129" s="293"/>
      <c r="AQ129" s="293"/>
      <c r="AR129" s="293"/>
      <c r="AS129" s="293"/>
      <c r="AT129" s="293"/>
      <c r="AU129" s="293"/>
      <c r="AV129" s="293"/>
      <c r="AW129" s="293"/>
      <c r="AX129" s="293"/>
      <c r="AY129" s="293"/>
      <c r="AZ129" s="293"/>
      <c r="BA129" s="293"/>
      <c r="BB129" s="293"/>
      <c r="BC129" s="293"/>
      <c r="BD129" s="293"/>
      <c r="BE129" s="293"/>
      <c r="BF129" s="293"/>
      <c r="BG129" s="293"/>
      <c r="BH129" s="293"/>
      <c r="BI129" s="293"/>
      <c r="BJ129" s="293"/>
      <c r="BK129" s="293"/>
      <c r="BL129" s="293"/>
      <c r="BM129" s="293"/>
      <c r="BN129" s="293"/>
      <c r="BO129" s="293"/>
      <c r="BP129" s="293"/>
      <c r="BQ129" s="293"/>
      <c r="BR129" s="293"/>
      <c r="BS129" s="293"/>
      <c r="BT129" s="293"/>
      <c r="BU129" s="293"/>
      <c r="BV129" s="293"/>
      <c r="BW129" s="293"/>
      <c r="BX129" s="293"/>
      <c r="BY129" s="293"/>
      <c r="BZ129" s="293"/>
      <c r="CA129" s="293"/>
      <c r="CB129" s="293"/>
      <c r="CC129" s="293"/>
      <c r="CD129" s="293"/>
      <c r="CE129" s="293"/>
      <c r="CF129" s="293"/>
      <c r="CG129" s="293"/>
      <c r="CH129" s="293"/>
      <c r="CI129" s="293"/>
      <c r="CJ129" s="293"/>
      <c r="CK129" s="293"/>
      <c r="CL129" s="293"/>
      <c r="CM129" s="293"/>
      <c r="CN129" s="293"/>
      <c r="CO129" s="293"/>
      <c r="CP129" s="293"/>
      <c r="CQ129" s="293"/>
      <c r="CR129" s="293"/>
      <c r="CS129" s="293"/>
      <c r="CT129" s="293"/>
      <c r="CU129" s="293"/>
      <c r="CV129" s="293"/>
      <c r="CW129" s="293"/>
      <c r="CX129" s="293"/>
      <c r="CY129" s="293"/>
      <c r="CZ129" s="293"/>
      <c r="DA129" s="293"/>
      <c r="DB129" s="293"/>
      <c r="DC129" s="293"/>
      <c r="DD129" s="293"/>
      <c r="DE129" s="293"/>
      <c r="DF129" s="293"/>
      <c r="DG129" s="288"/>
      <c r="DH129" s="288"/>
      <c r="DI129" s="288"/>
      <c r="DJ129" s="288"/>
      <c r="DK129" s="288"/>
      <c r="DL129" s="288"/>
      <c r="DM129" s="288"/>
      <c r="DN129" s="288"/>
      <c r="DO129" s="288"/>
      <c r="DP129" s="288"/>
      <c r="DQ129" s="288"/>
      <c r="DR129" s="288"/>
      <c r="DS129" s="288"/>
      <c r="DT129" s="288"/>
      <c r="DU129" s="288"/>
      <c r="DV129" s="288"/>
      <c r="DW129" s="288"/>
      <c r="DX129" s="288"/>
    </row>
    <row r="130" ht="14.25" customHeight="1">
      <c r="A130" s="293"/>
      <c r="B130" s="293"/>
      <c r="C130" s="293"/>
      <c r="D130" s="293"/>
      <c r="E130" s="293"/>
      <c r="F130" s="293"/>
      <c r="G130" s="293"/>
      <c r="H130" s="293"/>
      <c r="I130" s="293"/>
      <c r="J130" s="293"/>
      <c r="K130" s="293"/>
      <c r="L130" s="293"/>
      <c r="M130" s="293"/>
      <c r="N130" s="293"/>
      <c r="O130" s="293"/>
      <c r="P130" s="293"/>
      <c r="Q130" s="293"/>
      <c r="R130" s="293"/>
      <c r="S130" s="293"/>
      <c r="T130" s="293"/>
      <c r="U130" s="293"/>
      <c r="V130" s="293"/>
      <c r="W130" s="293"/>
      <c r="X130" s="293"/>
      <c r="Y130" s="293"/>
      <c r="Z130" s="293"/>
      <c r="AA130" s="293"/>
      <c r="AB130" s="293"/>
      <c r="AC130" s="293"/>
      <c r="AD130" s="293"/>
      <c r="AE130" s="293"/>
      <c r="AF130" s="293"/>
      <c r="AG130" s="293"/>
      <c r="AH130" s="293"/>
      <c r="AI130" s="293"/>
      <c r="AJ130" s="293"/>
      <c r="AK130" s="293"/>
      <c r="AL130" s="293"/>
      <c r="AM130" s="293"/>
      <c r="AN130" s="293"/>
      <c r="AO130" s="293"/>
      <c r="AP130" s="293"/>
      <c r="AQ130" s="293"/>
      <c r="AR130" s="293"/>
      <c r="AS130" s="293"/>
      <c r="AT130" s="293"/>
      <c r="AU130" s="293"/>
      <c r="AV130" s="293"/>
      <c r="AW130" s="293"/>
      <c r="AX130" s="293"/>
      <c r="AY130" s="293"/>
      <c r="AZ130" s="293"/>
      <c r="BA130" s="293"/>
      <c r="BB130" s="293"/>
      <c r="BC130" s="293"/>
      <c r="BD130" s="293"/>
      <c r="BE130" s="293"/>
      <c r="BF130" s="293"/>
      <c r="BG130" s="293"/>
      <c r="BH130" s="293"/>
      <c r="BI130" s="293"/>
      <c r="BJ130" s="293"/>
      <c r="BK130" s="293"/>
      <c r="BL130" s="293"/>
      <c r="BM130" s="293"/>
      <c r="BN130" s="293"/>
      <c r="BO130" s="293"/>
      <c r="BP130" s="293"/>
      <c r="BQ130" s="293"/>
      <c r="BR130" s="293"/>
      <c r="BS130" s="293"/>
      <c r="BT130" s="293"/>
      <c r="BU130" s="293"/>
      <c r="BV130" s="293"/>
      <c r="BW130" s="293"/>
      <c r="BX130" s="293"/>
      <c r="BY130" s="293"/>
      <c r="BZ130" s="293"/>
      <c r="CA130" s="293"/>
      <c r="CB130" s="293"/>
      <c r="CC130" s="293"/>
      <c r="CD130" s="293"/>
      <c r="CE130" s="293"/>
      <c r="CF130" s="293"/>
      <c r="CG130" s="293"/>
      <c r="CH130" s="293"/>
      <c r="CI130" s="293"/>
      <c r="CJ130" s="293"/>
      <c r="CK130" s="293"/>
      <c r="CL130" s="293"/>
      <c r="CM130" s="293"/>
      <c r="CN130" s="293"/>
      <c r="CO130" s="293"/>
      <c r="CP130" s="293"/>
      <c r="CQ130" s="293"/>
      <c r="CR130" s="293"/>
      <c r="CS130" s="293"/>
      <c r="CT130" s="293"/>
      <c r="CU130" s="293"/>
      <c r="CV130" s="293"/>
      <c r="CW130" s="293"/>
      <c r="CX130" s="293"/>
      <c r="CY130" s="293"/>
      <c r="CZ130" s="293"/>
      <c r="DA130" s="293"/>
      <c r="DB130" s="293"/>
      <c r="DC130" s="293"/>
      <c r="DD130" s="293"/>
      <c r="DE130" s="293"/>
      <c r="DF130" s="293"/>
      <c r="DG130" s="288"/>
      <c r="DH130" s="288"/>
      <c r="DI130" s="288"/>
      <c r="DJ130" s="288"/>
      <c r="DK130" s="288"/>
      <c r="DL130" s="288"/>
      <c r="DM130" s="288"/>
      <c r="DN130" s="288"/>
      <c r="DO130" s="288"/>
      <c r="DP130" s="288"/>
      <c r="DQ130" s="288"/>
      <c r="DR130" s="288"/>
      <c r="DS130" s="288"/>
      <c r="DT130" s="288"/>
      <c r="DU130" s="288"/>
      <c r="DV130" s="288"/>
      <c r="DW130" s="288"/>
      <c r="DX130" s="288"/>
    </row>
    <row r="131" ht="14.25" customHeight="1">
      <c r="A131" s="293"/>
      <c r="B131" s="293"/>
      <c r="C131" s="293"/>
      <c r="D131" s="293"/>
      <c r="E131" s="293"/>
      <c r="F131" s="293"/>
      <c r="G131" s="293"/>
      <c r="H131" s="293"/>
      <c r="I131" s="293"/>
      <c r="J131" s="293"/>
      <c r="K131" s="293"/>
      <c r="L131" s="293"/>
      <c r="M131" s="293"/>
      <c r="N131" s="293"/>
      <c r="O131" s="293"/>
      <c r="P131" s="293"/>
      <c r="Q131" s="293"/>
      <c r="R131" s="293"/>
      <c r="S131" s="293"/>
      <c r="T131" s="293"/>
      <c r="U131" s="293"/>
      <c r="V131" s="293"/>
      <c r="W131" s="293"/>
      <c r="X131" s="293"/>
      <c r="Y131" s="293"/>
      <c r="Z131" s="293"/>
      <c r="AA131" s="293"/>
      <c r="AB131" s="293"/>
      <c r="AC131" s="293"/>
      <c r="AD131" s="293"/>
      <c r="AE131" s="293"/>
      <c r="AF131" s="293"/>
      <c r="AG131" s="293"/>
      <c r="AH131" s="293"/>
      <c r="AI131" s="293"/>
      <c r="AJ131" s="293"/>
      <c r="AK131" s="293"/>
      <c r="AL131" s="293"/>
      <c r="AM131" s="293"/>
      <c r="AN131" s="293"/>
      <c r="AO131" s="293"/>
      <c r="AP131" s="293"/>
      <c r="AQ131" s="293"/>
      <c r="AR131" s="293"/>
      <c r="AS131" s="293"/>
      <c r="AT131" s="293"/>
      <c r="AU131" s="293"/>
      <c r="AV131" s="293"/>
      <c r="AW131" s="293"/>
      <c r="AX131" s="293"/>
      <c r="AY131" s="293"/>
      <c r="AZ131" s="293"/>
      <c r="BA131" s="293"/>
      <c r="BB131" s="293"/>
      <c r="BC131" s="293"/>
      <c r="BD131" s="293"/>
      <c r="BE131" s="293"/>
      <c r="BF131" s="293"/>
      <c r="BG131" s="293"/>
      <c r="BH131" s="293"/>
      <c r="BI131" s="293"/>
      <c r="BJ131" s="293"/>
      <c r="BK131" s="293"/>
      <c r="BL131" s="293"/>
      <c r="BM131" s="293"/>
      <c r="BN131" s="293"/>
      <c r="BO131" s="293"/>
      <c r="BP131" s="293"/>
      <c r="BQ131" s="293"/>
      <c r="BR131" s="293"/>
      <c r="BS131" s="293"/>
      <c r="BT131" s="293"/>
      <c r="BU131" s="293"/>
      <c r="BV131" s="293"/>
      <c r="BW131" s="293"/>
      <c r="BX131" s="293"/>
      <c r="BY131" s="293"/>
      <c r="BZ131" s="293"/>
      <c r="CA131" s="293"/>
      <c r="CB131" s="293"/>
      <c r="CC131" s="293"/>
      <c r="CD131" s="293"/>
      <c r="CE131" s="293"/>
      <c r="CF131" s="293"/>
      <c r="CG131" s="293"/>
      <c r="CH131" s="293"/>
      <c r="CI131" s="293"/>
      <c r="CJ131" s="293"/>
      <c r="CK131" s="293"/>
      <c r="CL131" s="293"/>
      <c r="CM131" s="293"/>
      <c r="CN131" s="293"/>
      <c r="CO131" s="293"/>
      <c r="CP131" s="293"/>
      <c r="CQ131" s="293"/>
      <c r="CR131" s="293"/>
      <c r="CS131" s="293"/>
      <c r="CT131" s="293"/>
      <c r="CU131" s="293"/>
      <c r="CV131" s="293"/>
      <c r="CW131" s="293"/>
      <c r="CX131" s="293"/>
      <c r="CY131" s="293"/>
      <c r="CZ131" s="293"/>
      <c r="DA131" s="293"/>
      <c r="DB131" s="293"/>
      <c r="DC131" s="293"/>
      <c r="DD131" s="293"/>
      <c r="DE131" s="293"/>
      <c r="DF131" s="293"/>
      <c r="DG131" s="288"/>
      <c r="DH131" s="288"/>
      <c r="DI131" s="288"/>
      <c r="DJ131" s="288"/>
      <c r="DK131" s="288"/>
      <c r="DL131" s="288"/>
      <c r="DM131" s="288"/>
      <c r="DN131" s="288"/>
      <c r="DO131" s="288"/>
      <c r="DP131" s="288"/>
      <c r="DQ131" s="288"/>
      <c r="DR131" s="288"/>
      <c r="DS131" s="288"/>
      <c r="DT131" s="288"/>
      <c r="DU131" s="288"/>
      <c r="DV131" s="288"/>
      <c r="DW131" s="288"/>
      <c r="DX131" s="288"/>
    </row>
    <row r="132" ht="14.25" customHeight="1">
      <c r="A132" s="293"/>
      <c r="B132" s="293"/>
      <c r="C132" s="293"/>
      <c r="D132" s="293"/>
      <c r="E132" s="293"/>
      <c r="F132" s="293"/>
      <c r="G132" s="293"/>
      <c r="H132" s="293"/>
      <c r="I132" s="293"/>
      <c r="J132" s="293"/>
      <c r="K132" s="293"/>
      <c r="L132" s="293"/>
      <c r="M132" s="293"/>
      <c r="N132" s="293"/>
      <c r="O132" s="293"/>
      <c r="P132" s="293"/>
      <c r="Q132" s="293"/>
      <c r="R132" s="293"/>
      <c r="S132" s="293"/>
      <c r="T132" s="293"/>
      <c r="U132" s="293"/>
      <c r="V132" s="293"/>
      <c r="W132" s="293"/>
      <c r="X132" s="293"/>
      <c r="Y132" s="293"/>
      <c r="Z132" s="293"/>
      <c r="AA132" s="293"/>
      <c r="AB132" s="293"/>
      <c r="AC132" s="293"/>
      <c r="AD132" s="293"/>
      <c r="AE132" s="293"/>
      <c r="AF132" s="293"/>
      <c r="AG132" s="293"/>
      <c r="AH132" s="293"/>
      <c r="AI132" s="293"/>
      <c r="AJ132" s="293"/>
      <c r="AK132" s="293"/>
      <c r="AL132" s="293"/>
      <c r="AM132" s="293"/>
      <c r="AN132" s="293"/>
      <c r="AO132" s="293"/>
      <c r="AP132" s="293"/>
      <c r="AQ132" s="293"/>
      <c r="AR132" s="293"/>
      <c r="AS132" s="293"/>
      <c r="AT132" s="293"/>
      <c r="AU132" s="293"/>
      <c r="AV132" s="293"/>
      <c r="AW132" s="293"/>
      <c r="AX132" s="293"/>
      <c r="AY132" s="293"/>
      <c r="AZ132" s="293"/>
      <c r="BA132" s="293"/>
      <c r="BB132" s="293"/>
      <c r="BC132" s="293"/>
      <c r="BD132" s="293"/>
      <c r="BE132" s="293"/>
      <c r="BF132" s="293"/>
      <c r="BG132" s="293"/>
      <c r="BH132" s="293"/>
      <c r="BI132" s="293"/>
      <c r="BJ132" s="293"/>
      <c r="BK132" s="293"/>
      <c r="BL132" s="293"/>
      <c r="BM132" s="293"/>
      <c r="BN132" s="293"/>
      <c r="BO132" s="293"/>
      <c r="BP132" s="293"/>
      <c r="BQ132" s="293"/>
      <c r="BR132" s="293"/>
      <c r="BS132" s="293"/>
      <c r="BT132" s="293"/>
      <c r="BU132" s="293"/>
      <c r="BV132" s="293"/>
      <c r="BW132" s="293"/>
      <c r="BX132" s="293"/>
      <c r="BY132" s="293"/>
      <c r="BZ132" s="293"/>
      <c r="CA132" s="293"/>
      <c r="CB132" s="293"/>
      <c r="CC132" s="293"/>
      <c r="CD132" s="293"/>
      <c r="CE132" s="293"/>
      <c r="CF132" s="293"/>
      <c r="CG132" s="293"/>
      <c r="CH132" s="293"/>
      <c r="CI132" s="293"/>
      <c r="CJ132" s="293"/>
      <c r="CK132" s="293"/>
      <c r="CL132" s="293"/>
      <c r="CM132" s="293"/>
      <c r="CN132" s="293"/>
      <c r="CO132" s="293"/>
      <c r="CP132" s="293"/>
      <c r="CQ132" s="293"/>
      <c r="CR132" s="293"/>
      <c r="CS132" s="293"/>
      <c r="CT132" s="293"/>
      <c r="CU132" s="293"/>
      <c r="CV132" s="293"/>
      <c r="CW132" s="293"/>
      <c r="CX132" s="293"/>
      <c r="CY132" s="293"/>
      <c r="CZ132" s="293"/>
      <c r="DA132" s="293"/>
      <c r="DB132" s="293"/>
      <c r="DC132" s="293"/>
      <c r="DD132" s="293"/>
      <c r="DE132" s="293"/>
      <c r="DF132" s="293"/>
      <c r="DG132" s="288"/>
      <c r="DH132" s="288"/>
      <c r="DI132" s="288"/>
      <c r="DJ132" s="288"/>
      <c r="DK132" s="288"/>
      <c r="DL132" s="288"/>
      <c r="DM132" s="288"/>
      <c r="DN132" s="288"/>
      <c r="DO132" s="288"/>
      <c r="DP132" s="288"/>
      <c r="DQ132" s="288"/>
      <c r="DR132" s="288"/>
      <c r="DS132" s="288"/>
      <c r="DT132" s="288"/>
      <c r="DU132" s="288"/>
      <c r="DV132" s="288"/>
      <c r="DW132" s="288"/>
      <c r="DX132" s="288"/>
    </row>
    <row r="133" ht="14.25" customHeight="1">
      <c r="A133" s="293"/>
      <c r="B133" s="293"/>
      <c r="C133" s="293"/>
      <c r="D133" s="293"/>
      <c r="E133" s="293"/>
      <c r="F133" s="293"/>
      <c r="G133" s="293"/>
      <c r="H133" s="293"/>
      <c r="I133" s="293"/>
      <c r="J133" s="293"/>
      <c r="K133" s="293"/>
      <c r="L133" s="293"/>
      <c r="M133" s="293"/>
      <c r="N133" s="293"/>
      <c r="O133" s="293"/>
      <c r="P133" s="293"/>
      <c r="Q133" s="293"/>
      <c r="R133" s="293"/>
      <c r="S133" s="293"/>
      <c r="T133" s="293"/>
      <c r="U133" s="293"/>
      <c r="V133" s="293"/>
      <c r="W133" s="293"/>
      <c r="X133" s="293"/>
      <c r="Y133" s="293"/>
      <c r="Z133" s="293"/>
      <c r="AA133" s="293"/>
      <c r="AB133" s="293"/>
      <c r="AC133" s="293"/>
      <c r="AD133" s="293"/>
      <c r="AE133" s="293"/>
      <c r="AF133" s="293"/>
      <c r="AG133" s="293"/>
      <c r="AH133" s="293"/>
      <c r="AI133" s="293"/>
      <c r="AJ133" s="293"/>
      <c r="AK133" s="293"/>
      <c r="AL133" s="293"/>
      <c r="AM133" s="293"/>
      <c r="AN133" s="293"/>
      <c r="AO133" s="293"/>
      <c r="AP133" s="293"/>
      <c r="AQ133" s="293"/>
      <c r="AR133" s="293"/>
      <c r="AS133" s="293"/>
      <c r="AT133" s="293"/>
      <c r="AU133" s="293"/>
      <c r="AV133" s="293"/>
      <c r="AW133" s="293"/>
      <c r="AX133" s="293"/>
      <c r="AY133" s="293"/>
      <c r="AZ133" s="293"/>
      <c r="BA133" s="293"/>
      <c r="BB133" s="293"/>
      <c r="BC133" s="293"/>
      <c r="BD133" s="293"/>
      <c r="BE133" s="293"/>
      <c r="BF133" s="293"/>
      <c r="BG133" s="293"/>
      <c r="BH133" s="293"/>
      <c r="BI133" s="293"/>
      <c r="BJ133" s="293"/>
      <c r="BK133" s="293"/>
      <c r="BL133" s="293"/>
      <c r="BM133" s="293"/>
      <c r="BN133" s="293"/>
      <c r="BO133" s="293"/>
      <c r="BP133" s="293"/>
      <c r="BQ133" s="293"/>
      <c r="BR133" s="293"/>
      <c r="BS133" s="293"/>
      <c r="BT133" s="293"/>
      <c r="BU133" s="293"/>
      <c r="BV133" s="293"/>
      <c r="BW133" s="293"/>
      <c r="BX133" s="293"/>
      <c r="BY133" s="293"/>
      <c r="BZ133" s="293"/>
      <c r="CA133" s="293"/>
      <c r="CB133" s="293"/>
      <c r="CC133" s="293"/>
      <c r="CD133" s="293"/>
      <c r="CE133" s="293"/>
      <c r="CF133" s="293"/>
      <c r="CG133" s="293"/>
      <c r="CH133" s="293"/>
      <c r="CI133" s="293"/>
      <c r="CJ133" s="293"/>
      <c r="CK133" s="293"/>
      <c r="CL133" s="293"/>
      <c r="CM133" s="293"/>
      <c r="CN133" s="293"/>
      <c r="CO133" s="293"/>
      <c r="CP133" s="293"/>
      <c r="CQ133" s="293"/>
      <c r="CR133" s="293"/>
      <c r="CS133" s="293"/>
      <c r="CT133" s="293"/>
      <c r="CU133" s="293"/>
      <c r="CV133" s="293"/>
      <c r="CW133" s="293"/>
      <c r="CX133" s="293"/>
      <c r="CY133" s="293"/>
      <c r="CZ133" s="293"/>
      <c r="DA133" s="293"/>
      <c r="DB133" s="293"/>
      <c r="DC133" s="293"/>
      <c r="DD133" s="293"/>
      <c r="DE133" s="293"/>
      <c r="DF133" s="293"/>
      <c r="DG133" s="288"/>
      <c r="DH133" s="288"/>
      <c r="DI133" s="288"/>
      <c r="DJ133" s="288"/>
      <c r="DK133" s="288"/>
      <c r="DL133" s="288"/>
      <c r="DM133" s="288"/>
      <c r="DN133" s="288"/>
      <c r="DO133" s="288"/>
      <c r="DP133" s="288"/>
      <c r="DQ133" s="288"/>
      <c r="DR133" s="288"/>
      <c r="DS133" s="288"/>
      <c r="DT133" s="288"/>
      <c r="DU133" s="288"/>
      <c r="DV133" s="288"/>
      <c r="DW133" s="288"/>
      <c r="DX133" s="288"/>
    </row>
    <row r="134" ht="14.25" customHeight="1">
      <c r="A134" s="293"/>
      <c r="B134" s="293"/>
      <c r="C134" s="293"/>
      <c r="D134" s="293"/>
      <c r="E134" s="293"/>
      <c r="F134" s="293"/>
      <c r="G134" s="293"/>
      <c r="H134" s="293"/>
      <c r="I134" s="293"/>
      <c r="J134" s="293"/>
      <c r="K134" s="293"/>
      <c r="L134" s="293"/>
      <c r="M134" s="293"/>
      <c r="N134" s="293"/>
      <c r="O134" s="293"/>
      <c r="P134" s="293"/>
      <c r="Q134" s="293"/>
      <c r="R134" s="293"/>
      <c r="S134" s="293"/>
      <c r="T134" s="293"/>
      <c r="U134" s="293"/>
      <c r="V134" s="293"/>
      <c r="W134" s="293"/>
      <c r="X134" s="293"/>
      <c r="Y134" s="293"/>
      <c r="Z134" s="293"/>
      <c r="AA134" s="293"/>
      <c r="AB134" s="293"/>
      <c r="AC134" s="293"/>
      <c r="AD134" s="293"/>
      <c r="AE134" s="293"/>
      <c r="AF134" s="293"/>
      <c r="AG134" s="293"/>
      <c r="AH134" s="293"/>
      <c r="AI134" s="293"/>
      <c r="AJ134" s="293"/>
      <c r="AK134" s="293"/>
      <c r="AL134" s="293"/>
      <c r="AM134" s="293"/>
      <c r="AN134" s="293"/>
      <c r="AO134" s="293"/>
      <c r="AP134" s="293"/>
      <c r="AQ134" s="293"/>
      <c r="AR134" s="293"/>
      <c r="AS134" s="293"/>
      <c r="AT134" s="293"/>
      <c r="AU134" s="293"/>
      <c r="AV134" s="293"/>
      <c r="AW134" s="293"/>
      <c r="AX134" s="293"/>
      <c r="AY134" s="293"/>
      <c r="AZ134" s="293"/>
      <c r="BA134" s="293"/>
      <c r="BB134" s="293"/>
      <c r="BC134" s="293"/>
      <c r="BD134" s="293"/>
      <c r="BE134" s="293"/>
      <c r="BF134" s="293"/>
      <c r="BG134" s="293"/>
      <c r="BH134" s="293"/>
      <c r="BI134" s="293"/>
      <c r="BJ134" s="293"/>
      <c r="BK134" s="293"/>
      <c r="BL134" s="293"/>
      <c r="BM134" s="293"/>
      <c r="BN134" s="293"/>
      <c r="BO134" s="293"/>
      <c r="BP134" s="293"/>
      <c r="BQ134" s="293"/>
      <c r="BR134" s="293"/>
      <c r="BS134" s="293"/>
      <c r="BT134" s="293"/>
      <c r="BU134" s="293"/>
      <c r="BV134" s="293"/>
      <c r="BW134" s="293"/>
      <c r="BX134" s="293"/>
      <c r="BY134" s="293"/>
      <c r="BZ134" s="293"/>
      <c r="CA134" s="293"/>
      <c r="CB134" s="293"/>
      <c r="CC134" s="293"/>
      <c r="CD134" s="293"/>
      <c r="CE134" s="293"/>
      <c r="CF134" s="293"/>
      <c r="CG134" s="293"/>
      <c r="CH134" s="293"/>
      <c r="CI134" s="293"/>
      <c r="CJ134" s="293"/>
      <c r="CK134" s="293"/>
      <c r="CL134" s="293"/>
      <c r="CM134" s="293"/>
      <c r="CN134" s="293"/>
      <c r="CO134" s="293"/>
      <c r="CP134" s="293"/>
      <c r="CQ134" s="293"/>
      <c r="CR134" s="293"/>
      <c r="CS134" s="293"/>
      <c r="CT134" s="293"/>
      <c r="CU134" s="293"/>
      <c r="CV134" s="293"/>
      <c r="CW134" s="293"/>
      <c r="CX134" s="293"/>
      <c r="CY134" s="293"/>
      <c r="CZ134" s="293"/>
      <c r="DA134" s="293"/>
      <c r="DB134" s="293"/>
      <c r="DC134" s="293"/>
      <c r="DD134" s="293"/>
      <c r="DE134" s="293"/>
      <c r="DF134" s="293"/>
      <c r="DG134" s="288"/>
      <c r="DH134" s="288"/>
      <c r="DI134" s="288"/>
      <c r="DJ134" s="288"/>
      <c r="DK134" s="288"/>
      <c r="DL134" s="288"/>
      <c r="DM134" s="288"/>
      <c r="DN134" s="288"/>
      <c r="DO134" s="288"/>
      <c r="DP134" s="288"/>
      <c r="DQ134" s="288"/>
      <c r="DR134" s="288"/>
      <c r="DS134" s="288"/>
      <c r="DT134" s="288"/>
      <c r="DU134" s="288"/>
      <c r="DV134" s="288"/>
      <c r="DW134" s="288"/>
      <c r="DX134" s="288"/>
    </row>
    <row r="135" ht="14.25" customHeight="1">
      <c r="A135" s="293"/>
      <c r="B135" s="293"/>
      <c r="C135" s="293"/>
      <c r="D135" s="293"/>
      <c r="E135" s="293"/>
      <c r="F135" s="293"/>
      <c r="G135" s="293"/>
      <c r="H135" s="293"/>
      <c r="I135" s="293"/>
      <c r="J135" s="293"/>
      <c r="K135" s="293"/>
      <c r="L135" s="293"/>
      <c r="M135" s="293"/>
      <c r="N135" s="293"/>
      <c r="O135" s="293"/>
      <c r="P135" s="293"/>
      <c r="Q135" s="293"/>
      <c r="R135" s="293"/>
      <c r="S135" s="293"/>
      <c r="T135" s="293"/>
      <c r="U135" s="293"/>
      <c r="V135" s="293"/>
      <c r="W135" s="293"/>
      <c r="X135" s="293"/>
      <c r="Y135" s="293"/>
      <c r="Z135" s="293"/>
      <c r="AA135" s="293"/>
      <c r="AB135" s="293"/>
      <c r="AC135" s="293"/>
      <c r="AD135" s="293"/>
      <c r="AE135" s="293"/>
      <c r="AF135" s="293"/>
      <c r="AG135" s="293"/>
      <c r="AH135" s="293"/>
      <c r="AI135" s="293"/>
      <c r="AJ135" s="293"/>
      <c r="AK135" s="293"/>
      <c r="AL135" s="293"/>
      <c r="AM135" s="293"/>
      <c r="AN135" s="293"/>
      <c r="AO135" s="293"/>
      <c r="AP135" s="293"/>
      <c r="AQ135" s="293"/>
      <c r="AR135" s="293"/>
      <c r="AS135" s="293"/>
      <c r="AT135" s="293"/>
      <c r="AU135" s="293"/>
      <c r="AV135" s="293"/>
      <c r="AW135" s="293"/>
      <c r="AX135" s="293"/>
      <c r="AY135" s="293"/>
      <c r="AZ135" s="293"/>
      <c r="BA135" s="293"/>
      <c r="BB135" s="293"/>
      <c r="BC135" s="293"/>
      <c r="BD135" s="293"/>
      <c r="BE135" s="293"/>
      <c r="BF135" s="293"/>
      <c r="BG135" s="293"/>
      <c r="BH135" s="293"/>
      <c r="BI135" s="293"/>
      <c r="BJ135" s="293"/>
      <c r="BK135" s="293"/>
      <c r="BL135" s="293"/>
      <c r="BM135" s="293"/>
      <c r="BN135" s="293"/>
      <c r="BO135" s="293"/>
      <c r="BP135" s="293"/>
      <c r="BQ135" s="293"/>
      <c r="BR135" s="293"/>
      <c r="BS135" s="293"/>
      <c r="BT135" s="293"/>
      <c r="BU135" s="293"/>
      <c r="BV135" s="293"/>
      <c r="BW135" s="293"/>
      <c r="BX135" s="293"/>
      <c r="BY135" s="293"/>
      <c r="BZ135" s="293"/>
      <c r="CA135" s="293"/>
      <c r="CB135" s="293"/>
      <c r="CC135" s="293"/>
      <c r="CD135" s="293"/>
      <c r="CE135" s="293"/>
      <c r="CF135" s="293"/>
      <c r="CG135" s="293"/>
      <c r="CH135" s="293"/>
      <c r="CI135" s="293"/>
      <c r="CJ135" s="293"/>
      <c r="CK135" s="293"/>
      <c r="CL135" s="293"/>
      <c r="CM135" s="293"/>
      <c r="CN135" s="293"/>
      <c r="CO135" s="293"/>
      <c r="CP135" s="293"/>
      <c r="CQ135" s="293"/>
      <c r="CR135" s="293"/>
      <c r="CS135" s="293"/>
      <c r="CT135" s="293"/>
      <c r="CU135" s="293"/>
      <c r="CV135" s="293"/>
      <c r="CW135" s="293"/>
      <c r="CX135" s="293"/>
      <c r="CY135" s="293"/>
      <c r="CZ135" s="293"/>
      <c r="DA135" s="293"/>
      <c r="DB135" s="293"/>
      <c r="DC135" s="293"/>
      <c r="DD135" s="293"/>
      <c r="DE135" s="293"/>
      <c r="DF135" s="293"/>
      <c r="DG135" s="288"/>
      <c r="DH135" s="288"/>
      <c r="DI135" s="288"/>
      <c r="DJ135" s="288"/>
      <c r="DK135" s="288"/>
      <c r="DL135" s="288"/>
      <c r="DM135" s="288"/>
      <c r="DN135" s="288"/>
      <c r="DO135" s="288"/>
      <c r="DP135" s="288"/>
      <c r="DQ135" s="288"/>
      <c r="DR135" s="288"/>
      <c r="DS135" s="288"/>
      <c r="DT135" s="288"/>
      <c r="DU135" s="288"/>
      <c r="DV135" s="288"/>
      <c r="DW135" s="288"/>
      <c r="DX135" s="288"/>
    </row>
    <row r="136" ht="14.25" customHeight="1">
      <c r="A136" s="293"/>
      <c r="B136" s="293"/>
      <c r="C136" s="293"/>
      <c r="D136" s="293"/>
      <c r="E136" s="293"/>
      <c r="F136" s="293"/>
      <c r="G136" s="293"/>
      <c r="H136" s="293"/>
      <c r="I136" s="293"/>
      <c r="J136" s="293"/>
      <c r="K136" s="293"/>
      <c r="L136" s="293"/>
      <c r="M136" s="293"/>
      <c r="N136" s="293"/>
      <c r="O136" s="293"/>
      <c r="P136" s="293"/>
      <c r="Q136" s="293"/>
      <c r="R136" s="293"/>
      <c r="S136" s="293"/>
      <c r="T136" s="293"/>
      <c r="U136" s="293"/>
      <c r="V136" s="293"/>
      <c r="W136" s="293"/>
      <c r="X136" s="293"/>
      <c r="Y136" s="293"/>
      <c r="Z136" s="293"/>
      <c r="AA136" s="293"/>
      <c r="AB136" s="293"/>
      <c r="AC136" s="293"/>
      <c r="AD136" s="293"/>
      <c r="AE136" s="293"/>
      <c r="AF136" s="293"/>
      <c r="AG136" s="293"/>
      <c r="AH136" s="293"/>
      <c r="AI136" s="293"/>
      <c r="AJ136" s="293"/>
      <c r="AK136" s="293"/>
      <c r="AL136" s="293"/>
      <c r="AM136" s="293"/>
      <c r="AN136" s="293"/>
      <c r="AO136" s="293"/>
      <c r="AP136" s="293"/>
      <c r="AQ136" s="293"/>
      <c r="AR136" s="293"/>
      <c r="AS136" s="293"/>
      <c r="AT136" s="293"/>
      <c r="AU136" s="293"/>
      <c r="AV136" s="293"/>
      <c r="AW136" s="293"/>
      <c r="AX136" s="293"/>
      <c r="AY136" s="293"/>
      <c r="AZ136" s="293"/>
      <c r="BA136" s="293"/>
      <c r="BB136" s="293"/>
      <c r="BC136" s="293"/>
      <c r="BD136" s="293"/>
      <c r="BE136" s="293"/>
      <c r="BF136" s="293"/>
      <c r="BG136" s="293"/>
      <c r="BH136" s="293"/>
      <c r="BI136" s="293"/>
      <c r="BJ136" s="293"/>
      <c r="BK136" s="293"/>
      <c r="BL136" s="293"/>
      <c r="BM136" s="293"/>
      <c r="BN136" s="293"/>
      <c r="BO136" s="293"/>
      <c r="BP136" s="293"/>
      <c r="BQ136" s="293"/>
      <c r="BR136" s="293"/>
      <c r="BS136" s="293"/>
      <c r="BT136" s="293"/>
      <c r="BU136" s="293"/>
      <c r="BV136" s="293"/>
      <c r="BW136" s="293"/>
      <c r="BX136" s="293"/>
      <c r="BY136" s="293"/>
      <c r="BZ136" s="293"/>
      <c r="CA136" s="293"/>
      <c r="CB136" s="293"/>
      <c r="CC136" s="293"/>
      <c r="CD136" s="293"/>
      <c r="CE136" s="293"/>
      <c r="CF136" s="293"/>
      <c r="CG136" s="293"/>
      <c r="CH136" s="293"/>
      <c r="CI136" s="293"/>
      <c r="CJ136" s="293"/>
      <c r="CK136" s="293"/>
      <c r="CL136" s="293"/>
      <c r="CM136" s="293"/>
      <c r="CN136" s="293"/>
      <c r="CO136" s="293"/>
      <c r="CP136" s="293"/>
      <c r="CQ136" s="293"/>
      <c r="CR136" s="293"/>
      <c r="CS136" s="293"/>
      <c r="CT136" s="293"/>
      <c r="CU136" s="293"/>
      <c r="CV136" s="293"/>
      <c r="CW136" s="293"/>
      <c r="CX136" s="293"/>
      <c r="CY136" s="293"/>
      <c r="CZ136" s="293"/>
      <c r="DA136" s="293"/>
      <c r="DB136" s="293"/>
      <c r="DC136" s="293"/>
      <c r="DD136" s="293"/>
      <c r="DE136" s="293"/>
      <c r="DF136" s="293"/>
      <c r="DG136" s="288"/>
      <c r="DH136" s="288"/>
      <c r="DI136" s="288"/>
      <c r="DJ136" s="288"/>
      <c r="DK136" s="288"/>
      <c r="DL136" s="288"/>
      <c r="DM136" s="288"/>
      <c r="DN136" s="288"/>
      <c r="DO136" s="288"/>
      <c r="DP136" s="288"/>
      <c r="DQ136" s="288"/>
      <c r="DR136" s="288"/>
      <c r="DS136" s="288"/>
      <c r="DT136" s="288"/>
      <c r="DU136" s="288"/>
      <c r="DV136" s="288"/>
      <c r="DW136" s="288"/>
      <c r="DX136" s="288"/>
    </row>
    <row r="137" ht="14.25" customHeight="1">
      <c r="A137" s="293"/>
      <c r="B137" s="293"/>
      <c r="C137" s="293"/>
      <c r="D137" s="293"/>
      <c r="E137" s="293"/>
      <c r="F137" s="293"/>
      <c r="G137" s="293"/>
      <c r="H137" s="293"/>
      <c r="I137" s="293"/>
      <c r="J137" s="293"/>
      <c r="K137" s="293"/>
      <c r="L137" s="293"/>
      <c r="M137" s="293"/>
      <c r="N137" s="293"/>
      <c r="O137" s="293"/>
      <c r="P137" s="293"/>
      <c r="Q137" s="293"/>
      <c r="R137" s="293"/>
      <c r="S137" s="293"/>
      <c r="T137" s="293"/>
      <c r="U137" s="293"/>
      <c r="V137" s="293"/>
      <c r="W137" s="293"/>
      <c r="X137" s="293"/>
      <c r="Y137" s="293"/>
      <c r="Z137" s="293"/>
      <c r="AA137" s="293"/>
      <c r="AB137" s="293"/>
      <c r="AC137" s="293"/>
      <c r="AD137" s="293"/>
      <c r="AE137" s="293"/>
      <c r="AF137" s="293"/>
      <c r="AG137" s="293"/>
      <c r="AH137" s="293"/>
      <c r="AI137" s="293"/>
      <c r="AJ137" s="293"/>
      <c r="AK137" s="293"/>
      <c r="AL137" s="293"/>
      <c r="AM137" s="293"/>
      <c r="AN137" s="293"/>
      <c r="AO137" s="293"/>
      <c r="AP137" s="293"/>
      <c r="AQ137" s="293"/>
      <c r="AR137" s="293"/>
      <c r="AS137" s="293"/>
      <c r="AT137" s="293"/>
      <c r="AU137" s="293"/>
      <c r="AV137" s="293"/>
      <c r="AW137" s="293"/>
      <c r="AX137" s="293"/>
      <c r="AY137" s="293"/>
      <c r="AZ137" s="293"/>
      <c r="BA137" s="293"/>
      <c r="BB137" s="293"/>
      <c r="BC137" s="293"/>
      <c r="BD137" s="293"/>
      <c r="BE137" s="293"/>
      <c r="BF137" s="293"/>
      <c r="BG137" s="293"/>
      <c r="BH137" s="293"/>
      <c r="BI137" s="293"/>
      <c r="BJ137" s="293"/>
      <c r="BK137" s="293"/>
      <c r="BL137" s="293"/>
      <c r="BM137" s="293"/>
      <c r="BN137" s="293"/>
      <c r="BO137" s="293"/>
      <c r="BP137" s="293"/>
      <c r="BQ137" s="293"/>
      <c r="BR137" s="293"/>
      <c r="BS137" s="293"/>
      <c r="BT137" s="293"/>
      <c r="BU137" s="293"/>
      <c r="BV137" s="293"/>
      <c r="BW137" s="293"/>
      <c r="BX137" s="293"/>
      <c r="BY137" s="293"/>
      <c r="BZ137" s="293"/>
      <c r="CA137" s="293"/>
      <c r="CB137" s="293"/>
      <c r="CC137" s="293"/>
      <c r="CD137" s="293"/>
      <c r="CE137" s="293"/>
      <c r="CF137" s="293"/>
      <c r="CG137" s="293"/>
      <c r="CH137" s="293"/>
      <c r="CI137" s="293"/>
      <c r="CJ137" s="293"/>
      <c r="CK137" s="293"/>
      <c r="CL137" s="293"/>
      <c r="CM137" s="293"/>
      <c r="CN137" s="293"/>
      <c r="CO137" s="293"/>
      <c r="CP137" s="293"/>
      <c r="CQ137" s="293"/>
      <c r="CR137" s="293"/>
      <c r="CS137" s="293"/>
      <c r="CT137" s="293"/>
      <c r="CU137" s="293"/>
      <c r="CV137" s="293"/>
      <c r="CW137" s="293"/>
      <c r="CX137" s="293"/>
      <c r="CY137" s="293"/>
      <c r="CZ137" s="293"/>
      <c r="DA137" s="293"/>
      <c r="DB137" s="293"/>
      <c r="DC137" s="293"/>
      <c r="DD137" s="293"/>
      <c r="DE137" s="293"/>
      <c r="DF137" s="293"/>
      <c r="DG137" s="288"/>
      <c r="DH137" s="288"/>
      <c r="DI137" s="288"/>
      <c r="DJ137" s="288"/>
      <c r="DK137" s="288"/>
      <c r="DL137" s="288"/>
      <c r="DM137" s="288"/>
      <c r="DN137" s="288"/>
      <c r="DO137" s="288"/>
      <c r="DP137" s="288"/>
      <c r="DQ137" s="288"/>
      <c r="DR137" s="288"/>
      <c r="DS137" s="288"/>
      <c r="DT137" s="288"/>
      <c r="DU137" s="288"/>
      <c r="DV137" s="288"/>
      <c r="DW137" s="288"/>
      <c r="DX137" s="288"/>
    </row>
    <row r="138" ht="14.25" customHeight="1">
      <c r="A138" s="293"/>
      <c r="B138" s="293"/>
      <c r="C138" s="293"/>
      <c r="D138" s="293"/>
      <c r="E138" s="293"/>
      <c r="F138" s="293"/>
      <c r="G138" s="293"/>
      <c r="H138" s="293"/>
      <c r="I138" s="293"/>
      <c r="J138" s="293"/>
      <c r="K138" s="293"/>
      <c r="L138" s="293"/>
      <c r="M138" s="293"/>
      <c r="N138" s="293"/>
      <c r="O138" s="293"/>
      <c r="P138" s="293"/>
      <c r="Q138" s="293"/>
      <c r="R138" s="293"/>
      <c r="S138" s="293"/>
      <c r="T138" s="293"/>
      <c r="U138" s="293"/>
      <c r="V138" s="293"/>
      <c r="W138" s="293"/>
      <c r="X138" s="293"/>
      <c r="Y138" s="293"/>
      <c r="Z138" s="293"/>
      <c r="AA138" s="293"/>
      <c r="AB138" s="293"/>
      <c r="AC138" s="293"/>
      <c r="AD138" s="293"/>
      <c r="AE138" s="293"/>
      <c r="AF138" s="293"/>
      <c r="AG138" s="293"/>
      <c r="AH138" s="293"/>
      <c r="AI138" s="293"/>
      <c r="AJ138" s="293"/>
      <c r="AK138" s="293"/>
      <c r="AL138" s="293"/>
      <c r="AM138" s="293"/>
      <c r="AN138" s="293"/>
      <c r="AO138" s="293"/>
      <c r="AP138" s="293"/>
      <c r="AQ138" s="293"/>
      <c r="AR138" s="293"/>
      <c r="AS138" s="293"/>
      <c r="AT138" s="293"/>
      <c r="AU138" s="293"/>
      <c r="AV138" s="293"/>
      <c r="AW138" s="293"/>
      <c r="AX138" s="293"/>
      <c r="AY138" s="293"/>
      <c r="AZ138" s="293"/>
      <c r="BA138" s="293"/>
      <c r="BB138" s="293"/>
      <c r="BC138" s="293"/>
      <c r="BD138" s="293"/>
      <c r="BE138" s="293"/>
      <c r="BF138" s="293"/>
      <c r="BG138" s="293"/>
      <c r="BH138" s="293"/>
      <c r="BI138" s="293"/>
      <c r="BJ138" s="293"/>
      <c r="BK138" s="293"/>
      <c r="BL138" s="293"/>
      <c r="BM138" s="293"/>
      <c r="BN138" s="293"/>
      <c r="BO138" s="293"/>
      <c r="BP138" s="293"/>
      <c r="BQ138" s="293"/>
      <c r="BR138" s="293"/>
      <c r="BS138" s="293"/>
      <c r="BT138" s="293"/>
      <c r="BU138" s="293"/>
      <c r="BV138" s="293"/>
      <c r="BW138" s="293"/>
      <c r="BX138" s="293"/>
      <c r="BY138" s="293"/>
      <c r="BZ138" s="293"/>
      <c r="CA138" s="293"/>
      <c r="CB138" s="293"/>
      <c r="CC138" s="293"/>
      <c r="CD138" s="293"/>
      <c r="CE138" s="293"/>
      <c r="CF138" s="293"/>
      <c r="CG138" s="293"/>
      <c r="CH138" s="293"/>
      <c r="CI138" s="293"/>
      <c r="CJ138" s="293"/>
      <c r="CK138" s="293"/>
      <c r="CL138" s="293"/>
      <c r="CM138" s="293"/>
      <c r="CN138" s="293"/>
      <c r="CO138" s="293"/>
      <c r="CP138" s="293"/>
      <c r="CQ138" s="293"/>
      <c r="CR138" s="293"/>
      <c r="CS138" s="293"/>
      <c r="CT138" s="293"/>
      <c r="CU138" s="293"/>
      <c r="CV138" s="293"/>
      <c r="CW138" s="293"/>
      <c r="CX138" s="293"/>
      <c r="CY138" s="293"/>
      <c r="CZ138" s="293"/>
      <c r="DA138" s="293"/>
      <c r="DB138" s="293"/>
      <c r="DC138" s="293"/>
      <c r="DD138" s="293"/>
      <c r="DE138" s="293"/>
      <c r="DF138" s="293"/>
      <c r="DG138" s="288"/>
      <c r="DH138" s="288"/>
      <c r="DI138" s="288"/>
      <c r="DJ138" s="288"/>
      <c r="DK138" s="288"/>
      <c r="DL138" s="288"/>
      <c r="DM138" s="288"/>
      <c r="DN138" s="288"/>
      <c r="DO138" s="288"/>
      <c r="DP138" s="288"/>
      <c r="DQ138" s="288"/>
      <c r="DR138" s="288"/>
      <c r="DS138" s="288"/>
      <c r="DT138" s="288"/>
      <c r="DU138" s="288"/>
      <c r="DV138" s="288"/>
      <c r="DW138" s="288"/>
      <c r="DX138" s="288"/>
    </row>
    <row r="139" ht="14.25" customHeight="1">
      <c r="A139" s="293"/>
      <c r="B139" s="293"/>
      <c r="C139" s="293"/>
      <c r="D139" s="293"/>
      <c r="E139" s="293"/>
      <c r="F139" s="293"/>
      <c r="G139" s="293"/>
      <c r="H139" s="293"/>
      <c r="I139" s="293"/>
      <c r="J139" s="293"/>
      <c r="K139" s="293"/>
      <c r="L139" s="293"/>
      <c r="M139" s="293"/>
      <c r="N139" s="293"/>
      <c r="O139" s="293"/>
      <c r="P139" s="293"/>
      <c r="Q139" s="293"/>
      <c r="R139" s="293"/>
      <c r="S139" s="293"/>
      <c r="T139" s="293"/>
      <c r="U139" s="293"/>
      <c r="V139" s="293"/>
      <c r="W139" s="293"/>
      <c r="X139" s="293"/>
      <c r="Y139" s="293"/>
      <c r="Z139" s="293"/>
      <c r="AA139" s="293"/>
      <c r="AB139" s="293"/>
      <c r="AC139" s="293"/>
      <c r="AD139" s="293"/>
      <c r="AE139" s="293"/>
      <c r="AF139" s="293"/>
      <c r="AG139" s="293"/>
      <c r="AH139" s="293"/>
      <c r="AI139" s="293"/>
      <c r="AJ139" s="293"/>
      <c r="AK139" s="293"/>
      <c r="AL139" s="293"/>
      <c r="AM139" s="293"/>
      <c r="AN139" s="293"/>
      <c r="AO139" s="293"/>
      <c r="AP139" s="293"/>
      <c r="AQ139" s="293"/>
      <c r="AR139" s="293"/>
      <c r="AS139" s="293"/>
      <c r="AT139" s="293"/>
      <c r="AU139" s="293"/>
      <c r="AV139" s="293"/>
      <c r="AW139" s="293"/>
      <c r="AX139" s="293"/>
      <c r="AY139" s="293"/>
      <c r="AZ139" s="293"/>
      <c r="BA139" s="293"/>
      <c r="BB139" s="293"/>
      <c r="BC139" s="293"/>
      <c r="BD139" s="293"/>
      <c r="BE139" s="293"/>
      <c r="BF139" s="293"/>
      <c r="BG139" s="293"/>
      <c r="BH139" s="293"/>
      <c r="BI139" s="293"/>
      <c r="BJ139" s="293"/>
      <c r="BK139" s="293"/>
      <c r="BL139" s="293"/>
      <c r="BM139" s="293"/>
      <c r="BN139" s="293"/>
      <c r="BO139" s="293"/>
      <c r="BP139" s="293"/>
      <c r="BQ139" s="293"/>
      <c r="BR139" s="293"/>
      <c r="BS139" s="293"/>
      <c r="BT139" s="293"/>
      <c r="BU139" s="293"/>
      <c r="BV139" s="293"/>
      <c r="BW139" s="293"/>
      <c r="BX139" s="293"/>
      <c r="BY139" s="293"/>
      <c r="BZ139" s="293"/>
      <c r="CA139" s="293"/>
      <c r="CB139" s="293"/>
      <c r="CC139" s="293"/>
      <c r="CD139" s="293"/>
      <c r="CE139" s="293"/>
      <c r="CF139" s="293"/>
      <c r="CG139" s="293"/>
      <c r="CH139" s="293"/>
      <c r="CI139" s="293"/>
      <c r="CJ139" s="293"/>
      <c r="CK139" s="293"/>
      <c r="CL139" s="293"/>
      <c r="CM139" s="293"/>
      <c r="CN139" s="293"/>
      <c r="CO139" s="293"/>
      <c r="CP139" s="293"/>
      <c r="CQ139" s="293"/>
      <c r="CR139" s="293"/>
      <c r="CS139" s="293"/>
      <c r="CT139" s="293"/>
      <c r="CU139" s="293"/>
      <c r="CV139" s="293"/>
      <c r="CW139" s="293"/>
      <c r="CX139" s="293"/>
      <c r="CY139" s="293"/>
      <c r="CZ139" s="293"/>
      <c r="DA139" s="293"/>
      <c r="DB139" s="293"/>
      <c r="DC139" s="293"/>
      <c r="DD139" s="293"/>
      <c r="DE139" s="293"/>
      <c r="DF139" s="293"/>
      <c r="DG139" s="288"/>
      <c r="DH139" s="288"/>
      <c r="DI139" s="288"/>
      <c r="DJ139" s="288"/>
      <c r="DK139" s="288"/>
      <c r="DL139" s="288"/>
      <c r="DM139" s="288"/>
      <c r="DN139" s="288"/>
      <c r="DO139" s="288"/>
      <c r="DP139" s="288"/>
      <c r="DQ139" s="288"/>
      <c r="DR139" s="288"/>
      <c r="DS139" s="288"/>
      <c r="DT139" s="288"/>
      <c r="DU139" s="288"/>
      <c r="DV139" s="288"/>
      <c r="DW139" s="288"/>
      <c r="DX139" s="288"/>
    </row>
    <row r="140" ht="14.25" customHeight="1">
      <c r="A140" s="293"/>
      <c r="B140" s="293"/>
      <c r="C140" s="293"/>
      <c r="D140" s="293"/>
      <c r="E140" s="293"/>
      <c r="F140" s="293"/>
      <c r="G140" s="293"/>
      <c r="H140" s="293"/>
      <c r="I140" s="293"/>
      <c r="J140" s="293"/>
      <c r="K140" s="293"/>
      <c r="L140" s="293"/>
      <c r="M140" s="293"/>
      <c r="N140" s="293"/>
      <c r="O140" s="293"/>
      <c r="P140" s="293"/>
      <c r="Q140" s="293"/>
      <c r="R140" s="293"/>
      <c r="S140" s="293"/>
      <c r="T140" s="293"/>
      <c r="U140" s="293"/>
      <c r="V140" s="293"/>
      <c r="W140" s="293"/>
      <c r="X140" s="293"/>
      <c r="Y140" s="293"/>
      <c r="Z140" s="293"/>
      <c r="AA140" s="293"/>
      <c r="AB140" s="293"/>
      <c r="AC140" s="293"/>
      <c r="AD140" s="293"/>
      <c r="AE140" s="293"/>
      <c r="AF140" s="293"/>
      <c r="AG140" s="293"/>
      <c r="AH140" s="293"/>
      <c r="AI140" s="293"/>
      <c r="AJ140" s="293"/>
      <c r="AK140" s="293"/>
      <c r="AL140" s="293"/>
      <c r="AM140" s="293"/>
      <c r="AN140" s="293"/>
      <c r="AO140" s="293"/>
      <c r="AP140" s="293"/>
      <c r="AQ140" s="293"/>
      <c r="AR140" s="293"/>
      <c r="AS140" s="293"/>
      <c r="AT140" s="293"/>
      <c r="AU140" s="293"/>
      <c r="AV140" s="293"/>
      <c r="AW140" s="293"/>
      <c r="AX140" s="293"/>
      <c r="AY140" s="293"/>
      <c r="AZ140" s="293"/>
      <c r="BA140" s="293"/>
      <c r="BB140" s="293"/>
      <c r="BC140" s="293"/>
      <c r="BD140" s="293"/>
      <c r="BE140" s="293"/>
      <c r="BF140" s="293"/>
      <c r="BG140" s="293"/>
      <c r="BH140" s="293"/>
      <c r="BI140" s="293"/>
      <c r="BJ140" s="293"/>
      <c r="BK140" s="293"/>
      <c r="BL140" s="293"/>
      <c r="BM140" s="293"/>
      <c r="BN140" s="293"/>
      <c r="BO140" s="293"/>
      <c r="BP140" s="293"/>
      <c r="BQ140" s="293"/>
      <c r="BR140" s="293"/>
      <c r="BS140" s="293"/>
      <c r="BT140" s="293"/>
      <c r="BU140" s="293"/>
      <c r="BV140" s="293"/>
      <c r="BW140" s="293"/>
      <c r="BX140" s="293"/>
      <c r="BY140" s="293"/>
      <c r="BZ140" s="293"/>
      <c r="CA140" s="293"/>
      <c r="CB140" s="293"/>
      <c r="CC140" s="293"/>
      <c r="CD140" s="293"/>
      <c r="CE140" s="293"/>
      <c r="CF140" s="293"/>
      <c r="CG140" s="293"/>
      <c r="CH140" s="293"/>
      <c r="CI140" s="293"/>
      <c r="CJ140" s="293"/>
      <c r="CK140" s="293"/>
      <c r="CL140" s="293"/>
      <c r="CM140" s="293"/>
      <c r="CN140" s="293"/>
      <c r="CO140" s="293"/>
      <c r="CP140" s="293"/>
      <c r="CQ140" s="293"/>
      <c r="CR140" s="293"/>
      <c r="CS140" s="293"/>
      <c r="CT140" s="293"/>
      <c r="CU140" s="293"/>
      <c r="CV140" s="293"/>
      <c r="CW140" s="293"/>
      <c r="CX140" s="293"/>
      <c r="CY140" s="293"/>
      <c r="CZ140" s="293"/>
      <c r="DA140" s="293"/>
      <c r="DB140" s="293"/>
      <c r="DC140" s="293"/>
      <c r="DD140" s="293"/>
      <c r="DE140" s="293"/>
      <c r="DF140" s="293"/>
      <c r="DG140" s="288"/>
      <c r="DH140" s="288"/>
      <c r="DI140" s="288"/>
      <c r="DJ140" s="288"/>
      <c r="DK140" s="288"/>
      <c r="DL140" s="288"/>
      <c r="DM140" s="288"/>
      <c r="DN140" s="288"/>
      <c r="DO140" s="288"/>
      <c r="DP140" s="288"/>
      <c r="DQ140" s="288"/>
      <c r="DR140" s="288"/>
      <c r="DS140" s="288"/>
      <c r="DT140" s="288"/>
      <c r="DU140" s="288"/>
      <c r="DV140" s="288"/>
      <c r="DW140" s="288"/>
      <c r="DX140" s="288"/>
    </row>
    <row r="141" ht="14.25" customHeight="1">
      <c r="A141" s="293"/>
      <c r="B141" s="293"/>
      <c r="C141" s="293"/>
      <c r="D141" s="293"/>
      <c r="E141" s="293"/>
      <c r="F141" s="293"/>
      <c r="G141" s="293"/>
      <c r="H141" s="293"/>
      <c r="I141" s="293"/>
      <c r="J141" s="293"/>
      <c r="K141" s="293"/>
      <c r="L141" s="293"/>
      <c r="M141" s="293"/>
      <c r="N141" s="293"/>
      <c r="O141" s="293"/>
      <c r="P141" s="293"/>
      <c r="Q141" s="293"/>
      <c r="R141" s="293"/>
      <c r="S141" s="293"/>
      <c r="T141" s="293"/>
      <c r="U141" s="293"/>
      <c r="V141" s="293"/>
      <c r="W141" s="293"/>
      <c r="X141" s="293"/>
      <c r="Y141" s="293"/>
      <c r="Z141" s="293"/>
      <c r="AA141" s="293"/>
      <c r="AB141" s="293"/>
      <c r="AC141" s="293"/>
      <c r="AD141" s="293"/>
      <c r="AE141" s="293"/>
      <c r="AF141" s="293"/>
      <c r="AG141" s="293"/>
      <c r="AH141" s="293"/>
      <c r="AI141" s="293"/>
      <c r="AJ141" s="293"/>
      <c r="AK141" s="293"/>
      <c r="AL141" s="293"/>
      <c r="AM141" s="293"/>
      <c r="AN141" s="293"/>
      <c r="AO141" s="293"/>
      <c r="AP141" s="293"/>
      <c r="AQ141" s="293"/>
      <c r="AR141" s="293"/>
      <c r="AS141" s="293"/>
      <c r="AT141" s="293"/>
      <c r="AU141" s="293"/>
      <c r="AV141" s="293"/>
      <c r="AW141" s="293"/>
      <c r="AX141" s="293"/>
      <c r="AY141" s="293"/>
      <c r="AZ141" s="293"/>
      <c r="BA141" s="293"/>
      <c r="BB141" s="293"/>
      <c r="BC141" s="293"/>
      <c r="BD141" s="293"/>
      <c r="BE141" s="293"/>
      <c r="BF141" s="293"/>
      <c r="BG141" s="293"/>
      <c r="BH141" s="293"/>
      <c r="BI141" s="293"/>
      <c r="BJ141" s="293"/>
      <c r="BK141" s="293"/>
      <c r="BL141" s="293"/>
      <c r="BM141" s="293"/>
      <c r="BN141" s="293"/>
      <c r="BO141" s="293"/>
      <c r="BP141" s="293"/>
      <c r="BQ141" s="293"/>
      <c r="BR141" s="293"/>
      <c r="BS141" s="293"/>
      <c r="BT141" s="293"/>
      <c r="BU141" s="293"/>
      <c r="BV141" s="293"/>
      <c r="BW141" s="293"/>
      <c r="BX141" s="293"/>
      <c r="BY141" s="293"/>
      <c r="BZ141" s="293"/>
      <c r="CA141" s="293"/>
      <c r="CB141" s="293"/>
      <c r="CC141" s="293"/>
      <c r="CD141" s="293"/>
      <c r="CE141" s="293"/>
      <c r="CF141" s="293"/>
      <c r="CG141" s="293"/>
      <c r="CH141" s="293"/>
      <c r="CI141" s="293"/>
      <c r="CJ141" s="293"/>
      <c r="CK141" s="293"/>
      <c r="CL141" s="293"/>
      <c r="CM141" s="293"/>
      <c r="CN141" s="293"/>
      <c r="CO141" s="293"/>
      <c r="CP141" s="293"/>
      <c r="CQ141" s="293"/>
      <c r="CR141" s="293"/>
      <c r="CS141" s="293"/>
      <c r="CT141" s="293"/>
      <c r="CU141" s="293"/>
      <c r="CV141" s="293"/>
      <c r="CW141" s="293"/>
      <c r="CX141" s="293"/>
      <c r="CY141" s="293"/>
      <c r="CZ141" s="293"/>
      <c r="DA141" s="293"/>
      <c r="DB141" s="293"/>
      <c r="DC141" s="293"/>
      <c r="DD141" s="293"/>
      <c r="DE141" s="293"/>
      <c r="DF141" s="293"/>
      <c r="DG141" s="288"/>
      <c r="DH141" s="288"/>
      <c r="DI141" s="288"/>
      <c r="DJ141" s="288"/>
      <c r="DK141" s="288"/>
      <c r="DL141" s="288"/>
      <c r="DM141" s="288"/>
      <c r="DN141" s="288"/>
      <c r="DO141" s="288"/>
      <c r="DP141" s="288"/>
      <c r="DQ141" s="288"/>
      <c r="DR141" s="288"/>
      <c r="DS141" s="288"/>
      <c r="DT141" s="288"/>
      <c r="DU141" s="288"/>
      <c r="DV141" s="288"/>
      <c r="DW141" s="288"/>
      <c r="DX141" s="288"/>
    </row>
    <row r="142" ht="14.25" customHeight="1">
      <c r="A142" s="293"/>
      <c r="B142" s="293"/>
      <c r="C142" s="293"/>
      <c r="D142" s="293"/>
      <c r="E142" s="293"/>
      <c r="F142" s="293"/>
      <c r="G142" s="293"/>
      <c r="H142" s="293"/>
      <c r="I142" s="293"/>
      <c r="J142" s="293"/>
      <c r="K142" s="293"/>
      <c r="L142" s="293"/>
      <c r="M142" s="293"/>
      <c r="N142" s="293"/>
      <c r="O142" s="293"/>
      <c r="P142" s="293"/>
      <c r="Q142" s="293"/>
      <c r="R142" s="293"/>
      <c r="S142" s="293"/>
      <c r="T142" s="293"/>
      <c r="U142" s="293"/>
      <c r="V142" s="293"/>
      <c r="W142" s="293"/>
      <c r="X142" s="293"/>
      <c r="Y142" s="293"/>
      <c r="Z142" s="293"/>
      <c r="AA142" s="293"/>
      <c r="AB142" s="293"/>
      <c r="AC142" s="293"/>
      <c r="AD142" s="293"/>
      <c r="AE142" s="293"/>
      <c r="AF142" s="293"/>
      <c r="AG142" s="293"/>
      <c r="AH142" s="293"/>
      <c r="AI142" s="293"/>
      <c r="AJ142" s="293"/>
      <c r="AK142" s="293"/>
      <c r="AL142" s="293"/>
      <c r="AM142" s="293"/>
      <c r="AN142" s="293"/>
      <c r="AO142" s="293"/>
      <c r="AP142" s="293"/>
      <c r="AQ142" s="293"/>
      <c r="AR142" s="293"/>
      <c r="AS142" s="293"/>
      <c r="AT142" s="293"/>
      <c r="AU142" s="293"/>
      <c r="AV142" s="293"/>
      <c r="AW142" s="293"/>
      <c r="AX142" s="293"/>
      <c r="AY142" s="293"/>
      <c r="AZ142" s="293"/>
      <c r="BA142" s="293"/>
      <c r="BB142" s="293"/>
      <c r="BC142" s="293"/>
      <c r="BD142" s="293"/>
      <c r="BE142" s="293"/>
      <c r="BF142" s="293"/>
      <c r="BG142" s="293"/>
      <c r="BH142" s="293"/>
      <c r="BI142" s="293"/>
      <c r="BJ142" s="293"/>
      <c r="BK142" s="293"/>
      <c r="BL142" s="293"/>
      <c r="BM142" s="293"/>
      <c r="BN142" s="293"/>
      <c r="BO142" s="293"/>
      <c r="BP142" s="293"/>
      <c r="BQ142" s="293"/>
      <c r="BR142" s="293"/>
      <c r="BS142" s="293"/>
      <c r="BT142" s="293"/>
      <c r="BU142" s="293"/>
      <c r="BV142" s="293"/>
      <c r="BW142" s="293"/>
      <c r="BX142" s="293"/>
      <c r="BY142" s="293"/>
      <c r="BZ142" s="293"/>
      <c r="CA142" s="293"/>
      <c r="CB142" s="293"/>
      <c r="CC142" s="293"/>
      <c r="CD142" s="293"/>
      <c r="CE142" s="293"/>
      <c r="CF142" s="293"/>
      <c r="CG142" s="293"/>
      <c r="CH142" s="293"/>
      <c r="CI142" s="293"/>
      <c r="CJ142" s="293"/>
      <c r="CK142" s="293"/>
      <c r="CL142" s="293"/>
      <c r="CM142" s="293"/>
      <c r="CN142" s="293"/>
      <c r="CO142" s="293"/>
      <c r="CP142" s="293"/>
      <c r="CQ142" s="293"/>
      <c r="CR142" s="293"/>
      <c r="CS142" s="293"/>
      <c r="CT142" s="293"/>
      <c r="CU142" s="293"/>
      <c r="CV142" s="293"/>
      <c r="CW142" s="293"/>
      <c r="CX142" s="293"/>
      <c r="CY142" s="293"/>
      <c r="CZ142" s="293"/>
      <c r="DA142" s="293"/>
      <c r="DB142" s="293"/>
      <c r="DC142" s="293"/>
      <c r="DD142" s="293"/>
      <c r="DE142" s="293"/>
      <c r="DF142" s="293"/>
      <c r="DG142" s="288"/>
      <c r="DH142" s="288"/>
      <c r="DI142" s="288"/>
      <c r="DJ142" s="288"/>
      <c r="DK142" s="288"/>
      <c r="DL142" s="288"/>
      <c r="DM142" s="288"/>
      <c r="DN142" s="288"/>
      <c r="DO142" s="288"/>
      <c r="DP142" s="288"/>
      <c r="DQ142" s="288"/>
      <c r="DR142" s="288"/>
      <c r="DS142" s="288"/>
      <c r="DT142" s="288"/>
      <c r="DU142" s="288"/>
      <c r="DV142" s="288"/>
      <c r="DW142" s="288"/>
      <c r="DX142" s="288"/>
    </row>
    <row r="143" ht="14.25" customHeight="1">
      <c r="A143" s="293"/>
      <c r="B143" s="293"/>
      <c r="C143" s="293"/>
      <c r="D143" s="293"/>
      <c r="E143" s="293"/>
      <c r="F143" s="293"/>
      <c r="G143" s="293"/>
      <c r="H143" s="293"/>
      <c r="I143" s="293"/>
      <c r="J143" s="293"/>
      <c r="K143" s="293"/>
      <c r="L143" s="293"/>
      <c r="M143" s="293"/>
      <c r="N143" s="293"/>
      <c r="O143" s="293"/>
      <c r="P143" s="293"/>
      <c r="Q143" s="293"/>
      <c r="R143" s="293"/>
      <c r="S143" s="293"/>
      <c r="T143" s="293"/>
      <c r="U143" s="293"/>
      <c r="V143" s="293"/>
      <c r="W143" s="293"/>
      <c r="X143" s="293"/>
      <c r="Y143" s="293"/>
      <c r="Z143" s="293"/>
      <c r="AA143" s="293"/>
      <c r="AB143" s="293"/>
      <c r="AC143" s="293"/>
      <c r="AD143" s="293"/>
      <c r="AE143" s="293"/>
      <c r="AF143" s="293"/>
      <c r="AG143" s="293"/>
      <c r="AH143" s="293"/>
      <c r="AI143" s="293"/>
      <c r="AJ143" s="293"/>
      <c r="AK143" s="293"/>
      <c r="AL143" s="293"/>
      <c r="AM143" s="293"/>
      <c r="AN143" s="293"/>
      <c r="AO143" s="293"/>
      <c r="AP143" s="293"/>
      <c r="AQ143" s="293"/>
      <c r="AR143" s="293"/>
      <c r="AS143" s="293"/>
      <c r="AT143" s="293"/>
      <c r="AU143" s="293"/>
      <c r="AV143" s="293"/>
      <c r="AW143" s="293"/>
      <c r="AX143" s="293"/>
      <c r="AY143" s="293"/>
      <c r="AZ143" s="293"/>
      <c r="BA143" s="293"/>
      <c r="BB143" s="293"/>
      <c r="BC143" s="293"/>
      <c r="BD143" s="293"/>
      <c r="BE143" s="293"/>
      <c r="BF143" s="293"/>
      <c r="BG143" s="293"/>
      <c r="BH143" s="293"/>
      <c r="BI143" s="293"/>
      <c r="BJ143" s="293"/>
      <c r="BK143" s="293"/>
      <c r="BL143" s="293"/>
      <c r="BM143" s="293"/>
      <c r="BN143" s="293"/>
      <c r="BO143" s="293"/>
      <c r="BP143" s="293"/>
      <c r="BQ143" s="293"/>
      <c r="BR143" s="293"/>
      <c r="BS143" s="293"/>
      <c r="BT143" s="293"/>
      <c r="BU143" s="293"/>
      <c r="BV143" s="293"/>
      <c r="BW143" s="293"/>
      <c r="BX143" s="293"/>
      <c r="BY143" s="293"/>
      <c r="BZ143" s="293"/>
      <c r="CA143" s="293"/>
      <c r="CB143" s="293"/>
      <c r="CC143" s="293"/>
      <c r="CD143" s="293"/>
      <c r="CE143" s="293"/>
      <c r="CF143" s="293"/>
      <c r="CG143" s="293"/>
      <c r="CH143" s="293"/>
      <c r="CI143" s="293"/>
      <c r="CJ143" s="293"/>
      <c r="CK143" s="293"/>
      <c r="CL143" s="293"/>
      <c r="CM143" s="293"/>
      <c r="CN143" s="293"/>
      <c r="CO143" s="293"/>
      <c r="CP143" s="293"/>
      <c r="CQ143" s="293"/>
      <c r="CR143" s="293"/>
      <c r="CS143" s="293"/>
      <c r="CT143" s="293"/>
      <c r="CU143" s="293"/>
      <c r="CV143" s="293"/>
      <c r="CW143" s="293"/>
      <c r="CX143" s="293"/>
      <c r="CY143" s="293"/>
      <c r="CZ143" s="293"/>
      <c r="DA143" s="293"/>
      <c r="DB143" s="293"/>
      <c r="DC143" s="293"/>
      <c r="DD143" s="293"/>
      <c r="DE143" s="293"/>
      <c r="DF143" s="293"/>
      <c r="DG143" s="288"/>
      <c r="DH143" s="288"/>
      <c r="DI143" s="288"/>
      <c r="DJ143" s="288"/>
      <c r="DK143" s="288"/>
      <c r="DL143" s="288"/>
      <c r="DM143" s="288"/>
      <c r="DN143" s="288"/>
      <c r="DO143" s="288"/>
      <c r="DP143" s="288"/>
      <c r="DQ143" s="288"/>
      <c r="DR143" s="288"/>
      <c r="DS143" s="288"/>
      <c r="DT143" s="288"/>
      <c r="DU143" s="288"/>
      <c r="DV143" s="288"/>
      <c r="DW143" s="288"/>
      <c r="DX143" s="288"/>
    </row>
    <row r="144" ht="14.25" customHeight="1">
      <c r="A144" s="293"/>
      <c r="B144" s="293"/>
      <c r="C144" s="293"/>
      <c r="D144" s="293"/>
      <c r="E144" s="293"/>
      <c r="F144" s="293"/>
      <c r="G144" s="293"/>
      <c r="H144" s="293"/>
      <c r="I144" s="293"/>
      <c r="J144" s="293"/>
      <c r="K144" s="293"/>
      <c r="L144" s="293"/>
      <c r="M144" s="293"/>
      <c r="N144" s="293"/>
      <c r="O144" s="293"/>
      <c r="P144" s="293"/>
      <c r="Q144" s="293"/>
      <c r="R144" s="293"/>
      <c r="S144" s="293"/>
      <c r="T144" s="293"/>
      <c r="U144" s="293"/>
      <c r="V144" s="293"/>
      <c r="W144" s="293"/>
      <c r="X144" s="293"/>
      <c r="Y144" s="293"/>
      <c r="Z144" s="293"/>
      <c r="AA144" s="293"/>
      <c r="AB144" s="293"/>
      <c r="AC144" s="293"/>
      <c r="AD144" s="293"/>
      <c r="AE144" s="293"/>
      <c r="AF144" s="293"/>
      <c r="AG144" s="293"/>
      <c r="AH144" s="293"/>
      <c r="AI144" s="293"/>
      <c r="AJ144" s="293"/>
      <c r="AK144" s="293"/>
      <c r="AL144" s="293"/>
      <c r="AM144" s="293"/>
      <c r="AN144" s="293"/>
      <c r="AO144" s="293"/>
      <c r="AP144" s="293"/>
      <c r="AQ144" s="293"/>
      <c r="AR144" s="293"/>
      <c r="AS144" s="293"/>
      <c r="AT144" s="293"/>
      <c r="AU144" s="293"/>
      <c r="AV144" s="293"/>
      <c r="AW144" s="293"/>
      <c r="AX144" s="293"/>
      <c r="AY144" s="293"/>
      <c r="AZ144" s="293"/>
      <c r="BA144" s="293"/>
      <c r="BB144" s="293"/>
      <c r="BC144" s="293"/>
      <c r="BD144" s="293"/>
      <c r="BE144" s="293"/>
      <c r="BF144" s="293"/>
      <c r="BG144" s="293"/>
      <c r="BH144" s="293"/>
      <c r="BI144" s="293"/>
      <c r="BJ144" s="293"/>
      <c r="BK144" s="293"/>
      <c r="BL144" s="293"/>
      <c r="BM144" s="293"/>
      <c r="BN144" s="293"/>
      <c r="BO144" s="293"/>
      <c r="BP144" s="293"/>
      <c r="BQ144" s="293"/>
      <c r="BR144" s="293"/>
      <c r="BS144" s="293"/>
      <c r="BT144" s="293"/>
      <c r="BU144" s="293"/>
      <c r="BV144" s="293"/>
      <c r="BW144" s="293"/>
      <c r="BX144" s="293"/>
      <c r="BY144" s="293"/>
      <c r="BZ144" s="293"/>
      <c r="CA144" s="293"/>
      <c r="CB144" s="293"/>
      <c r="CC144" s="293"/>
      <c r="CD144" s="293"/>
      <c r="CE144" s="293"/>
      <c r="CF144" s="293"/>
      <c r="CG144" s="293"/>
      <c r="CH144" s="293"/>
      <c r="CI144" s="293"/>
      <c r="CJ144" s="293"/>
      <c r="CK144" s="293"/>
      <c r="CL144" s="293"/>
      <c r="CM144" s="293"/>
      <c r="CN144" s="293"/>
      <c r="CO144" s="293"/>
      <c r="CP144" s="293"/>
      <c r="CQ144" s="293"/>
      <c r="CR144" s="293"/>
      <c r="CS144" s="293"/>
      <c r="CT144" s="293"/>
      <c r="CU144" s="293"/>
      <c r="CV144" s="293"/>
      <c r="CW144" s="293"/>
      <c r="CX144" s="293"/>
      <c r="CY144" s="293"/>
      <c r="CZ144" s="293"/>
      <c r="DA144" s="293"/>
      <c r="DB144" s="293"/>
      <c r="DC144" s="293"/>
      <c r="DD144" s="293"/>
      <c r="DE144" s="293"/>
      <c r="DF144" s="293"/>
      <c r="DG144" s="288"/>
      <c r="DH144" s="288"/>
      <c r="DI144" s="288"/>
      <c r="DJ144" s="288"/>
      <c r="DK144" s="288"/>
      <c r="DL144" s="288"/>
      <c r="DM144" s="288"/>
      <c r="DN144" s="288"/>
      <c r="DO144" s="288"/>
      <c r="DP144" s="288"/>
      <c r="DQ144" s="288"/>
      <c r="DR144" s="288"/>
      <c r="DS144" s="288"/>
      <c r="DT144" s="288"/>
      <c r="DU144" s="288"/>
      <c r="DV144" s="288"/>
      <c r="DW144" s="288"/>
      <c r="DX144" s="288"/>
    </row>
    <row r="145" ht="14.25" customHeight="1">
      <c r="A145" s="293"/>
      <c r="B145" s="293"/>
      <c r="C145" s="293"/>
      <c r="D145" s="293"/>
      <c r="E145" s="293"/>
      <c r="F145" s="293"/>
      <c r="G145" s="293"/>
      <c r="H145" s="293"/>
      <c r="I145" s="293"/>
      <c r="J145" s="293"/>
      <c r="K145" s="293"/>
      <c r="L145" s="293"/>
      <c r="M145" s="293"/>
      <c r="N145" s="293"/>
      <c r="O145" s="293"/>
      <c r="P145" s="293"/>
      <c r="Q145" s="293"/>
      <c r="R145" s="293"/>
      <c r="S145" s="293"/>
      <c r="T145" s="293"/>
      <c r="U145" s="293"/>
      <c r="V145" s="293"/>
      <c r="W145" s="293"/>
      <c r="X145" s="293"/>
      <c r="Y145" s="293"/>
      <c r="Z145" s="293"/>
      <c r="AA145" s="293"/>
      <c r="AB145" s="293"/>
      <c r="AC145" s="293"/>
      <c r="AD145" s="293"/>
      <c r="AE145" s="293"/>
      <c r="AF145" s="293"/>
      <c r="AG145" s="293"/>
      <c r="AH145" s="293"/>
      <c r="AI145" s="293"/>
      <c r="AJ145" s="293"/>
      <c r="AK145" s="293"/>
      <c r="AL145" s="293"/>
      <c r="AM145" s="293"/>
      <c r="AN145" s="293"/>
      <c r="AO145" s="293"/>
      <c r="AP145" s="293"/>
      <c r="AQ145" s="293"/>
      <c r="AR145" s="293"/>
      <c r="AS145" s="293"/>
      <c r="AT145" s="293"/>
      <c r="AU145" s="293"/>
      <c r="AV145" s="293"/>
      <c r="AW145" s="293"/>
      <c r="AX145" s="293"/>
      <c r="AY145" s="293"/>
      <c r="AZ145" s="293"/>
      <c r="BA145" s="293"/>
      <c r="BB145" s="293"/>
      <c r="BC145" s="293"/>
      <c r="BD145" s="293"/>
      <c r="BE145" s="293"/>
      <c r="BF145" s="293"/>
      <c r="BG145" s="293"/>
      <c r="BH145" s="293"/>
      <c r="BI145" s="293"/>
      <c r="BJ145" s="293"/>
      <c r="BK145" s="293"/>
      <c r="BL145" s="293"/>
      <c r="BM145" s="293"/>
      <c r="BN145" s="293"/>
      <c r="BO145" s="293"/>
      <c r="BP145" s="293"/>
      <c r="BQ145" s="293"/>
      <c r="BR145" s="293"/>
      <c r="BS145" s="293"/>
      <c r="BT145" s="293"/>
      <c r="BU145" s="293"/>
      <c r="BV145" s="293"/>
      <c r="BW145" s="293"/>
      <c r="BX145" s="293"/>
      <c r="BY145" s="293"/>
      <c r="BZ145" s="293"/>
      <c r="CA145" s="293"/>
      <c r="CB145" s="293"/>
      <c r="CC145" s="293"/>
      <c r="CD145" s="293"/>
      <c r="CE145" s="293"/>
      <c r="CF145" s="293"/>
      <c r="CG145" s="293"/>
      <c r="CH145" s="293"/>
      <c r="CI145" s="293"/>
      <c r="CJ145" s="293"/>
      <c r="CK145" s="293"/>
      <c r="CL145" s="293"/>
      <c r="CM145" s="293"/>
      <c r="CN145" s="293"/>
      <c r="CO145" s="293"/>
      <c r="CP145" s="293"/>
      <c r="CQ145" s="293"/>
      <c r="CR145" s="293"/>
      <c r="CS145" s="293"/>
      <c r="CT145" s="293"/>
      <c r="CU145" s="293"/>
      <c r="CV145" s="293"/>
      <c r="CW145" s="293"/>
      <c r="CX145" s="293"/>
      <c r="CY145" s="293"/>
      <c r="CZ145" s="293"/>
      <c r="DA145" s="293"/>
      <c r="DB145" s="293"/>
      <c r="DC145" s="293"/>
      <c r="DD145" s="293"/>
      <c r="DE145" s="293"/>
      <c r="DF145" s="293"/>
      <c r="DG145" s="288"/>
      <c r="DH145" s="288"/>
      <c r="DI145" s="288"/>
      <c r="DJ145" s="288"/>
      <c r="DK145" s="288"/>
      <c r="DL145" s="288"/>
      <c r="DM145" s="288"/>
      <c r="DN145" s="288"/>
      <c r="DO145" s="288"/>
      <c r="DP145" s="288"/>
      <c r="DQ145" s="288"/>
      <c r="DR145" s="288"/>
      <c r="DS145" s="288"/>
      <c r="DT145" s="288"/>
      <c r="DU145" s="288"/>
      <c r="DV145" s="288"/>
      <c r="DW145" s="288"/>
      <c r="DX145" s="288"/>
    </row>
    <row r="146" ht="14.25" customHeight="1">
      <c r="A146" s="293"/>
      <c r="B146" s="293"/>
      <c r="C146" s="293"/>
      <c r="D146" s="293"/>
      <c r="E146" s="293"/>
      <c r="F146" s="293"/>
      <c r="G146" s="293"/>
      <c r="H146" s="293"/>
      <c r="I146" s="293"/>
      <c r="J146" s="293"/>
      <c r="K146" s="293"/>
      <c r="L146" s="293"/>
      <c r="M146" s="293"/>
      <c r="N146" s="293"/>
      <c r="O146" s="293"/>
      <c r="P146" s="293"/>
      <c r="Q146" s="293"/>
      <c r="R146" s="293"/>
      <c r="S146" s="293"/>
      <c r="T146" s="293"/>
      <c r="U146" s="293"/>
      <c r="V146" s="293"/>
      <c r="W146" s="293"/>
      <c r="X146" s="293"/>
      <c r="Y146" s="293"/>
      <c r="Z146" s="293"/>
      <c r="AA146" s="293"/>
      <c r="AB146" s="293"/>
      <c r="AC146" s="293"/>
      <c r="AD146" s="293"/>
      <c r="AE146" s="293"/>
      <c r="AF146" s="293"/>
      <c r="AG146" s="293"/>
      <c r="AH146" s="293"/>
      <c r="AI146" s="293"/>
      <c r="AJ146" s="293"/>
      <c r="AK146" s="293"/>
      <c r="AL146" s="293"/>
      <c r="AM146" s="293"/>
      <c r="AN146" s="293"/>
      <c r="AO146" s="293"/>
      <c r="AP146" s="293"/>
      <c r="AQ146" s="293"/>
      <c r="AR146" s="293"/>
      <c r="AS146" s="293"/>
      <c r="AT146" s="293"/>
      <c r="AU146" s="293"/>
      <c r="AV146" s="293"/>
      <c r="AW146" s="293"/>
      <c r="AX146" s="293"/>
      <c r="AY146" s="293"/>
      <c r="AZ146" s="293"/>
      <c r="BA146" s="293"/>
      <c r="BB146" s="293"/>
      <c r="BC146" s="293"/>
      <c r="BD146" s="293"/>
      <c r="BE146" s="293"/>
      <c r="BF146" s="293"/>
      <c r="BG146" s="293"/>
      <c r="BH146" s="293"/>
      <c r="BI146" s="293"/>
      <c r="BJ146" s="293"/>
      <c r="BK146" s="293"/>
      <c r="BL146" s="293"/>
      <c r="BM146" s="293"/>
      <c r="BN146" s="293"/>
      <c r="BO146" s="293"/>
      <c r="BP146" s="293"/>
      <c r="BQ146" s="293"/>
      <c r="BR146" s="293"/>
      <c r="BS146" s="293"/>
      <c r="BT146" s="293"/>
      <c r="BU146" s="293"/>
      <c r="BV146" s="293"/>
      <c r="BW146" s="293"/>
      <c r="BX146" s="293"/>
      <c r="BY146" s="293"/>
      <c r="BZ146" s="293"/>
      <c r="CA146" s="293"/>
      <c r="CB146" s="293"/>
      <c r="CC146" s="293"/>
      <c r="CD146" s="293"/>
      <c r="CE146" s="293"/>
      <c r="CF146" s="293"/>
      <c r="CG146" s="293"/>
      <c r="CH146" s="293"/>
      <c r="CI146" s="293"/>
      <c r="CJ146" s="293"/>
      <c r="CK146" s="293"/>
      <c r="CL146" s="293"/>
      <c r="CM146" s="293"/>
      <c r="CN146" s="293"/>
      <c r="CO146" s="293"/>
      <c r="CP146" s="293"/>
      <c r="CQ146" s="293"/>
      <c r="CR146" s="293"/>
      <c r="CS146" s="293"/>
      <c r="CT146" s="293"/>
      <c r="CU146" s="293"/>
      <c r="CV146" s="293"/>
      <c r="CW146" s="293"/>
      <c r="CX146" s="293"/>
      <c r="CY146" s="293"/>
      <c r="CZ146" s="293"/>
      <c r="DA146" s="293"/>
      <c r="DB146" s="293"/>
      <c r="DC146" s="293"/>
      <c r="DD146" s="293"/>
      <c r="DE146" s="293"/>
      <c r="DF146" s="293"/>
      <c r="DG146" s="288"/>
      <c r="DH146" s="288"/>
      <c r="DI146" s="288"/>
      <c r="DJ146" s="288"/>
      <c r="DK146" s="288"/>
      <c r="DL146" s="288"/>
      <c r="DM146" s="288"/>
      <c r="DN146" s="288"/>
      <c r="DO146" s="288"/>
      <c r="DP146" s="288"/>
      <c r="DQ146" s="288"/>
      <c r="DR146" s="288"/>
      <c r="DS146" s="288"/>
      <c r="DT146" s="288"/>
      <c r="DU146" s="288"/>
      <c r="DV146" s="288"/>
      <c r="DW146" s="288"/>
      <c r="DX146" s="288"/>
    </row>
    <row r="147" ht="14.25" customHeight="1">
      <c r="A147" s="293"/>
      <c r="B147" s="293"/>
      <c r="C147" s="293"/>
      <c r="D147" s="293"/>
      <c r="E147" s="293"/>
      <c r="F147" s="293"/>
      <c r="G147" s="293"/>
      <c r="H147" s="293"/>
      <c r="I147" s="293"/>
      <c r="J147" s="293"/>
      <c r="K147" s="293"/>
      <c r="L147" s="293"/>
      <c r="M147" s="293"/>
      <c r="N147" s="293"/>
      <c r="O147" s="293"/>
      <c r="P147" s="293"/>
      <c r="Q147" s="293"/>
      <c r="R147" s="293"/>
      <c r="S147" s="293"/>
      <c r="T147" s="293"/>
      <c r="U147" s="293"/>
      <c r="V147" s="293"/>
      <c r="W147" s="293"/>
      <c r="X147" s="293"/>
      <c r="Y147" s="293"/>
      <c r="Z147" s="293"/>
      <c r="AA147" s="293"/>
      <c r="AB147" s="293"/>
      <c r="AC147" s="293"/>
      <c r="AD147" s="293"/>
      <c r="AE147" s="293"/>
      <c r="AF147" s="293"/>
      <c r="AG147" s="293"/>
      <c r="AH147" s="293"/>
      <c r="AI147" s="293"/>
      <c r="AJ147" s="293"/>
      <c r="AK147" s="293"/>
      <c r="AL147" s="293"/>
      <c r="AM147" s="293"/>
      <c r="AN147" s="293"/>
      <c r="AO147" s="293"/>
      <c r="AP147" s="293"/>
      <c r="AQ147" s="293"/>
      <c r="AR147" s="293"/>
      <c r="AS147" s="293"/>
      <c r="AT147" s="293"/>
      <c r="AU147" s="293"/>
      <c r="AV147" s="293"/>
      <c r="AW147" s="293"/>
      <c r="AX147" s="293"/>
      <c r="AY147" s="293"/>
      <c r="AZ147" s="293"/>
      <c r="BA147" s="293"/>
      <c r="BB147" s="293"/>
      <c r="BC147" s="293"/>
      <c r="BD147" s="293"/>
      <c r="BE147" s="293"/>
      <c r="BF147" s="293"/>
      <c r="BG147" s="293"/>
      <c r="BH147" s="293"/>
      <c r="BI147" s="293"/>
      <c r="BJ147" s="293"/>
      <c r="BK147" s="293"/>
      <c r="BL147" s="293"/>
      <c r="BM147" s="293"/>
      <c r="BN147" s="293"/>
      <c r="BO147" s="293"/>
      <c r="BP147" s="293"/>
      <c r="BQ147" s="293"/>
      <c r="BR147" s="293"/>
      <c r="BS147" s="293"/>
      <c r="BT147" s="293"/>
      <c r="BU147" s="293"/>
      <c r="BV147" s="293"/>
      <c r="BW147" s="293"/>
      <c r="BX147" s="293"/>
      <c r="BY147" s="293"/>
      <c r="BZ147" s="293"/>
      <c r="CA147" s="293"/>
      <c r="CB147" s="293"/>
      <c r="CC147" s="293"/>
      <c r="CD147" s="293"/>
      <c r="CE147" s="293"/>
      <c r="CF147" s="293"/>
      <c r="CG147" s="293"/>
      <c r="CH147" s="293"/>
      <c r="CI147" s="293"/>
      <c r="CJ147" s="293"/>
      <c r="CK147" s="293"/>
      <c r="CL147" s="293"/>
      <c r="CM147" s="293"/>
      <c r="CN147" s="293"/>
      <c r="CO147" s="293"/>
      <c r="CP147" s="293"/>
      <c r="CQ147" s="293"/>
      <c r="CR147" s="293"/>
      <c r="CS147" s="293"/>
      <c r="CT147" s="293"/>
      <c r="CU147" s="293"/>
      <c r="CV147" s="293"/>
      <c r="CW147" s="293"/>
      <c r="CX147" s="293"/>
      <c r="CY147" s="293"/>
      <c r="CZ147" s="293"/>
      <c r="DA147" s="293"/>
      <c r="DB147" s="293"/>
      <c r="DC147" s="293"/>
      <c r="DD147" s="293"/>
      <c r="DE147" s="293"/>
      <c r="DF147" s="293"/>
      <c r="DG147" s="288"/>
      <c r="DH147" s="288"/>
      <c r="DI147" s="288"/>
      <c r="DJ147" s="288"/>
      <c r="DK147" s="288"/>
      <c r="DL147" s="288"/>
      <c r="DM147" s="288"/>
      <c r="DN147" s="288"/>
      <c r="DO147" s="288"/>
      <c r="DP147" s="288"/>
      <c r="DQ147" s="288"/>
      <c r="DR147" s="288"/>
      <c r="DS147" s="288"/>
      <c r="DT147" s="288"/>
      <c r="DU147" s="288"/>
      <c r="DV147" s="288"/>
      <c r="DW147" s="288"/>
      <c r="DX147" s="288"/>
    </row>
    <row r="148" ht="14.25" customHeight="1">
      <c r="A148" s="293"/>
      <c r="B148" s="293"/>
      <c r="C148" s="293"/>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3"/>
      <c r="AR148" s="293"/>
      <c r="AS148" s="293"/>
      <c r="AT148" s="293"/>
      <c r="AU148" s="293"/>
      <c r="AV148" s="293"/>
      <c r="AW148" s="293"/>
      <c r="AX148" s="293"/>
      <c r="AY148" s="293"/>
      <c r="AZ148" s="293"/>
      <c r="BA148" s="293"/>
      <c r="BB148" s="293"/>
      <c r="BC148" s="293"/>
      <c r="BD148" s="293"/>
      <c r="BE148" s="293"/>
      <c r="BF148" s="293"/>
      <c r="BG148" s="293"/>
      <c r="BH148" s="293"/>
      <c r="BI148" s="293"/>
      <c r="BJ148" s="293"/>
      <c r="BK148" s="293"/>
      <c r="BL148" s="293"/>
      <c r="BM148" s="293"/>
      <c r="BN148" s="293"/>
      <c r="BO148" s="293"/>
      <c r="BP148" s="293"/>
      <c r="BQ148" s="293"/>
      <c r="BR148" s="293"/>
      <c r="BS148" s="293"/>
      <c r="BT148" s="293"/>
      <c r="BU148" s="293"/>
      <c r="BV148" s="293"/>
      <c r="BW148" s="293"/>
      <c r="BX148" s="293"/>
      <c r="BY148" s="293"/>
      <c r="BZ148" s="293"/>
      <c r="CA148" s="293"/>
      <c r="CB148" s="293"/>
      <c r="CC148" s="293"/>
      <c r="CD148" s="293"/>
      <c r="CE148" s="293"/>
      <c r="CF148" s="293"/>
      <c r="CG148" s="293"/>
      <c r="CH148" s="293"/>
      <c r="CI148" s="293"/>
      <c r="CJ148" s="293"/>
      <c r="CK148" s="293"/>
      <c r="CL148" s="293"/>
      <c r="CM148" s="293"/>
      <c r="CN148" s="293"/>
      <c r="CO148" s="293"/>
      <c r="CP148" s="293"/>
      <c r="CQ148" s="293"/>
      <c r="CR148" s="293"/>
      <c r="CS148" s="293"/>
      <c r="CT148" s="293"/>
      <c r="CU148" s="293"/>
      <c r="CV148" s="293"/>
      <c r="CW148" s="293"/>
      <c r="CX148" s="293"/>
      <c r="CY148" s="293"/>
      <c r="CZ148" s="293"/>
      <c r="DA148" s="293"/>
      <c r="DB148" s="293"/>
      <c r="DC148" s="293"/>
      <c r="DD148" s="293"/>
      <c r="DE148" s="293"/>
      <c r="DF148" s="293"/>
      <c r="DG148" s="288"/>
      <c r="DH148" s="288"/>
      <c r="DI148" s="288"/>
      <c r="DJ148" s="288"/>
      <c r="DK148" s="288"/>
      <c r="DL148" s="288"/>
      <c r="DM148" s="288"/>
      <c r="DN148" s="288"/>
      <c r="DO148" s="288"/>
      <c r="DP148" s="288"/>
      <c r="DQ148" s="288"/>
      <c r="DR148" s="288"/>
      <c r="DS148" s="288"/>
      <c r="DT148" s="288"/>
      <c r="DU148" s="288"/>
      <c r="DV148" s="288"/>
      <c r="DW148" s="288"/>
      <c r="DX148" s="288"/>
    </row>
    <row r="149" ht="14.25" customHeight="1">
      <c r="A149" s="293"/>
      <c r="B149" s="293"/>
      <c r="C149" s="293"/>
      <c r="D149" s="293"/>
      <c r="E149" s="293"/>
      <c r="F149" s="293"/>
      <c r="G149" s="293"/>
      <c r="H149" s="293"/>
      <c r="I149" s="293"/>
      <c r="J149" s="293"/>
      <c r="K149" s="293"/>
      <c r="L149" s="293"/>
      <c r="M149" s="293"/>
      <c r="N149" s="293"/>
      <c r="O149" s="293"/>
      <c r="P149" s="293"/>
      <c r="Q149" s="293"/>
      <c r="R149" s="293"/>
      <c r="S149" s="293"/>
      <c r="T149" s="293"/>
      <c r="U149" s="293"/>
      <c r="V149" s="293"/>
      <c r="W149" s="293"/>
      <c r="X149" s="293"/>
      <c r="Y149" s="293"/>
      <c r="Z149" s="293"/>
      <c r="AA149" s="293"/>
      <c r="AB149" s="293"/>
      <c r="AC149" s="293"/>
      <c r="AD149" s="293"/>
      <c r="AE149" s="293"/>
      <c r="AF149" s="293"/>
      <c r="AG149" s="293"/>
      <c r="AH149" s="293"/>
      <c r="AI149" s="293"/>
      <c r="AJ149" s="293"/>
      <c r="AK149" s="293"/>
      <c r="AL149" s="293"/>
      <c r="AM149" s="293"/>
      <c r="AN149" s="293"/>
      <c r="AO149" s="293"/>
      <c r="AP149" s="293"/>
      <c r="AQ149" s="293"/>
      <c r="AR149" s="293"/>
      <c r="AS149" s="293"/>
      <c r="AT149" s="293"/>
      <c r="AU149" s="293"/>
      <c r="AV149" s="293"/>
      <c r="AW149" s="293"/>
      <c r="AX149" s="293"/>
      <c r="AY149" s="293"/>
      <c r="AZ149" s="293"/>
      <c r="BA149" s="293"/>
      <c r="BB149" s="293"/>
      <c r="BC149" s="293"/>
      <c r="BD149" s="293"/>
      <c r="BE149" s="293"/>
      <c r="BF149" s="293"/>
      <c r="BG149" s="293"/>
      <c r="BH149" s="293"/>
      <c r="BI149" s="293"/>
      <c r="BJ149" s="293"/>
      <c r="BK149" s="293"/>
      <c r="BL149" s="293"/>
      <c r="BM149" s="293"/>
      <c r="BN149" s="293"/>
      <c r="BO149" s="293"/>
      <c r="BP149" s="293"/>
      <c r="BQ149" s="293"/>
      <c r="BR149" s="293"/>
      <c r="BS149" s="293"/>
      <c r="BT149" s="293"/>
      <c r="BU149" s="293"/>
      <c r="BV149" s="293"/>
      <c r="BW149" s="293"/>
      <c r="BX149" s="293"/>
      <c r="BY149" s="293"/>
      <c r="BZ149" s="293"/>
      <c r="CA149" s="293"/>
      <c r="CB149" s="293"/>
      <c r="CC149" s="293"/>
      <c r="CD149" s="293"/>
      <c r="CE149" s="293"/>
      <c r="CF149" s="293"/>
      <c r="CG149" s="293"/>
      <c r="CH149" s="293"/>
      <c r="CI149" s="293"/>
      <c r="CJ149" s="293"/>
      <c r="CK149" s="293"/>
      <c r="CL149" s="293"/>
      <c r="CM149" s="293"/>
      <c r="CN149" s="293"/>
      <c r="CO149" s="293"/>
      <c r="CP149" s="293"/>
      <c r="CQ149" s="293"/>
      <c r="CR149" s="293"/>
      <c r="CS149" s="293"/>
      <c r="CT149" s="293"/>
      <c r="CU149" s="293"/>
      <c r="CV149" s="293"/>
      <c r="CW149" s="293"/>
      <c r="CX149" s="293"/>
      <c r="CY149" s="293"/>
      <c r="CZ149" s="293"/>
      <c r="DA149" s="293"/>
      <c r="DB149" s="293"/>
      <c r="DC149" s="293"/>
      <c r="DD149" s="293"/>
      <c r="DE149" s="293"/>
      <c r="DF149" s="293"/>
      <c r="DG149" s="288"/>
      <c r="DH149" s="288"/>
      <c r="DI149" s="288"/>
      <c r="DJ149" s="288"/>
      <c r="DK149" s="288"/>
      <c r="DL149" s="288"/>
      <c r="DM149" s="288"/>
      <c r="DN149" s="288"/>
      <c r="DO149" s="288"/>
      <c r="DP149" s="288"/>
      <c r="DQ149" s="288"/>
      <c r="DR149" s="288"/>
      <c r="DS149" s="288"/>
      <c r="DT149" s="288"/>
      <c r="DU149" s="288"/>
      <c r="DV149" s="288"/>
      <c r="DW149" s="288"/>
      <c r="DX149" s="288"/>
    </row>
    <row r="150" ht="14.25" customHeight="1">
      <c r="A150" s="293"/>
      <c r="B150" s="293"/>
      <c r="C150" s="293"/>
      <c r="D150" s="293"/>
      <c r="E150" s="293"/>
      <c r="F150" s="293"/>
      <c r="G150" s="293"/>
      <c r="H150" s="293"/>
      <c r="I150" s="293"/>
      <c r="J150" s="293"/>
      <c r="K150" s="293"/>
      <c r="L150" s="293"/>
      <c r="M150" s="293"/>
      <c r="N150" s="293"/>
      <c r="O150" s="293"/>
      <c r="P150" s="293"/>
      <c r="Q150" s="293"/>
      <c r="R150" s="293"/>
      <c r="S150" s="293"/>
      <c r="T150" s="293"/>
      <c r="U150" s="293"/>
      <c r="V150" s="293"/>
      <c r="W150" s="293"/>
      <c r="X150" s="293"/>
      <c r="Y150" s="293"/>
      <c r="Z150" s="293"/>
      <c r="AA150" s="293"/>
      <c r="AB150" s="293"/>
      <c r="AC150" s="293"/>
      <c r="AD150" s="293"/>
      <c r="AE150" s="293"/>
      <c r="AF150" s="293"/>
      <c r="AG150" s="293"/>
      <c r="AH150" s="293"/>
      <c r="AI150" s="293"/>
      <c r="AJ150" s="293"/>
      <c r="AK150" s="293"/>
      <c r="AL150" s="293"/>
      <c r="AM150" s="293"/>
      <c r="AN150" s="293"/>
      <c r="AO150" s="293"/>
      <c r="AP150" s="293"/>
      <c r="AQ150" s="293"/>
      <c r="AR150" s="293"/>
      <c r="AS150" s="293"/>
      <c r="AT150" s="293"/>
      <c r="AU150" s="293"/>
      <c r="AV150" s="293"/>
      <c r="AW150" s="293"/>
      <c r="AX150" s="293"/>
      <c r="AY150" s="293"/>
      <c r="AZ150" s="293"/>
      <c r="BA150" s="293"/>
      <c r="BB150" s="293"/>
      <c r="BC150" s="293"/>
      <c r="BD150" s="293"/>
      <c r="BE150" s="293"/>
      <c r="BF150" s="293"/>
      <c r="BG150" s="293"/>
      <c r="BH150" s="293"/>
      <c r="BI150" s="293"/>
      <c r="BJ150" s="293"/>
      <c r="BK150" s="293"/>
      <c r="BL150" s="293"/>
      <c r="BM150" s="293"/>
      <c r="BN150" s="293"/>
      <c r="BO150" s="293"/>
      <c r="BP150" s="293"/>
      <c r="BQ150" s="293"/>
      <c r="BR150" s="293"/>
      <c r="BS150" s="293"/>
      <c r="BT150" s="293"/>
      <c r="BU150" s="293"/>
      <c r="BV150" s="293"/>
      <c r="BW150" s="293"/>
      <c r="BX150" s="293"/>
      <c r="BY150" s="293"/>
      <c r="BZ150" s="293"/>
      <c r="CA150" s="293"/>
      <c r="CB150" s="293"/>
      <c r="CC150" s="293"/>
      <c r="CD150" s="293"/>
      <c r="CE150" s="293"/>
      <c r="CF150" s="293"/>
      <c r="CG150" s="293"/>
      <c r="CH150" s="293"/>
      <c r="CI150" s="293"/>
      <c r="CJ150" s="293"/>
      <c r="CK150" s="293"/>
      <c r="CL150" s="293"/>
      <c r="CM150" s="293"/>
      <c r="CN150" s="293"/>
      <c r="CO150" s="293"/>
      <c r="CP150" s="293"/>
      <c r="CQ150" s="293"/>
      <c r="CR150" s="293"/>
      <c r="CS150" s="293"/>
      <c r="CT150" s="293"/>
      <c r="CU150" s="293"/>
      <c r="CV150" s="293"/>
      <c r="CW150" s="293"/>
      <c r="CX150" s="293"/>
      <c r="CY150" s="293"/>
      <c r="CZ150" s="293"/>
      <c r="DA150" s="293"/>
      <c r="DB150" s="293"/>
      <c r="DC150" s="293"/>
      <c r="DD150" s="293"/>
      <c r="DE150" s="293"/>
      <c r="DF150" s="293"/>
      <c r="DG150" s="288"/>
      <c r="DH150" s="288"/>
      <c r="DI150" s="288"/>
      <c r="DJ150" s="288"/>
      <c r="DK150" s="288"/>
      <c r="DL150" s="288"/>
      <c r="DM150" s="288"/>
      <c r="DN150" s="288"/>
      <c r="DO150" s="288"/>
      <c r="DP150" s="288"/>
      <c r="DQ150" s="288"/>
      <c r="DR150" s="288"/>
      <c r="DS150" s="288"/>
      <c r="DT150" s="288"/>
      <c r="DU150" s="288"/>
      <c r="DV150" s="288"/>
      <c r="DW150" s="288"/>
      <c r="DX150" s="288"/>
    </row>
    <row r="151" ht="14.25" customHeight="1">
      <c r="A151" s="293"/>
      <c r="B151" s="293"/>
      <c r="C151" s="293"/>
      <c r="D151" s="293"/>
      <c r="E151" s="293"/>
      <c r="F151" s="293"/>
      <c r="G151" s="293"/>
      <c r="H151" s="293"/>
      <c r="I151" s="293"/>
      <c r="J151" s="293"/>
      <c r="K151" s="293"/>
      <c r="L151" s="293"/>
      <c r="M151" s="293"/>
      <c r="N151" s="293"/>
      <c r="O151" s="293"/>
      <c r="P151" s="293"/>
      <c r="Q151" s="293"/>
      <c r="R151" s="293"/>
      <c r="S151" s="293"/>
      <c r="T151" s="293"/>
      <c r="U151" s="293"/>
      <c r="V151" s="293"/>
      <c r="W151" s="293"/>
      <c r="X151" s="293"/>
      <c r="Y151" s="293"/>
      <c r="Z151" s="293"/>
      <c r="AA151" s="293"/>
      <c r="AB151" s="293"/>
      <c r="AC151" s="293"/>
      <c r="AD151" s="293"/>
      <c r="AE151" s="293"/>
      <c r="AF151" s="293"/>
      <c r="AG151" s="293"/>
      <c r="AH151" s="293"/>
      <c r="AI151" s="293"/>
      <c r="AJ151" s="293"/>
      <c r="AK151" s="293"/>
      <c r="AL151" s="293"/>
      <c r="AM151" s="293"/>
      <c r="AN151" s="293"/>
      <c r="AO151" s="293"/>
      <c r="AP151" s="293"/>
      <c r="AQ151" s="293"/>
      <c r="AR151" s="293"/>
      <c r="AS151" s="293"/>
      <c r="AT151" s="293"/>
      <c r="AU151" s="293"/>
      <c r="AV151" s="293"/>
      <c r="AW151" s="293"/>
      <c r="AX151" s="293"/>
      <c r="AY151" s="293"/>
      <c r="AZ151" s="293"/>
      <c r="BA151" s="293"/>
      <c r="BB151" s="293"/>
      <c r="BC151" s="293"/>
      <c r="BD151" s="293"/>
      <c r="BE151" s="293"/>
      <c r="BF151" s="293"/>
      <c r="BG151" s="293"/>
      <c r="BH151" s="293"/>
      <c r="BI151" s="293"/>
      <c r="BJ151" s="293"/>
      <c r="BK151" s="293"/>
      <c r="BL151" s="293"/>
      <c r="BM151" s="293"/>
      <c r="BN151" s="293"/>
      <c r="BO151" s="293"/>
      <c r="BP151" s="293"/>
      <c r="BQ151" s="293"/>
      <c r="BR151" s="293"/>
      <c r="BS151" s="293"/>
      <c r="BT151" s="293"/>
      <c r="BU151" s="293"/>
      <c r="BV151" s="293"/>
      <c r="BW151" s="293"/>
      <c r="BX151" s="293"/>
      <c r="BY151" s="293"/>
      <c r="BZ151" s="293"/>
      <c r="CA151" s="293"/>
      <c r="CB151" s="293"/>
      <c r="CC151" s="293"/>
      <c r="CD151" s="293"/>
      <c r="CE151" s="293"/>
      <c r="CF151" s="293"/>
      <c r="CG151" s="293"/>
      <c r="CH151" s="293"/>
      <c r="CI151" s="293"/>
      <c r="CJ151" s="293"/>
      <c r="CK151" s="293"/>
      <c r="CL151" s="293"/>
      <c r="CM151" s="293"/>
      <c r="CN151" s="293"/>
      <c r="CO151" s="293"/>
      <c r="CP151" s="293"/>
      <c r="CQ151" s="293"/>
      <c r="CR151" s="293"/>
      <c r="CS151" s="293"/>
      <c r="CT151" s="293"/>
      <c r="CU151" s="293"/>
      <c r="CV151" s="293"/>
      <c r="CW151" s="293"/>
      <c r="CX151" s="293"/>
      <c r="CY151" s="293"/>
      <c r="CZ151" s="293"/>
      <c r="DA151" s="293"/>
      <c r="DB151" s="293"/>
      <c r="DC151" s="293"/>
      <c r="DD151" s="293"/>
      <c r="DE151" s="293"/>
      <c r="DF151" s="293"/>
      <c r="DG151" s="288"/>
      <c r="DH151" s="288"/>
      <c r="DI151" s="288"/>
      <c r="DJ151" s="288"/>
      <c r="DK151" s="288"/>
      <c r="DL151" s="288"/>
      <c r="DM151" s="288"/>
      <c r="DN151" s="288"/>
      <c r="DO151" s="288"/>
      <c r="DP151" s="288"/>
      <c r="DQ151" s="288"/>
      <c r="DR151" s="288"/>
      <c r="DS151" s="288"/>
      <c r="DT151" s="288"/>
      <c r="DU151" s="288"/>
      <c r="DV151" s="288"/>
      <c r="DW151" s="288"/>
      <c r="DX151" s="288"/>
    </row>
    <row r="152" ht="14.25" customHeight="1">
      <c r="A152" s="293"/>
      <c r="B152" s="293"/>
      <c r="C152" s="293"/>
      <c r="D152" s="293"/>
      <c r="E152" s="293"/>
      <c r="F152" s="293"/>
      <c r="G152" s="293"/>
      <c r="H152" s="293"/>
      <c r="I152" s="293"/>
      <c r="J152" s="293"/>
      <c r="K152" s="293"/>
      <c r="L152" s="293"/>
      <c r="M152" s="293"/>
      <c r="N152" s="293"/>
      <c r="O152" s="293"/>
      <c r="P152" s="293"/>
      <c r="Q152" s="293"/>
      <c r="R152" s="293"/>
      <c r="S152" s="293"/>
      <c r="T152" s="293"/>
      <c r="U152" s="293"/>
      <c r="V152" s="293"/>
      <c r="W152" s="293"/>
      <c r="X152" s="293"/>
      <c r="Y152" s="293"/>
      <c r="Z152" s="293"/>
      <c r="AA152" s="293"/>
      <c r="AB152" s="293"/>
      <c r="AC152" s="293"/>
      <c r="AD152" s="293"/>
      <c r="AE152" s="293"/>
      <c r="AF152" s="293"/>
      <c r="AG152" s="293"/>
      <c r="AH152" s="293"/>
      <c r="AI152" s="293"/>
      <c r="AJ152" s="293"/>
      <c r="AK152" s="293"/>
      <c r="AL152" s="293"/>
      <c r="AM152" s="293"/>
      <c r="AN152" s="293"/>
      <c r="AO152" s="293"/>
      <c r="AP152" s="293"/>
      <c r="AQ152" s="293"/>
      <c r="AR152" s="293"/>
      <c r="AS152" s="293"/>
      <c r="AT152" s="293"/>
      <c r="AU152" s="293"/>
      <c r="AV152" s="293"/>
      <c r="AW152" s="293"/>
      <c r="AX152" s="293"/>
      <c r="AY152" s="293"/>
      <c r="AZ152" s="293"/>
      <c r="BA152" s="293"/>
      <c r="BB152" s="293"/>
      <c r="BC152" s="293"/>
      <c r="BD152" s="293"/>
      <c r="BE152" s="293"/>
      <c r="BF152" s="293"/>
      <c r="BG152" s="293"/>
      <c r="BH152" s="293"/>
      <c r="BI152" s="293"/>
      <c r="BJ152" s="293"/>
      <c r="BK152" s="293"/>
      <c r="BL152" s="293"/>
      <c r="BM152" s="293"/>
      <c r="BN152" s="293"/>
      <c r="BO152" s="293"/>
      <c r="BP152" s="293"/>
      <c r="BQ152" s="293"/>
      <c r="BR152" s="293"/>
      <c r="BS152" s="293"/>
      <c r="BT152" s="293"/>
      <c r="BU152" s="293"/>
      <c r="BV152" s="293"/>
      <c r="BW152" s="293"/>
      <c r="BX152" s="293"/>
      <c r="BY152" s="293"/>
      <c r="BZ152" s="293"/>
      <c r="CA152" s="293"/>
      <c r="CB152" s="293"/>
      <c r="CC152" s="293"/>
      <c r="CD152" s="293"/>
      <c r="CE152" s="293"/>
      <c r="CF152" s="293"/>
      <c r="CG152" s="293"/>
      <c r="CH152" s="293"/>
      <c r="CI152" s="293"/>
      <c r="CJ152" s="293"/>
      <c r="CK152" s="293"/>
      <c r="CL152" s="293"/>
      <c r="CM152" s="293"/>
      <c r="CN152" s="293"/>
      <c r="CO152" s="293"/>
      <c r="CP152" s="293"/>
      <c r="CQ152" s="293"/>
      <c r="CR152" s="293"/>
      <c r="CS152" s="293"/>
      <c r="CT152" s="293"/>
      <c r="CU152" s="293"/>
      <c r="CV152" s="293"/>
      <c r="CW152" s="293"/>
      <c r="CX152" s="293"/>
      <c r="CY152" s="293"/>
      <c r="CZ152" s="293"/>
      <c r="DA152" s="293"/>
      <c r="DB152" s="293"/>
      <c r="DC152" s="293"/>
      <c r="DD152" s="293"/>
      <c r="DE152" s="293"/>
      <c r="DF152" s="293"/>
      <c r="DG152" s="288"/>
      <c r="DH152" s="288"/>
      <c r="DI152" s="288"/>
      <c r="DJ152" s="288"/>
      <c r="DK152" s="288"/>
      <c r="DL152" s="288"/>
      <c r="DM152" s="288"/>
      <c r="DN152" s="288"/>
      <c r="DO152" s="288"/>
      <c r="DP152" s="288"/>
      <c r="DQ152" s="288"/>
      <c r="DR152" s="288"/>
      <c r="DS152" s="288"/>
      <c r="DT152" s="288"/>
      <c r="DU152" s="288"/>
      <c r="DV152" s="288"/>
      <c r="DW152" s="288"/>
      <c r="DX152" s="288"/>
    </row>
    <row r="153" ht="14.25" customHeight="1">
      <c r="A153" s="293"/>
      <c r="B153" s="293"/>
      <c r="C153" s="293"/>
      <c r="D153" s="293"/>
      <c r="E153" s="293"/>
      <c r="F153" s="293"/>
      <c r="G153" s="293"/>
      <c r="H153" s="293"/>
      <c r="I153" s="293"/>
      <c r="J153" s="293"/>
      <c r="K153" s="293"/>
      <c r="L153" s="293"/>
      <c r="M153" s="293"/>
      <c r="N153" s="293"/>
      <c r="O153" s="293"/>
      <c r="P153" s="293"/>
      <c r="Q153" s="293"/>
      <c r="R153" s="293"/>
      <c r="S153" s="293"/>
      <c r="T153" s="293"/>
      <c r="U153" s="293"/>
      <c r="V153" s="293"/>
      <c r="W153" s="293"/>
      <c r="X153" s="293"/>
      <c r="Y153" s="293"/>
      <c r="Z153" s="293"/>
      <c r="AA153" s="293"/>
      <c r="AB153" s="293"/>
      <c r="AC153" s="293"/>
      <c r="AD153" s="293"/>
      <c r="AE153" s="293"/>
      <c r="AF153" s="293"/>
      <c r="AG153" s="293"/>
      <c r="AH153" s="293"/>
      <c r="AI153" s="293"/>
      <c r="AJ153" s="293"/>
      <c r="AK153" s="293"/>
      <c r="AL153" s="293"/>
      <c r="AM153" s="293"/>
      <c r="AN153" s="293"/>
      <c r="AO153" s="293"/>
      <c r="AP153" s="293"/>
      <c r="AQ153" s="293"/>
      <c r="AR153" s="293"/>
      <c r="AS153" s="293"/>
      <c r="AT153" s="293"/>
      <c r="AU153" s="293"/>
      <c r="AV153" s="293"/>
      <c r="AW153" s="293"/>
      <c r="AX153" s="293"/>
      <c r="AY153" s="293"/>
      <c r="AZ153" s="293"/>
      <c r="BA153" s="293"/>
      <c r="BB153" s="293"/>
      <c r="BC153" s="293"/>
      <c r="BD153" s="293"/>
      <c r="BE153" s="293"/>
      <c r="BF153" s="293"/>
      <c r="BG153" s="293"/>
      <c r="BH153" s="293"/>
      <c r="BI153" s="293"/>
      <c r="BJ153" s="293"/>
      <c r="BK153" s="293"/>
      <c r="BL153" s="293"/>
      <c r="BM153" s="293"/>
      <c r="BN153" s="293"/>
      <c r="BO153" s="293"/>
      <c r="BP153" s="293"/>
      <c r="BQ153" s="293"/>
      <c r="BR153" s="293"/>
      <c r="BS153" s="293"/>
      <c r="BT153" s="293"/>
      <c r="BU153" s="293"/>
      <c r="BV153" s="293"/>
      <c r="BW153" s="293"/>
      <c r="BX153" s="293"/>
      <c r="BY153" s="293"/>
      <c r="BZ153" s="293"/>
      <c r="CA153" s="293"/>
      <c r="CB153" s="293"/>
      <c r="CC153" s="293"/>
      <c r="CD153" s="293"/>
      <c r="CE153" s="293"/>
      <c r="CF153" s="293"/>
      <c r="CG153" s="293"/>
      <c r="CH153" s="293"/>
      <c r="CI153" s="293"/>
      <c r="CJ153" s="293"/>
      <c r="CK153" s="293"/>
      <c r="CL153" s="293"/>
      <c r="CM153" s="293"/>
      <c r="CN153" s="293"/>
      <c r="CO153" s="293"/>
      <c r="CP153" s="293"/>
      <c r="CQ153" s="293"/>
      <c r="CR153" s="293"/>
      <c r="CS153" s="293"/>
      <c r="CT153" s="293"/>
      <c r="CU153" s="293"/>
      <c r="CV153" s="293"/>
      <c r="CW153" s="293"/>
      <c r="CX153" s="293"/>
      <c r="CY153" s="293"/>
      <c r="CZ153" s="293"/>
      <c r="DA153" s="293"/>
      <c r="DB153" s="293"/>
      <c r="DC153" s="293"/>
      <c r="DD153" s="293"/>
      <c r="DE153" s="293"/>
      <c r="DF153" s="293"/>
      <c r="DG153" s="288"/>
      <c r="DH153" s="288"/>
      <c r="DI153" s="288"/>
      <c r="DJ153" s="288"/>
      <c r="DK153" s="288"/>
      <c r="DL153" s="288"/>
      <c r="DM153" s="288"/>
      <c r="DN153" s="288"/>
      <c r="DO153" s="288"/>
      <c r="DP153" s="288"/>
      <c r="DQ153" s="288"/>
      <c r="DR153" s="288"/>
      <c r="DS153" s="288"/>
      <c r="DT153" s="288"/>
      <c r="DU153" s="288"/>
      <c r="DV153" s="288"/>
      <c r="DW153" s="288"/>
      <c r="DX153" s="288"/>
    </row>
    <row r="154" ht="14.25" customHeight="1">
      <c r="A154" s="293"/>
      <c r="B154" s="293"/>
      <c r="C154" s="293"/>
      <c r="D154" s="293"/>
      <c r="E154" s="293"/>
      <c r="F154" s="293"/>
      <c r="G154" s="293"/>
      <c r="H154" s="293"/>
      <c r="I154" s="293"/>
      <c r="J154" s="293"/>
      <c r="K154" s="293"/>
      <c r="L154" s="293"/>
      <c r="M154" s="293"/>
      <c r="N154" s="293"/>
      <c r="O154" s="293"/>
      <c r="P154" s="293"/>
      <c r="Q154" s="293"/>
      <c r="R154" s="293"/>
      <c r="S154" s="293"/>
      <c r="T154" s="293"/>
      <c r="U154" s="293"/>
      <c r="V154" s="293"/>
      <c r="W154" s="293"/>
      <c r="X154" s="293"/>
      <c r="Y154" s="293"/>
      <c r="Z154" s="293"/>
      <c r="AA154" s="293"/>
      <c r="AB154" s="293"/>
      <c r="AC154" s="293"/>
      <c r="AD154" s="293"/>
      <c r="AE154" s="293"/>
      <c r="AF154" s="293"/>
      <c r="AG154" s="293"/>
      <c r="AH154" s="293"/>
      <c r="AI154" s="293"/>
      <c r="AJ154" s="293"/>
      <c r="AK154" s="293"/>
      <c r="AL154" s="293"/>
      <c r="AM154" s="293"/>
      <c r="AN154" s="293"/>
      <c r="AO154" s="293"/>
      <c r="AP154" s="293"/>
      <c r="AQ154" s="293"/>
      <c r="AR154" s="293"/>
      <c r="AS154" s="293"/>
      <c r="AT154" s="293"/>
      <c r="AU154" s="293"/>
      <c r="AV154" s="293"/>
      <c r="AW154" s="293"/>
      <c r="AX154" s="293"/>
      <c r="AY154" s="293"/>
      <c r="AZ154" s="293"/>
      <c r="BA154" s="293"/>
      <c r="BB154" s="293"/>
      <c r="BC154" s="293"/>
      <c r="BD154" s="293"/>
      <c r="BE154" s="293"/>
      <c r="BF154" s="293"/>
      <c r="BG154" s="293"/>
      <c r="BH154" s="293"/>
      <c r="BI154" s="293"/>
      <c r="BJ154" s="293"/>
      <c r="BK154" s="293"/>
      <c r="BL154" s="293"/>
      <c r="BM154" s="293"/>
      <c r="BN154" s="293"/>
      <c r="BO154" s="293"/>
      <c r="BP154" s="293"/>
      <c r="BQ154" s="293"/>
      <c r="BR154" s="293"/>
      <c r="BS154" s="293"/>
      <c r="BT154" s="293"/>
      <c r="BU154" s="293"/>
      <c r="BV154" s="293"/>
      <c r="BW154" s="293"/>
      <c r="BX154" s="293"/>
      <c r="BY154" s="293"/>
      <c r="BZ154" s="293"/>
      <c r="CA154" s="293"/>
      <c r="CB154" s="293"/>
      <c r="CC154" s="293"/>
      <c r="CD154" s="293"/>
      <c r="CE154" s="293"/>
      <c r="CF154" s="293"/>
      <c r="CG154" s="293"/>
      <c r="CH154" s="293"/>
      <c r="CI154" s="293"/>
      <c r="CJ154" s="293"/>
      <c r="CK154" s="293"/>
      <c r="CL154" s="293"/>
      <c r="CM154" s="293"/>
      <c r="CN154" s="293"/>
      <c r="CO154" s="293"/>
      <c r="CP154" s="293"/>
      <c r="CQ154" s="293"/>
      <c r="CR154" s="293"/>
      <c r="CS154" s="293"/>
      <c r="CT154" s="293"/>
      <c r="CU154" s="293"/>
      <c r="CV154" s="293"/>
      <c r="CW154" s="293"/>
      <c r="CX154" s="293"/>
      <c r="CY154" s="293"/>
      <c r="CZ154" s="293"/>
      <c r="DA154" s="293"/>
      <c r="DB154" s="293"/>
      <c r="DC154" s="293"/>
      <c r="DD154" s="293"/>
      <c r="DE154" s="293"/>
      <c r="DF154" s="293"/>
      <c r="DG154" s="288"/>
      <c r="DH154" s="288"/>
      <c r="DI154" s="288"/>
      <c r="DJ154" s="288"/>
      <c r="DK154" s="288"/>
      <c r="DL154" s="288"/>
      <c r="DM154" s="288"/>
      <c r="DN154" s="288"/>
      <c r="DO154" s="288"/>
      <c r="DP154" s="288"/>
      <c r="DQ154" s="288"/>
      <c r="DR154" s="288"/>
      <c r="DS154" s="288"/>
      <c r="DT154" s="288"/>
      <c r="DU154" s="288"/>
      <c r="DV154" s="288"/>
      <c r="DW154" s="288"/>
      <c r="DX154" s="288"/>
    </row>
    <row r="155" ht="14.25" customHeight="1">
      <c r="A155" s="293"/>
      <c r="B155" s="293"/>
      <c r="C155" s="293"/>
      <c r="D155" s="293"/>
      <c r="E155" s="293"/>
      <c r="F155" s="293"/>
      <c r="G155" s="293"/>
      <c r="H155" s="293"/>
      <c r="I155" s="293"/>
      <c r="J155" s="293"/>
      <c r="K155" s="293"/>
      <c r="L155" s="293"/>
      <c r="M155" s="293"/>
      <c r="N155" s="293"/>
      <c r="O155" s="293"/>
      <c r="P155" s="293"/>
      <c r="Q155" s="293"/>
      <c r="R155" s="293"/>
      <c r="S155" s="293"/>
      <c r="T155" s="293"/>
      <c r="U155" s="293"/>
      <c r="V155" s="293"/>
      <c r="W155" s="293"/>
      <c r="X155" s="293"/>
      <c r="Y155" s="293"/>
      <c r="Z155" s="293"/>
      <c r="AA155" s="293"/>
      <c r="AB155" s="293"/>
      <c r="AC155" s="293"/>
      <c r="AD155" s="293"/>
      <c r="AE155" s="293"/>
      <c r="AF155" s="293"/>
      <c r="AG155" s="293"/>
      <c r="AH155" s="293"/>
      <c r="AI155" s="293"/>
      <c r="AJ155" s="293"/>
      <c r="AK155" s="293"/>
      <c r="AL155" s="293"/>
      <c r="AM155" s="293"/>
      <c r="AN155" s="293"/>
      <c r="AO155" s="293"/>
      <c r="AP155" s="293"/>
      <c r="AQ155" s="293"/>
      <c r="AR155" s="293"/>
      <c r="AS155" s="293"/>
      <c r="AT155" s="293"/>
      <c r="AU155" s="293"/>
      <c r="AV155" s="293"/>
      <c r="AW155" s="293"/>
      <c r="AX155" s="293"/>
      <c r="AY155" s="293"/>
      <c r="AZ155" s="293"/>
      <c r="BA155" s="293"/>
      <c r="BB155" s="293"/>
      <c r="BC155" s="293"/>
      <c r="BD155" s="293"/>
      <c r="BE155" s="293"/>
      <c r="BF155" s="293"/>
      <c r="BG155" s="293"/>
      <c r="BH155" s="293"/>
      <c r="BI155" s="293"/>
      <c r="BJ155" s="293"/>
      <c r="BK155" s="293"/>
      <c r="BL155" s="293"/>
      <c r="BM155" s="293"/>
      <c r="BN155" s="293"/>
      <c r="BO155" s="293"/>
      <c r="BP155" s="293"/>
      <c r="BQ155" s="293"/>
      <c r="BR155" s="293"/>
      <c r="BS155" s="293"/>
      <c r="BT155" s="293"/>
      <c r="BU155" s="293"/>
      <c r="BV155" s="293"/>
      <c r="BW155" s="293"/>
      <c r="BX155" s="293"/>
      <c r="BY155" s="293"/>
      <c r="BZ155" s="293"/>
      <c r="CA155" s="293"/>
      <c r="CB155" s="293"/>
      <c r="CC155" s="293"/>
      <c r="CD155" s="293"/>
      <c r="CE155" s="293"/>
      <c r="CF155" s="293"/>
      <c r="CG155" s="293"/>
      <c r="CH155" s="293"/>
      <c r="CI155" s="293"/>
      <c r="CJ155" s="293"/>
      <c r="CK155" s="293"/>
      <c r="CL155" s="293"/>
      <c r="CM155" s="293"/>
      <c r="CN155" s="293"/>
      <c r="CO155" s="293"/>
      <c r="CP155" s="293"/>
      <c r="CQ155" s="293"/>
      <c r="CR155" s="293"/>
      <c r="CS155" s="293"/>
      <c r="CT155" s="293"/>
      <c r="CU155" s="293"/>
      <c r="CV155" s="293"/>
      <c r="CW155" s="293"/>
      <c r="CX155" s="293"/>
      <c r="CY155" s="293"/>
      <c r="CZ155" s="293"/>
      <c r="DA155" s="293"/>
      <c r="DB155" s="293"/>
      <c r="DC155" s="293"/>
      <c r="DD155" s="293"/>
      <c r="DE155" s="293"/>
      <c r="DF155" s="293"/>
      <c r="DG155" s="288"/>
      <c r="DH155" s="288"/>
      <c r="DI155" s="288"/>
      <c r="DJ155" s="288"/>
      <c r="DK155" s="288"/>
      <c r="DL155" s="288"/>
      <c r="DM155" s="288"/>
      <c r="DN155" s="288"/>
      <c r="DO155" s="288"/>
      <c r="DP155" s="288"/>
      <c r="DQ155" s="288"/>
      <c r="DR155" s="288"/>
      <c r="DS155" s="288"/>
      <c r="DT155" s="288"/>
      <c r="DU155" s="288"/>
      <c r="DV155" s="288"/>
      <c r="DW155" s="288"/>
      <c r="DX155" s="288"/>
    </row>
    <row r="156" ht="14.25" customHeight="1">
      <c r="A156" s="293"/>
      <c r="B156" s="293"/>
      <c r="C156" s="293"/>
      <c r="D156" s="293"/>
      <c r="E156" s="293"/>
      <c r="F156" s="293"/>
      <c r="G156" s="293"/>
      <c r="H156" s="293"/>
      <c r="I156" s="293"/>
      <c r="J156" s="293"/>
      <c r="K156" s="293"/>
      <c r="L156" s="293"/>
      <c r="M156" s="293"/>
      <c r="N156" s="293"/>
      <c r="O156" s="293"/>
      <c r="P156" s="293"/>
      <c r="Q156" s="293"/>
      <c r="R156" s="293"/>
      <c r="S156" s="293"/>
      <c r="T156" s="293"/>
      <c r="U156" s="293"/>
      <c r="V156" s="293"/>
      <c r="W156" s="293"/>
      <c r="X156" s="293"/>
      <c r="Y156" s="293"/>
      <c r="Z156" s="293"/>
      <c r="AA156" s="293"/>
      <c r="AB156" s="293"/>
      <c r="AC156" s="293"/>
      <c r="AD156" s="293"/>
      <c r="AE156" s="293"/>
      <c r="AF156" s="293"/>
      <c r="AG156" s="293"/>
      <c r="AH156" s="293"/>
      <c r="AI156" s="293"/>
      <c r="AJ156" s="293"/>
      <c r="AK156" s="293"/>
      <c r="AL156" s="293"/>
      <c r="AM156" s="293"/>
      <c r="AN156" s="293"/>
      <c r="AO156" s="293"/>
      <c r="AP156" s="293"/>
      <c r="AQ156" s="293"/>
      <c r="AR156" s="293"/>
      <c r="AS156" s="293"/>
      <c r="AT156" s="293"/>
      <c r="AU156" s="293"/>
      <c r="AV156" s="293"/>
      <c r="AW156" s="293"/>
      <c r="AX156" s="293"/>
      <c r="AY156" s="293"/>
      <c r="AZ156" s="293"/>
      <c r="BA156" s="293"/>
      <c r="BB156" s="293"/>
      <c r="BC156" s="293"/>
      <c r="BD156" s="293"/>
      <c r="BE156" s="293"/>
      <c r="BF156" s="293"/>
      <c r="BG156" s="293"/>
      <c r="BH156" s="293"/>
      <c r="BI156" s="293"/>
      <c r="BJ156" s="293"/>
      <c r="BK156" s="293"/>
      <c r="BL156" s="293"/>
      <c r="BM156" s="293"/>
      <c r="BN156" s="293"/>
      <c r="BO156" s="293"/>
      <c r="BP156" s="293"/>
      <c r="BQ156" s="293"/>
      <c r="BR156" s="293"/>
      <c r="BS156" s="293"/>
      <c r="BT156" s="293"/>
      <c r="BU156" s="293"/>
      <c r="BV156" s="293"/>
      <c r="BW156" s="293"/>
      <c r="BX156" s="293"/>
      <c r="BY156" s="293"/>
      <c r="BZ156" s="293"/>
      <c r="CA156" s="293"/>
      <c r="CB156" s="293"/>
      <c r="CC156" s="293"/>
      <c r="CD156" s="293"/>
      <c r="CE156" s="293"/>
      <c r="CF156" s="293"/>
      <c r="CG156" s="293"/>
      <c r="CH156" s="293"/>
      <c r="CI156" s="293"/>
      <c r="CJ156" s="293"/>
      <c r="CK156" s="293"/>
      <c r="CL156" s="293"/>
      <c r="CM156" s="293"/>
      <c r="CN156" s="293"/>
      <c r="CO156" s="293"/>
      <c r="CP156" s="293"/>
      <c r="CQ156" s="293"/>
      <c r="CR156" s="293"/>
      <c r="CS156" s="293"/>
      <c r="CT156" s="293"/>
      <c r="CU156" s="293"/>
      <c r="CV156" s="293"/>
      <c r="CW156" s="293"/>
      <c r="CX156" s="293"/>
      <c r="CY156" s="293"/>
      <c r="CZ156" s="293"/>
      <c r="DA156" s="293"/>
      <c r="DB156" s="293"/>
      <c r="DC156" s="293"/>
      <c r="DD156" s="293"/>
      <c r="DE156" s="293"/>
      <c r="DF156" s="293"/>
      <c r="DG156" s="288"/>
      <c r="DH156" s="288"/>
      <c r="DI156" s="288"/>
      <c r="DJ156" s="288"/>
      <c r="DK156" s="288"/>
      <c r="DL156" s="288"/>
      <c r="DM156" s="288"/>
      <c r="DN156" s="288"/>
      <c r="DO156" s="288"/>
      <c r="DP156" s="288"/>
      <c r="DQ156" s="288"/>
      <c r="DR156" s="288"/>
      <c r="DS156" s="288"/>
      <c r="DT156" s="288"/>
      <c r="DU156" s="288"/>
      <c r="DV156" s="288"/>
      <c r="DW156" s="288"/>
      <c r="DX156" s="288"/>
    </row>
    <row r="157" ht="14.25" customHeight="1">
      <c r="A157" s="293"/>
      <c r="B157" s="293"/>
      <c r="C157" s="293"/>
      <c r="D157" s="293"/>
      <c r="E157" s="293"/>
      <c r="F157" s="293"/>
      <c r="G157" s="293"/>
      <c r="H157" s="293"/>
      <c r="I157" s="293"/>
      <c r="J157" s="293"/>
      <c r="K157" s="293"/>
      <c r="L157" s="293"/>
      <c r="M157" s="293"/>
      <c r="N157" s="293"/>
      <c r="O157" s="293"/>
      <c r="P157" s="293"/>
      <c r="Q157" s="293"/>
      <c r="R157" s="293"/>
      <c r="S157" s="293"/>
      <c r="T157" s="293"/>
      <c r="U157" s="293"/>
      <c r="V157" s="293"/>
      <c r="W157" s="293"/>
      <c r="X157" s="293"/>
      <c r="Y157" s="293"/>
      <c r="Z157" s="293"/>
      <c r="AA157" s="293"/>
      <c r="AB157" s="293"/>
      <c r="AC157" s="293"/>
      <c r="AD157" s="293"/>
      <c r="AE157" s="293"/>
      <c r="AF157" s="293"/>
      <c r="AG157" s="293"/>
      <c r="AH157" s="293"/>
      <c r="AI157" s="293"/>
      <c r="AJ157" s="293"/>
      <c r="AK157" s="293"/>
      <c r="AL157" s="293"/>
      <c r="AM157" s="293"/>
      <c r="AN157" s="293"/>
      <c r="AO157" s="293"/>
      <c r="AP157" s="293"/>
      <c r="AQ157" s="293"/>
      <c r="AR157" s="293"/>
      <c r="AS157" s="293"/>
      <c r="AT157" s="293"/>
      <c r="AU157" s="293"/>
      <c r="AV157" s="293"/>
      <c r="AW157" s="293"/>
      <c r="AX157" s="293"/>
      <c r="AY157" s="293"/>
      <c r="AZ157" s="293"/>
      <c r="BA157" s="293"/>
      <c r="BB157" s="293"/>
      <c r="BC157" s="293"/>
      <c r="BD157" s="293"/>
      <c r="BE157" s="293"/>
      <c r="BF157" s="293"/>
      <c r="BG157" s="293"/>
      <c r="BH157" s="293"/>
      <c r="BI157" s="293"/>
      <c r="BJ157" s="293"/>
      <c r="BK157" s="293"/>
      <c r="BL157" s="293"/>
      <c r="BM157" s="293"/>
      <c r="BN157" s="293"/>
      <c r="BO157" s="293"/>
      <c r="BP157" s="293"/>
      <c r="BQ157" s="293"/>
      <c r="BR157" s="293"/>
      <c r="BS157" s="293"/>
      <c r="BT157" s="293"/>
      <c r="BU157" s="293"/>
      <c r="BV157" s="293"/>
      <c r="BW157" s="293"/>
      <c r="BX157" s="293"/>
      <c r="BY157" s="293"/>
      <c r="BZ157" s="293"/>
      <c r="CA157" s="293"/>
      <c r="CB157" s="293"/>
      <c r="CC157" s="293"/>
      <c r="CD157" s="293"/>
      <c r="CE157" s="293"/>
      <c r="CF157" s="293"/>
      <c r="CG157" s="293"/>
      <c r="CH157" s="293"/>
      <c r="CI157" s="293"/>
      <c r="CJ157" s="293"/>
      <c r="CK157" s="293"/>
      <c r="CL157" s="293"/>
      <c r="CM157" s="293"/>
      <c r="CN157" s="293"/>
      <c r="CO157" s="293"/>
      <c r="CP157" s="293"/>
      <c r="CQ157" s="293"/>
      <c r="CR157" s="293"/>
      <c r="CS157" s="293"/>
      <c r="CT157" s="293"/>
      <c r="CU157" s="293"/>
      <c r="CV157" s="293"/>
      <c r="CW157" s="293"/>
      <c r="CX157" s="293"/>
      <c r="CY157" s="293"/>
      <c r="CZ157" s="293"/>
      <c r="DA157" s="293"/>
      <c r="DB157" s="293"/>
      <c r="DC157" s="293"/>
      <c r="DD157" s="293"/>
      <c r="DE157" s="293"/>
      <c r="DF157" s="293"/>
      <c r="DG157" s="288"/>
      <c r="DH157" s="288"/>
      <c r="DI157" s="288"/>
      <c r="DJ157" s="288"/>
      <c r="DK157" s="288"/>
      <c r="DL157" s="288"/>
      <c r="DM157" s="288"/>
      <c r="DN157" s="288"/>
      <c r="DO157" s="288"/>
      <c r="DP157" s="288"/>
      <c r="DQ157" s="288"/>
      <c r="DR157" s="288"/>
      <c r="DS157" s="288"/>
      <c r="DT157" s="288"/>
      <c r="DU157" s="288"/>
      <c r="DV157" s="288"/>
      <c r="DW157" s="288"/>
      <c r="DX157" s="288"/>
    </row>
    <row r="158" ht="14.25" customHeight="1">
      <c r="A158" s="293"/>
      <c r="B158" s="293"/>
      <c r="C158" s="293"/>
      <c r="D158" s="293"/>
      <c r="E158" s="293"/>
      <c r="F158" s="293"/>
      <c r="G158" s="293"/>
      <c r="H158" s="293"/>
      <c r="I158" s="293"/>
      <c r="J158" s="293"/>
      <c r="K158" s="293"/>
      <c r="L158" s="293"/>
      <c r="M158" s="293"/>
      <c r="N158" s="293"/>
      <c r="O158" s="293"/>
      <c r="P158" s="293"/>
      <c r="Q158" s="293"/>
      <c r="R158" s="293"/>
      <c r="S158" s="293"/>
      <c r="T158" s="293"/>
      <c r="U158" s="293"/>
      <c r="V158" s="293"/>
      <c r="W158" s="293"/>
      <c r="X158" s="293"/>
      <c r="Y158" s="293"/>
      <c r="Z158" s="293"/>
      <c r="AA158" s="293"/>
      <c r="AB158" s="293"/>
      <c r="AC158" s="293"/>
      <c r="AD158" s="293"/>
      <c r="AE158" s="293"/>
      <c r="AF158" s="293"/>
      <c r="AG158" s="293"/>
      <c r="AH158" s="293"/>
      <c r="AI158" s="293"/>
      <c r="AJ158" s="293"/>
      <c r="AK158" s="293"/>
      <c r="AL158" s="293"/>
      <c r="AM158" s="293"/>
      <c r="AN158" s="293"/>
      <c r="AO158" s="293"/>
      <c r="AP158" s="293"/>
      <c r="AQ158" s="293"/>
      <c r="AR158" s="293"/>
      <c r="AS158" s="293"/>
      <c r="AT158" s="293"/>
      <c r="AU158" s="293"/>
      <c r="AV158" s="293"/>
      <c r="AW158" s="293"/>
      <c r="AX158" s="293"/>
      <c r="AY158" s="293"/>
      <c r="AZ158" s="293"/>
      <c r="BA158" s="293"/>
      <c r="BB158" s="293"/>
      <c r="BC158" s="293"/>
      <c r="BD158" s="293"/>
      <c r="BE158" s="293"/>
      <c r="BF158" s="293"/>
      <c r="BG158" s="293"/>
      <c r="BH158" s="293"/>
      <c r="BI158" s="293"/>
      <c r="BJ158" s="293"/>
      <c r="BK158" s="293"/>
      <c r="BL158" s="293"/>
      <c r="BM158" s="293"/>
      <c r="BN158" s="293"/>
      <c r="BO158" s="293"/>
      <c r="BP158" s="293"/>
      <c r="BQ158" s="293"/>
      <c r="BR158" s="293"/>
      <c r="BS158" s="293"/>
      <c r="BT158" s="293"/>
      <c r="BU158" s="293"/>
      <c r="BV158" s="293"/>
      <c r="BW158" s="293"/>
      <c r="BX158" s="293"/>
      <c r="BY158" s="293"/>
      <c r="BZ158" s="293"/>
      <c r="CA158" s="293"/>
      <c r="CB158" s="293"/>
      <c r="CC158" s="293"/>
      <c r="CD158" s="293"/>
      <c r="CE158" s="293"/>
      <c r="CF158" s="293"/>
      <c r="CG158" s="293"/>
      <c r="CH158" s="293"/>
      <c r="CI158" s="293"/>
      <c r="CJ158" s="293"/>
      <c r="CK158" s="293"/>
      <c r="CL158" s="293"/>
      <c r="CM158" s="293"/>
      <c r="CN158" s="293"/>
      <c r="CO158" s="293"/>
      <c r="CP158" s="293"/>
      <c r="CQ158" s="293"/>
      <c r="CR158" s="293"/>
      <c r="CS158" s="293"/>
      <c r="CT158" s="293"/>
      <c r="CU158" s="293"/>
      <c r="CV158" s="293"/>
      <c r="CW158" s="293"/>
      <c r="CX158" s="293"/>
      <c r="CY158" s="293"/>
      <c r="CZ158" s="293"/>
      <c r="DA158" s="293"/>
      <c r="DB158" s="293"/>
      <c r="DC158" s="293"/>
      <c r="DD158" s="293"/>
      <c r="DE158" s="293"/>
      <c r="DF158" s="293"/>
      <c r="DG158" s="288"/>
      <c r="DH158" s="288"/>
      <c r="DI158" s="288"/>
      <c r="DJ158" s="288"/>
      <c r="DK158" s="288"/>
      <c r="DL158" s="288"/>
      <c r="DM158" s="288"/>
      <c r="DN158" s="288"/>
      <c r="DO158" s="288"/>
      <c r="DP158" s="288"/>
      <c r="DQ158" s="288"/>
      <c r="DR158" s="288"/>
      <c r="DS158" s="288"/>
      <c r="DT158" s="288"/>
      <c r="DU158" s="288"/>
      <c r="DV158" s="288"/>
      <c r="DW158" s="288"/>
      <c r="DX158" s="288"/>
    </row>
    <row r="159" ht="14.25" customHeight="1">
      <c r="A159" s="293"/>
      <c r="B159" s="293"/>
      <c r="C159" s="293"/>
      <c r="D159" s="293"/>
      <c r="E159" s="293"/>
      <c r="F159" s="293"/>
      <c r="G159" s="293"/>
      <c r="H159" s="293"/>
      <c r="I159" s="293"/>
      <c r="J159" s="293"/>
      <c r="K159" s="293"/>
      <c r="L159" s="293"/>
      <c r="M159" s="293"/>
      <c r="N159" s="293"/>
      <c r="O159" s="293"/>
      <c r="P159" s="293"/>
      <c r="Q159" s="293"/>
      <c r="R159" s="293"/>
      <c r="S159" s="293"/>
      <c r="T159" s="293"/>
      <c r="U159" s="293"/>
      <c r="V159" s="293"/>
      <c r="W159" s="293"/>
      <c r="X159" s="293"/>
      <c r="Y159" s="293"/>
      <c r="Z159" s="293"/>
      <c r="AA159" s="293"/>
      <c r="AB159" s="293"/>
      <c r="AC159" s="293"/>
      <c r="AD159" s="293"/>
      <c r="AE159" s="293"/>
      <c r="AF159" s="293"/>
      <c r="AG159" s="293"/>
      <c r="AH159" s="293"/>
      <c r="AI159" s="293"/>
      <c r="AJ159" s="293"/>
      <c r="AK159" s="293"/>
      <c r="AL159" s="293"/>
      <c r="AM159" s="293"/>
      <c r="AN159" s="293"/>
      <c r="AO159" s="293"/>
      <c r="AP159" s="293"/>
      <c r="AQ159" s="293"/>
      <c r="AR159" s="293"/>
      <c r="AS159" s="293"/>
      <c r="AT159" s="293"/>
      <c r="AU159" s="293"/>
      <c r="AV159" s="293"/>
      <c r="AW159" s="293"/>
      <c r="AX159" s="293"/>
      <c r="AY159" s="293"/>
      <c r="AZ159" s="293"/>
      <c r="BA159" s="293"/>
      <c r="BB159" s="293"/>
      <c r="BC159" s="293"/>
      <c r="BD159" s="293"/>
      <c r="BE159" s="293"/>
      <c r="BF159" s="293"/>
      <c r="BG159" s="293"/>
      <c r="BH159" s="293"/>
      <c r="BI159" s="293"/>
      <c r="BJ159" s="293"/>
      <c r="BK159" s="293"/>
      <c r="BL159" s="293"/>
      <c r="BM159" s="293"/>
      <c r="BN159" s="293"/>
      <c r="BO159" s="293"/>
      <c r="BP159" s="293"/>
      <c r="BQ159" s="293"/>
      <c r="BR159" s="293"/>
      <c r="BS159" s="293"/>
      <c r="BT159" s="293"/>
      <c r="BU159" s="293"/>
      <c r="BV159" s="293"/>
      <c r="BW159" s="293"/>
      <c r="BX159" s="293"/>
      <c r="BY159" s="293"/>
      <c r="BZ159" s="293"/>
      <c r="CA159" s="293"/>
      <c r="CB159" s="293"/>
      <c r="CC159" s="293"/>
      <c r="CD159" s="293"/>
      <c r="CE159" s="293"/>
      <c r="CF159" s="293"/>
      <c r="CG159" s="293"/>
      <c r="CH159" s="293"/>
      <c r="CI159" s="293"/>
      <c r="CJ159" s="293"/>
      <c r="CK159" s="293"/>
      <c r="CL159" s="293"/>
      <c r="CM159" s="293"/>
      <c r="CN159" s="293"/>
      <c r="CO159" s="293"/>
      <c r="CP159" s="293"/>
      <c r="CQ159" s="293"/>
      <c r="CR159" s="293"/>
      <c r="CS159" s="293"/>
      <c r="CT159" s="293"/>
      <c r="CU159" s="293"/>
      <c r="CV159" s="293"/>
      <c r="CW159" s="293"/>
      <c r="CX159" s="293"/>
      <c r="CY159" s="293"/>
      <c r="CZ159" s="293"/>
      <c r="DA159" s="293"/>
      <c r="DB159" s="293"/>
      <c r="DC159" s="293"/>
      <c r="DD159" s="293"/>
      <c r="DE159" s="293"/>
      <c r="DF159" s="293"/>
      <c r="DG159" s="288"/>
      <c r="DH159" s="288"/>
      <c r="DI159" s="288"/>
      <c r="DJ159" s="288"/>
      <c r="DK159" s="288"/>
      <c r="DL159" s="288"/>
      <c r="DM159" s="288"/>
      <c r="DN159" s="288"/>
      <c r="DO159" s="288"/>
      <c r="DP159" s="288"/>
      <c r="DQ159" s="288"/>
      <c r="DR159" s="288"/>
      <c r="DS159" s="288"/>
      <c r="DT159" s="288"/>
      <c r="DU159" s="288"/>
      <c r="DV159" s="288"/>
      <c r="DW159" s="288"/>
      <c r="DX159" s="288"/>
    </row>
    <row r="160" ht="14.25" customHeight="1">
      <c r="A160" s="293"/>
      <c r="B160" s="293"/>
      <c r="C160" s="293"/>
      <c r="D160" s="293"/>
      <c r="E160" s="293"/>
      <c r="F160" s="293"/>
      <c r="G160" s="293"/>
      <c r="H160" s="293"/>
      <c r="I160" s="293"/>
      <c r="J160" s="293"/>
      <c r="K160" s="293"/>
      <c r="L160" s="293"/>
      <c r="M160" s="293"/>
      <c r="N160" s="293"/>
      <c r="O160" s="293"/>
      <c r="P160" s="293"/>
      <c r="Q160" s="293"/>
      <c r="R160" s="293"/>
      <c r="S160" s="293"/>
      <c r="T160" s="293"/>
      <c r="U160" s="293"/>
      <c r="V160" s="293"/>
      <c r="W160" s="293"/>
      <c r="X160" s="293"/>
      <c r="Y160" s="293"/>
      <c r="Z160" s="293"/>
      <c r="AA160" s="293"/>
      <c r="AB160" s="293"/>
      <c r="AC160" s="293"/>
      <c r="AD160" s="293"/>
      <c r="AE160" s="293"/>
      <c r="AF160" s="293"/>
      <c r="AG160" s="293"/>
      <c r="AH160" s="293"/>
      <c r="AI160" s="293"/>
      <c r="AJ160" s="293"/>
      <c r="AK160" s="293"/>
      <c r="AL160" s="293"/>
      <c r="AM160" s="293"/>
      <c r="AN160" s="293"/>
      <c r="AO160" s="293"/>
      <c r="AP160" s="293"/>
      <c r="AQ160" s="293"/>
      <c r="AR160" s="293"/>
      <c r="AS160" s="293"/>
      <c r="AT160" s="293"/>
      <c r="AU160" s="293"/>
      <c r="AV160" s="293"/>
      <c r="AW160" s="293"/>
      <c r="AX160" s="293"/>
      <c r="AY160" s="293"/>
      <c r="AZ160" s="293"/>
      <c r="BA160" s="293"/>
      <c r="BB160" s="293"/>
      <c r="BC160" s="293"/>
      <c r="BD160" s="293"/>
      <c r="BE160" s="293"/>
      <c r="BF160" s="293"/>
      <c r="BG160" s="293"/>
      <c r="BH160" s="293"/>
      <c r="BI160" s="293"/>
      <c r="BJ160" s="293"/>
      <c r="BK160" s="293"/>
      <c r="BL160" s="293"/>
      <c r="BM160" s="293"/>
      <c r="BN160" s="293"/>
      <c r="BO160" s="293"/>
      <c r="BP160" s="293"/>
      <c r="BQ160" s="293"/>
      <c r="BR160" s="293"/>
      <c r="BS160" s="293"/>
      <c r="BT160" s="293"/>
      <c r="BU160" s="293"/>
      <c r="BV160" s="293"/>
      <c r="BW160" s="293"/>
      <c r="BX160" s="293"/>
      <c r="BY160" s="293"/>
      <c r="BZ160" s="293"/>
      <c r="CA160" s="293"/>
      <c r="CB160" s="293"/>
      <c r="CC160" s="293"/>
      <c r="CD160" s="293"/>
      <c r="CE160" s="293"/>
      <c r="CF160" s="293"/>
      <c r="CG160" s="293"/>
      <c r="CH160" s="293"/>
      <c r="CI160" s="293"/>
      <c r="CJ160" s="293"/>
      <c r="CK160" s="293"/>
      <c r="CL160" s="293"/>
      <c r="CM160" s="293"/>
      <c r="CN160" s="293"/>
      <c r="CO160" s="293"/>
      <c r="CP160" s="293"/>
      <c r="CQ160" s="293"/>
      <c r="CR160" s="293"/>
      <c r="CS160" s="293"/>
      <c r="CT160" s="293"/>
      <c r="CU160" s="293"/>
      <c r="CV160" s="293"/>
      <c r="CW160" s="293"/>
      <c r="CX160" s="293"/>
      <c r="CY160" s="293"/>
      <c r="CZ160" s="293"/>
      <c r="DA160" s="293"/>
      <c r="DB160" s="293"/>
      <c r="DC160" s="293"/>
      <c r="DD160" s="293"/>
      <c r="DE160" s="293"/>
      <c r="DF160" s="293"/>
      <c r="DG160" s="288"/>
      <c r="DH160" s="288"/>
      <c r="DI160" s="288"/>
      <c r="DJ160" s="288"/>
      <c r="DK160" s="288"/>
      <c r="DL160" s="288"/>
      <c r="DM160" s="288"/>
      <c r="DN160" s="288"/>
      <c r="DO160" s="288"/>
      <c r="DP160" s="288"/>
      <c r="DQ160" s="288"/>
      <c r="DR160" s="288"/>
      <c r="DS160" s="288"/>
      <c r="DT160" s="288"/>
      <c r="DU160" s="288"/>
      <c r="DV160" s="288"/>
      <c r="DW160" s="288"/>
      <c r="DX160" s="288"/>
    </row>
    <row r="161" ht="14.25" customHeight="1">
      <c r="A161" s="293"/>
      <c r="B161" s="293"/>
      <c r="C161" s="293"/>
      <c r="D161" s="293"/>
      <c r="E161" s="293"/>
      <c r="F161" s="293"/>
      <c r="G161" s="293"/>
      <c r="H161" s="293"/>
      <c r="I161" s="293"/>
      <c r="J161" s="293"/>
      <c r="K161" s="293"/>
      <c r="L161" s="293"/>
      <c r="M161" s="293"/>
      <c r="N161" s="293"/>
      <c r="O161" s="293"/>
      <c r="P161" s="293"/>
      <c r="Q161" s="293"/>
      <c r="R161" s="293"/>
      <c r="S161" s="293"/>
      <c r="T161" s="293"/>
      <c r="U161" s="293"/>
      <c r="V161" s="293"/>
      <c r="W161" s="293"/>
      <c r="X161" s="293"/>
      <c r="Y161" s="293"/>
      <c r="Z161" s="293"/>
      <c r="AA161" s="293"/>
      <c r="AB161" s="293"/>
      <c r="AC161" s="293"/>
      <c r="AD161" s="293"/>
      <c r="AE161" s="293"/>
      <c r="AF161" s="293"/>
      <c r="AG161" s="293"/>
      <c r="AH161" s="293"/>
      <c r="AI161" s="293"/>
      <c r="AJ161" s="293"/>
      <c r="AK161" s="293"/>
      <c r="AL161" s="293"/>
      <c r="AM161" s="293"/>
      <c r="AN161" s="293"/>
      <c r="AO161" s="293"/>
      <c r="AP161" s="293"/>
      <c r="AQ161" s="293"/>
      <c r="AR161" s="293"/>
      <c r="AS161" s="293"/>
      <c r="AT161" s="293"/>
      <c r="AU161" s="293"/>
      <c r="AV161" s="293"/>
      <c r="AW161" s="293"/>
      <c r="AX161" s="293"/>
      <c r="AY161" s="293"/>
      <c r="AZ161" s="293"/>
      <c r="BA161" s="293"/>
      <c r="BB161" s="293"/>
      <c r="BC161" s="293"/>
      <c r="BD161" s="293"/>
      <c r="BE161" s="293"/>
      <c r="BF161" s="293"/>
      <c r="BG161" s="293"/>
      <c r="BH161" s="293"/>
      <c r="BI161" s="293"/>
      <c r="BJ161" s="293"/>
      <c r="BK161" s="293"/>
      <c r="BL161" s="293"/>
      <c r="BM161" s="293"/>
      <c r="BN161" s="293"/>
      <c r="BO161" s="293"/>
      <c r="BP161" s="293"/>
      <c r="BQ161" s="293"/>
      <c r="BR161" s="293"/>
      <c r="BS161" s="293"/>
      <c r="BT161" s="293"/>
      <c r="BU161" s="293"/>
      <c r="BV161" s="293"/>
      <c r="BW161" s="293"/>
      <c r="BX161" s="293"/>
      <c r="BY161" s="293"/>
      <c r="BZ161" s="293"/>
      <c r="CA161" s="293"/>
      <c r="CB161" s="293"/>
      <c r="CC161" s="293"/>
      <c r="CD161" s="293"/>
      <c r="CE161" s="293"/>
      <c r="CF161" s="293"/>
      <c r="CG161" s="293"/>
      <c r="CH161" s="293"/>
      <c r="CI161" s="293"/>
      <c r="CJ161" s="293"/>
      <c r="CK161" s="293"/>
      <c r="CL161" s="293"/>
      <c r="CM161" s="293"/>
      <c r="CN161" s="293"/>
      <c r="CO161" s="293"/>
      <c r="CP161" s="293"/>
      <c r="CQ161" s="293"/>
      <c r="CR161" s="293"/>
      <c r="CS161" s="293"/>
      <c r="CT161" s="293"/>
      <c r="CU161" s="293"/>
      <c r="CV161" s="293"/>
      <c r="CW161" s="293"/>
      <c r="CX161" s="293"/>
      <c r="CY161" s="293"/>
      <c r="CZ161" s="293"/>
      <c r="DA161" s="293"/>
      <c r="DB161" s="293"/>
      <c r="DC161" s="293"/>
      <c r="DD161" s="293"/>
      <c r="DE161" s="293"/>
      <c r="DF161" s="293"/>
      <c r="DG161" s="288"/>
      <c r="DH161" s="288"/>
      <c r="DI161" s="288"/>
      <c r="DJ161" s="288"/>
      <c r="DK161" s="288"/>
      <c r="DL161" s="288"/>
      <c r="DM161" s="288"/>
      <c r="DN161" s="288"/>
      <c r="DO161" s="288"/>
      <c r="DP161" s="288"/>
      <c r="DQ161" s="288"/>
      <c r="DR161" s="288"/>
      <c r="DS161" s="288"/>
      <c r="DT161" s="288"/>
      <c r="DU161" s="288"/>
      <c r="DV161" s="288"/>
      <c r="DW161" s="288"/>
      <c r="DX161" s="288"/>
    </row>
    <row r="162" ht="14.25" customHeight="1">
      <c r="A162" s="293"/>
      <c r="B162" s="293"/>
      <c r="C162" s="293"/>
      <c r="D162" s="293"/>
      <c r="E162" s="293"/>
      <c r="F162" s="293"/>
      <c r="G162" s="293"/>
      <c r="H162" s="293"/>
      <c r="I162" s="293"/>
      <c r="J162" s="293"/>
      <c r="K162" s="293"/>
      <c r="L162" s="293"/>
      <c r="M162" s="293"/>
      <c r="N162" s="293"/>
      <c r="O162" s="293"/>
      <c r="P162" s="293"/>
      <c r="Q162" s="293"/>
      <c r="R162" s="293"/>
      <c r="S162" s="293"/>
      <c r="T162" s="293"/>
      <c r="U162" s="293"/>
      <c r="V162" s="293"/>
      <c r="W162" s="293"/>
      <c r="X162" s="293"/>
      <c r="Y162" s="293"/>
      <c r="Z162" s="293"/>
      <c r="AA162" s="293"/>
      <c r="AB162" s="293"/>
      <c r="AC162" s="293"/>
      <c r="AD162" s="293"/>
      <c r="AE162" s="293"/>
      <c r="AF162" s="293"/>
      <c r="AG162" s="293"/>
      <c r="AH162" s="293"/>
      <c r="AI162" s="293"/>
      <c r="AJ162" s="293"/>
      <c r="AK162" s="293"/>
      <c r="AL162" s="293"/>
      <c r="AM162" s="293"/>
      <c r="AN162" s="293"/>
      <c r="AO162" s="293"/>
      <c r="AP162" s="293"/>
      <c r="AQ162" s="293"/>
      <c r="AR162" s="293"/>
      <c r="AS162" s="293"/>
      <c r="AT162" s="293"/>
      <c r="AU162" s="293"/>
      <c r="AV162" s="293"/>
      <c r="AW162" s="293"/>
      <c r="AX162" s="293"/>
      <c r="AY162" s="293"/>
      <c r="AZ162" s="293"/>
      <c r="BA162" s="293"/>
      <c r="BB162" s="293"/>
      <c r="BC162" s="293"/>
      <c r="BD162" s="293"/>
      <c r="BE162" s="293"/>
      <c r="BF162" s="293"/>
      <c r="BG162" s="293"/>
      <c r="BH162" s="293"/>
      <c r="BI162" s="293"/>
      <c r="BJ162" s="293"/>
      <c r="BK162" s="293"/>
      <c r="BL162" s="293"/>
      <c r="BM162" s="293"/>
      <c r="BN162" s="293"/>
      <c r="BO162" s="293"/>
      <c r="BP162" s="293"/>
      <c r="BQ162" s="293"/>
      <c r="BR162" s="293"/>
      <c r="BS162" s="293"/>
      <c r="BT162" s="293"/>
      <c r="BU162" s="293"/>
      <c r="BV162" s="293"/>
      <c r="BW162" s="293"/>
      <c r="BX162" s="293"/>
      <c r="BY162" s="293"/>
      <c r="BZ162" s="293"/>
      <c r="CA162" s="293"/>
      <c r="CB162" s="293"/>
      <c r="CC162" s="293"/>
      <c r="CD162" s="293"/>
      <c r="CE162" s="293"/>
      <c r="CF162" s="293"/>
      <c r="CG162" s="293"/>
      <c r="CH162" s="293"/>
      <c r="CI162" s="293"/>
      <c r="CJ162" s="293"/>
      <c r="CK162" s="293"/>
      <c r="CL162" s="293"/>
      <c r="CM162" s="293"/>
      <c r="CN162" s="293"/>
      <c r="CO162" s="293"/>
      <c r="CP162" s="293"/>
      <c r="CQ162" s="293"/>
      <c r="CR162" s="293"/>
      <c r="CS162" s="293"/>
      <c r="CT162" s="293"/>
      <c r="CU162" s="293"/>
      <c r="CV162" s="293"/>
      <c r="CW162" s="293"/>
      <c r="CX162" s="293"/>
      <c r="CY162" s="293"/>
      <c r="CZ162" s="293"/>
      <c r="DA162" s="293"/>
      <c r="DB162" s="293"/>
      <c r="DC162" s="293"/>
      <c r="DD162" s="293"/>
      <c r="DE162" s="293"/>
      <c r="DF162" s="293"/>
      <c r="DG162" s="288"/>
      <c r="DH162" s="288"/>
      <c r="DI162" s="288"/>
      <c r="DJ162" s="288"/>
      <c r="DK162" s="288"/>
      <c r="DL162" s="288"/>
      <c r="DM162" s="288"/>
      <c r="DN162" s="288"/>
      <c r="DO162" s="288"/>
      <c r="DP162" s="288"/>
      <c r="DQ162" s="288"/>
      <c r="DR162" s="288"/>
      <c r="DS162" s="288"/>
      <c r="DT162" s="288"/>
      <c r="DU162" s="288"/>
      <c r="DV162" s="288"/>
      <c r="DW162" s="288"/>
      <c r="DX162" s="288"/>
    </row>
    <row r="163" ht="14.25" customHeight="1">
      <c r="A163" s="293"/>
      <c r="B163" s="293"/>
      <c r="C163" s="293"/>
      <c r="D163" s="293"/>
      <c r="E163" s="293"/>
      <c r="F163" s="293"/>
      <c r="G163" s="293"/>
      <c r="H163" s="293"/>
      <c r="I163" s="293"/>
      <c r="J163" s="293"/>
      <c r="K163" s="293"/>
      <c r="L163" s="293"/>
      <c r="M163" s="293"/>
      <c r="N163" s="293"/>
      <c r="O163" s="293"/>
      <c r="P163" s="293"/>
      <c r="Q163" s="293"/>
      <c r="R163" s="293"/>
      <c r="S163" s="293"/>
      <c r="T163" s="293"/>
      <c r="U163" s="293"/>
      <c r="V163" s="293"/>
      <c r="W163" s="293"/>
      <c r="X163" s="293"/>
      <c r="Y163" s="293"/>
      <c r="Z163" s="293"/>
      <c r="AA163" s="293"/>
      <c r="AB163" s="293"/>
      <c r="AC163" s="293"/>
      <c r="AD163" s="293"/>
      <c r="AE163" s="293"/>
      <c r="AF163" s="293"/>
      <c r="AG163" s="293"/>
      <c r="AH163" s="293"/>
      <c r="AI163" s="293"/>
      <c r="AJ163" s="293"/>
      <c r="AK163" s="293"/>
      <c r="AL163" s="293"/>
      <c r="AM163" s="293"/>
      <c r="AN163" s="293"/>
      <c r="AO163" s="293"/>
      <c r="AP163" s="293"/>
      <c r="AQ163" s="293"/>
      <c r="AR163" s="293"/>
      <c r="AS163" s="293"/>
      <c r="AT163" s="293"/>
      <c r="AU163" s="293"/>
      <c r="AV163" s="293"/>
      <c r="AW163" s="293"/>
      <c r="AX163" s="293"/>
      <c r="AY163" s="293"/>
      <c r="AZ163" s="293"/>
      <c r="BA163" s="293"/>
      <c r="BB163" s="293"/>
      <c r="BC163" s="293"/>
      <c r="BD163" s="293"/>
      <c r="BE163" s="293"/>
      <c r="BF163" s="293"/>
      <c r="BG163" s="293"/>
      <c r="BH163" s="293"/>
      <c r="BI163" s="293"/>
      <c r="BJ163" s="293"/>
      <c r="BK163" s="293"/>
      <c r="BL163" s="293"/>
      <c r="BM163" s="293"/>
      <c r="BN163" s="293"/>
      <c r="BO163" s="293"/>
      <c r="BP163" s="293"/>
      <c r="BQ163" s="293"/>
      <c r="BR163" s="293"/>
      <c r="BS163" s="293"/>
      <c r="BT163" s="293"/>
      <c r="BU163" s="293"/>
      <c r="BV163" s="293"/>
      <c r="BW163" s="293"/>
      <c r="BX163" s="293"/>
      <c r="BY163" s="293"/>
      <c r="BZ163" s="293"/>
      <c r="CA163" s="293"/>
      <c r="CB163" s="293"/>
      <c r="CC163" s="293"/>
      <c r="CD163" s="293"/>
      <c r="CE163" s="293"/>
      <c r="CF163" s="293"/>
      <c r="CG163" s="293"/>
      <c r="CH163" s="293"/>
      <c r="CI163" s="293"/>
      <c r="CJ163" s="293"/>
      <c r="CK163" s="293"/>
      <c r="CL163" s="293"/>
      <c r="CM163" s="293"/>
      <c r="CN163" s="293"/>
      <c r="CO163" s="293"/>
      <c r="CP163" s="293"/>
      <c r="CQ163" s="293"/>
      <c r="CR163" s="293"/>
      <c r="CS163" s="293"/>
      <c r="CT163" s="293"/>
      <c r="CU163" s="293"/>
      <c r="CV163" s="293"/>
      <c r="CW163" s="293"/>
      <c r="CX163" s="293"/>
      <c r="CY163" s="293"/>
      <c r="CZ163" s="293"/>
      <c r="DA163" s="293"/>
      <c r="DB163" s="293"/>
      <c r="DC163" s="293"/>
      <c r="DD163" s="293"/>
      <c r="DE163" s="293"/>
      <c r="DF163" s="293"/>
      <c r="DG163" s="288"/>
      <c r="DH163" s="288"/>
      <c r="DI163" s="288"/>
      <c r="DJ163" s="288"/>
      <c r="DK163" s="288"/>
      <c r="DL163" s="288"/>
      <c r="DM163" s="288"/>
      <c r="DN163" s="288"/>
      <c r="DO163" s="288"/>
      <c r="DP163" s="288"/>
      <c r="DQ163" s="288"/>
      <c r="DR163" s="288"/>
      <c r="DS163" s="288"/>
      <c r="DT163" s="288"/>
      <c r="DU163" s="288"/>
      <c r="DV163" s="288"/>
      <c r="DW163" s="288"/>
      <c r="DX163" s="288"/>
    </row>
    <row r="164" ht="14.25" customHeight="1">
      <c r="A164" s="293"/>
      <c r="B164" s="293"/>
      <c r="C164" s="293"/>
      <c r="D164" s="293"/>
      <c r="E164" s="293"/>
      <c r="F164" s="293"/>
      <c r="G164" s="293"/>
      <c r="H164" s="293"/>
      <c r="I164" s="293"/>
      <c r="J164" s="293"/>
      <c r="K164" s="293"/>
      <c r="L164" s="293"/>
      <c r="M164" s="293"/>
      <c r="N164" s="293"/>
      <c r="O164" s="293"/>
      <c r="P164" s="293"/>
      <c r="Q164" s="293"/>
      <c r="R164" s="293"/>
      <c r="S164" s="293"/>
      <c r="T164" s="293"/>
      <c r="U164" s="293"/>
      <c r="V164" s="293"/>
      <c r="W164" s="293"/>
      <c r="X164" s="293"/>
      <c r="Y164" s="293"/>
      <c r="Z164" s="293"/>
      <c r="AA164" s="293"/>
      <c r="AB164" s="293"/>
      <c r="AC164" s="293"/>
      <c r="AD164" s="293"/>
      <c r="AE164" s="293"/>
      <c r="AF164" s="293"/>
      <c r="AG164" s="293"/>
      <c r="AH164" s="293"/>
      <c r="AI164" s="293"/>
      <c r="AJ164" s="293"/>
      <c r="AK164" s="293"/>
      <c r="AL164" s="293"/>
      <c r="AM164" s="293"/>
      <c r="AN164" s="293"/>
      <c r="AO164" s="293"/>
      <c r="AP164" s="293"/>
      <c r="AQ164" s="293"/>
      <c r="AR164" s="293"/>
      <c r="AS164" s="293"/>
      <c r="AT164" s="293"/>
      <c r="AU164" s="293"/>
      <c r="AV164" s="293"/>
      <c r="AW164" s="293"/>
      <c r="AX164" s="293"/>
      <c r="AY164" s="293"/>
      <c r="AZ164" s="293"/>
      <c r="BA164" s="293"/>
      <c r="BB164" s="293"/>
      <c r="BC164" s="293"/>
      <c r="BD164" s="293"/>
      <c r="BE164" s="293"/>
      <c r="BF164" s="293"/>
      <c r="BG164" s="293"/>
      <c r="BH164" s="293"/>
      <c r="BI164" s="293"/>
      <c r="BJ164" s="293"/>
      <c r="BK164" s="293"/>
      <c r="BL164" s="293"/>
      <c r="BM164" s="293"/>
      <c r="BN164" s="293"/>
      <c r="BO164" s="293"/>
      <c r="BP164" s="293"/>
      <c r="BQ164" s="293"/>
      <c r="BR164" s="293"/>
      <c r="BS164" s="293"/>
      <c r="BT164" s="293"/>
      <c r="BU164" s="293"/>
      <c r="BV164" s="293"/>
      <c r="BW164" s="293"/>
      <c r="BX164" s="293"/>
      <c r="BY164" s="293"/>
      <c r="BZ164" s="293"/>
      <c r="CA164" s="293"/>
      <c r="CB164" s="293"/>
      <c r="CC164" s="293"/>
      <c r="CD164" s="293"/>
      <c r="CE164" s="293"/>
      <c r="CF164" s="293"/>
      <c r="CG164" s="293"/>
      <c r="CH164" s="293"/>
      <c r="CI164" s="293"/>
      <c r="CJ164" s="293"/>
      <c r="CK164" s="293"/>
      <c r="CL164" s="293"/>
      <c r="CM164" s="293"/>
      <c r="CN164" s="293"/>
      <c r="CO164" s="293"/>
      <c r="CP164" s="293"/>
      <c r="CQ164" s="293"/>
      <c r="CR164" s="293"/>
      <c r="CS164" s="293"/>
      <c r="CT164" s="293"/>
      <c r="CU164" s="293"/>
      <c r="CV164" s="293"/>
      <c r="CW164" s="293"/>
      <c r="CX164" s="293"/>
      <c r="CY164" s="293"/>
      <c r="CZ164" s="293"/>
      <c r="DA164" s="293"/>
      <c r="DB164" s="293"/>
      <c r="DC164" s="293"/>
      <c r="DD164" s="293"/>
      <c r="DE164" s="293"/>
      <c r="DF164" s="293"/>
      <c r="DG164" s="288"/>
      <c r="DH164" s="288"/>
      <c r="DI164" s="288"/>
      <c r="DJ164" s="288"/>
      <c r="DK164" s="288"/>
      <c r="DL164" s="288"/>
      <c r="DM164" s="288"/>
      <c r="DN164" s="288"/>
      <c r="DO164" s="288"/>
      <c r="DP164" s="288"/>
      <c r="DQ164" s="288"/>
      <c r="DR164" s="288"/>
      <c r="DS164" s="288"/>
      <c r="DT164" s="288"/>
      <c r="DU164" s="288"/>
      <c r="DV164" s="288"/>
      <c r="DW164" s="288"/>
      <c r="DX164" s="288"/>
    </row>
    <row r="165" ht="14.25" customHeight="1">
      <c r="A165" s="293"/>
      <c r="B165" s="293"/>
      <c r="C165" s="293"/>
      <c r="D165" s="293"/>
      <c r="E165" s="293"/>
      <c r="F165" s="293"/>
      <c r="G165" s="293"/>
      <c r="H165" s="293"/>
      <c r="I165" s="293"/>
      <c r="J165" s="293"/>
      <c r="K165" s="293"/>
      <c r="L165" s="293"/>
      <c r="M165" s="293"/>
      <c r="N165" s="293"/>
      <c r="O165" s="293"/>
      <c r="P165" s="293"/>
      <c r="Q165" s="293"/>
      <c r="R165" s="293"/>
      <c r="S165" s="293"/>
      <c r="T165" s="293"/>
      <c r="U165" s="293"/>
      <c r="V165" s="293"/>
      <c r="W165" s="293"/>
      <c r="X165" s="293"/>
      <c r="Y165" s="293"/>
      <c r="Z165" s="293"/>
      <c r="AA165" s="293"/>
      <c r="AB165" s="293"/>
      <c r="AC165" s="293"/>
      <c r="AD165" s="293"/>
      <c r="AE165" s="293"/>
      <c r="AF165" s="293"/>
      <c r="AG165" s="293"/>
      <c r="AH165" s="293"/>
      <c r="AI165" s="293"/>
      <c r="AJ165" s="293"/>
      <c r="AK165" s="293"/>
      <c r="AL165" s="293"/>
      <c r="AM165" s="293"/>
      <c r="AN165" s="293"/>
      <c r="AO165" s="293"/>
      <c r="AP165" s="293"/>
      <c r="AQ165" s="293"/>
      <c r="AR165" s="293"/>
      <c r="AS165" s="293"/>
      <c r="AT165" s="293"/>
      <c r="AU165" s="293"/>
      <c r="AV165" s="293"/>
      <c r="AW165" s="293"/>
      <c r="AX165" s="293"/>
      <c r="AY165" s="293"/>
      <c r="AZ165" s="293"/>
      <c r="BA165" s="293"/>
      <c r="BB165" s="293"/>
      <c r="BC165" s="293"/>
      <c r="BD165" s="293"/>
      <c r="BE165" s="293"/>
      <c r="BF165" s="293"/>
      <c r="BG165" s="293"/>
      <c r="BH165" s="293"/>
      <c r="BI165" s="293"/>
      <c r="BJ165" s="293"/>
      <c r="BK165" s="293"/>
      <c r="BL165" s="293"/>
      <c r="BM165" s="293"/>
      <c r="BN165" s="293"/>
      <c r="BO165" s="293"/>
      <c r="BP165" s="293"/>
      <c r="BQ165" s="293"/>
      <c r="BR165" s="293"/>
      <c r="BS165" s="293"/>
      <c r="BT165" s="293"/>
      <c r="BU165" s="293"/>
      <c r="BV165" s="293"/>
      <c r="BW165" s="293"/>
      <c r="BX165" s="293"/>
      <c r="BY165" s="293"/>
      <c r="BZ165" s="293"/>
      <c r="CA165" s="293"/>
      <c r="CB165" s="293"/>
      <c r="CC165" s="293"/>
      <c r="CD165" s="293"/>
      <c r="CE165" s="293"/>
      <c r="CF165" s="293"/>
      <c r="CG165" s="293"/>
      <c r="CH165" s="293"/>
      <c r="CI165" s="293"/>
      <c r="CJ165" s="293"/>
      <c r="CK165" s="293"/>
      <c r="CL165" s="293"/>
      <c r="CM165" s="293"/>
      <c r="CN165" s="293"/>
      <c r="CO165" s="293"/>
      <c r="CP165" s="293"/>
      <c r="CQ165" s="293"/>
      <c r="CR165" s="293"/>
      <c r="CS165" s="293"/>
      <c r="CT165" s="293"/>
      <c r="CU165" s="293"/>
      <c r="CV165" s="293"/>
      <c r="CW165" s="293"/>
      <c r="CX165" s="293"/>
      <c r="CY165" s="293"/>
      <c r="CZ165" s="293"/>
      <c r="DA165" s="293"/>
      <c r="DB165" s="293"/>
      <c r="DC165" s="293"/>
      <c r="DD165" s="293"/>
      <c r="DE165" s="293"/>
      <c r="DF165" s="293"/>
      <c r="DG165" s="288"/>
      <c r="DH165" s="288"/>
      <c r="DI165" s="288"/>
      <c r="DJ165" s="288"/>
      <c r="DK165" s="288"/>
      <c r="DL165" s="288"/>
      <c r="DM165" s="288"/>
      <c r="DN165" s="288"/>
      <c r="DO165" s="288"/>
      <c r="DP165" s="288"/>
      <c r="DQ165" s="288"/>
      <c r="DR165" s="288"/>
      <c r="DS165" s="288"/>
      <c r="DT165" s="288"/>
      <c r="DU165" s="288"/>
      <c r="DV165" s="288"/>
      <c r="DW165" s="288"/>
      <c r="DX165" s="288"/>
    </row>
    <row r="166" ht="14.25" customHeight="1">
      <c r="A166" s="293"/>
      <c r="B166" s="293"/>
      <c r="C166" s="293"/>
      <c r="D166" s="293"/>
      <c r="E166" s="293"/>
      <c r="F166" s="293"/>
      <c r="G166" s="293"/>
      <c r="H166" s="293"/>
      <c r="I166" s="293"/>
      <c r="J166" s="293"/>
      <c r="K166" s="293"/>
      <c r="L166" s="293"/>
      <c r="M166" s="293"/>
      <c r="N166" s="293"/>
      <c r="O166" s="293"/>
      <c r="P166" s="293"/>
      <c r="Q166" s="293"/>
      <c r="R166" s="293"/>
      <c r="S166" s="293"/>
      <c r="T166" s="293"/>
      <c r="U166" s="293"/>
      <c r="V166" s="293"/>
      <c r="W166" s="293"/>
      <c r="X166" s="293"/>
      <c r="Y166" s="293"/>
      <c r="Z166" s="293"/>
      <c r="AA166" s="293"/>
      <c r="AB166" s="293"/>
      <c r="AC166" s="293"/>
      <c r="AD166" s="293"/>
      <c r="AE166" s="293"/>
      <c r="AF166" s="293"/>
      <c r="AG166" s="293"/>
      <c r="AH166" s="293"/>
      <c r="AI166" s="293"/>
      <c r="AJ166" s="293"/>
      <c r="AK166" s="293"/>
      <c r="AL166" s="293"/>
      <c r="AM166" s="293"/>
      <c r="AN166" s="293"/>
      <c r="AO166" s="293"/>
      <c r="AP166" s="293"/>
      <c r="AQ166" s="293"/>
      <c r="AR166" s="293"/>
      <c r="AS166" s="293"/>
      <c r="AT166" s="293"/>
      <c r="AU166" s="293"/>
      <c r="AV166" s="293"/>
      <c r="AW166" s="293"/>
      <c r="AX166" s="293"/>
      <c r="AY166" s="293"/>
      <c r="AZ166" s="293"/>
      <c r="BA166" s="293"/>
      <c r="BB166" s="293"/>
      <c r="BC166" s="293"/>
      <c r="BD166" s="293"/>
      <c r="BE166" s="293"/>
      <c r="BF166" s="293"/>
      <c r="BG166" s="293"/>
      <c r="BH166" s="293"/>
      <c r="BI166" s="293"/>
      <c r="BJ166" s="293"/>
      <c r="BK166" s="293"/>
      <c r="BL166" s="293"/>
      <c r="BM166" s="293"/>
      <c r="BN166" s="293"/>
      <c r="BO166" s="293"/>
      <c r="BP166" s="293"/>
      <c r="BQ166" s="293"/>
      <c r="BR166" s="293"/>
      <c r="BS166" s="293"/>
      <c r="BT166" s="293"/>
      <c r="BU166" s="293"/>
      <c r="BV166" s="293"/>
      <c r="BW166" s="293"/>
      <c r="BX166" s="293"/>
      <c r="BY166" s="293"/>
      <c r="BZ166" s="293"/>
      <c r="CA166" s="293"/>
      <c r="CB166" s="293"/>
      <c r="CC166" s="293"/>
      <c r="CD166" s="293"/>
      <c r="CE166" s="293"/>
      <c r="CF166" s="293"/>
      <c r="CG166" s="293"/>
      <c r="CH166" s="293"/>
      <c r="CI166" s="293"/>
      <c r="CJ166" s="293"/>
      <c r="CK166" s="293"/>
      <c r="CL166" s="293"/>
      <c r="CM166" s="293"/>
      <c r="CN166" s="293"/>
      <c r="CO166" s="293"/>
      <c r="CP166" s="293"/>
      <c r="CQ166" s="293"/>
      <c r="CR166" s="293"/>
      <c r="CS166" s="293"/>
      <c r="CT166" s="293"/>
      <c r="CU166" s="293"/>
      <c r="CV166" s="293"/>
      <c r="CW166" s="293"/>
      <c r="CX166" s="293"/>
      <c r="CY166" s="293"/>
      <c r="CZ166" s="293"/>
      <c r="DA166" s="293"/>
      <c r="DB166" s="293"/>
      <c r="DC166" s="293"/>
      <c r="DD166" s="293"/>
      <c r="DE166" s="293"/>
      <c r="DF166" s="293"/>
      <c r="DG166" s="288"/>
      <c r="DH166" s="288"/>
      <c r="DI166" s="288"/>
      <c r="DJ166" s="288"/>
      <c r="DK166" s="288"/>
      <c r="DL166" s="288"/>
      <c r="DM166" s="288"/>
      <c r="DN166" s="288"/>
      <c r="DO166" s="288"/>
      <c r="DP166" s="288"/>
      <c r="DQ166" s="288"/>
      <c r="DR166" s="288"/>
      <c r="DS166" s="288"/>
      <c r="DT166" s="288"/>
      <c r="DU166" s="288"/>
      <c r="DV166" s="288"/>
      <c r="DW166" s="288"/>
      <c r="DX166" s="288"/>
    </row>
    <row r="167" ht="14.25" customHeight="1">
      <c r="A167" s="293"/>
      <c r="B167" s="293"/>
      <c r="C167" s="293"/>
      <c r="D167" s="293"/>
      <c r="E167" s="293"/>
      <c r="F167" s="293"/>
      <c r="G167" s="293"/>
      <c r="H167" s="293"/>
      <c r="I167" s="293"/>
      <c r="J167" s="293"/>
      <c r="K167" s="293"/>
      <c r="L167" s="293"/>
      <c r="M167" s="293"/>
      <c r="N167" s="293"/>
      <c r="O167" s="293"/>
      <c r="P167" s="293"/>
      <c r="Q167" s="293"/>
      <c r="R167" s="293"/>
      <c r="S167" s="293"/>
      <c r="T167" s="293"/>
      <c r="U167" s="293"/>
      <c r="V167" s="293"/>
      <c r="W167" s="293"/>
      <c r="X167" s="293"/>
      <c r="Y167" s="293"/>
      <c r="Z167" s="293"/>
      <c r="AA167" s="293"/>
      <c r="AB167" s="293"/>
      <c r="AC167" s="293"/>
      <c r="AD167" s="293"/>
      <c r="AE167" s="293"/>
      <c r="AF167" s="293"/>
      <c r="AG167" s="293"/>
      <c r="AH167" s="293"/>
      <c r="AI167" s="293"/>
      <c r="AJ167" s="293"/>
      <c r="AK167" s="293"/>
      <c r="AL167" s="293"/>
      <c r="AM167" s="293"/>
      <c r="AN167" s="293"/>
      <c r="AO167" s="293"/>
      <c r="AP167" s="293"/>
      <c r="AQ167" s="293"/>
      <c r="AR167" s="293"/>
      <c r="AS167" s="293"/>
      <c r="AT167" s="293"/>
      <c r="AU167" s="293"/>
      <c r="AV167" s="293"/>
      <c r="AW167" s="293"/>
      <c r="AX167" s="293"/>
      <c r="AY167" s="293"/>
      <c r="AZ167" s="293"/>
      <c r="BA167" s="293"/>
      <c r="BB167" s="293"/>
      <c r="BC167" s="293"/>
      <c r="BD167" s="293"/>
      <c r="BE167" s="293"/>
      <c r="BF167" s="293"/>
      <c r="BG167" s="293"/>
      <c r="BH167" s="293"/>
      <c r="BI167" s="293"/>
      <c r="BJ167" s="293"/>
      <c r="BK167" s="293"/>
      <c r="BL167" s="293"/>
      <c r="BM167" s="293"/>
      <c r="BN167" s="293"/>
      <c r="BO167" s="293"/>
      <c r="BP167" s="293"/>
      <c r="BQ167" s="293"/>
      <c r="BR167" s="293"/>
      <c r="BS167" s="293"/>
      <c r="BT167" s="293"/>
      <c r="BU167" s="293"/>
      <c r="BV167" s="293"/>
      <c r="BW167" s="293"/>
      <c r="BX167" s="293"/>
      <c r="BY167" s="293"/>
      <c r="BZ167" s="293"/>
      <c r="CA167" s="293"/>
      <c r="CB167" s="293"/>
      <c r="CC167" s="293"/>
      <c r="CD167" s="293"/>
      <c r="CE167" s="293"/>
      <c r="CF167" s="293"/>
      <c r="CG167" s="293"/>
      <c r="CH167" s="293"/>
      <c r="CI167" s="293"/>
      <c r="CJ167" s="293"/>
      <c r="CK167" s="293"/>
      <c r="CL167" s="293"/>
      <c r="CM167" s="293"/>
      <c r="CN167" s="293"/>
      <c r="CO167" s="293"/>
      <c r="CP167" s="293"/>
      <c r="CQ167" s="293"/>
      <c r="CR167" s="293"/>
      <c r="CS167" s="293"/>
      <c r="CT167" s="293"/>
      <c r="CU167" s="293"/>
      <c r="CV167" s="293"/>
      <c r="CW167" s="293"/>
      <c r="CX167" s="293"/>
      <c r="CY167" s="293"/>
      <c r="CZ167" s="293"/>
      <c r="DA167" s="293"/>
      <c r="DB167" s="293"/>
      <c r="DC167" s="293"/>
      <c r="DD167" s="293"/>
      <c r="DE167" s="293"/>
      <c r="DF167" s="293"/>
      <c r="DG167" s="288"/>
      <c r="DH167" s="288"/>
      <c r="DI167" s="288"/>
      <c r="DJ167" s="288"/>
      <c r="DK167" s="288"/>
      <c r="DL167" s="288"/>
      <c r="DM167" s="288"/>
      <c r="DN167" s="288"/>
      <c r="DO167" s="288"/>
      <c r="DP167" s="288"/>
      <c r="DQ167" s="288"/>
      <c r="DR167" s="288"/>
      <c r="DS167" s="288"/>
      <c r="DT167" s="288"/>
      <c r="DU167" s="288"/>
      <c r="DV167" s="288"/>
      <c r="DW167" s="288"/>
      <c r="DX167" s="288"/>
    </row>
    <row r="168" ht="14.25" customHeight="1">
      <c r="A168" s="293"/>
      <c r="B168" s="293"/>
      <c r="C168" s="293"/>
      <c r="D168" s="293"/>
      <c r="E168" s="293"/>
      <c r="F168" s="293"/>
      <c r="G168" s="293"/>
      <c r="H168" s="293"/>
      <c r="I168" s="293"/>
      <c r="J168" s="293"/>
      <c r="K168" s="293"/>
      <c r="L168" s="293"/>
      <c r="M168" s="293"/>
      <c r="N168" s="293"/>
      <c r="O168" s="293"/>
      <c r="P168" s="293"/>
      <c r="Q168" s="293"/>
      <c r="R168" s="293"/>
      <c r="S168" s="293"/>
      <c r="T168" s="293"/>
      <c r="U168" s="293"/>
      <c r="V168" s="293"/>
      <c r="W168" s="293"/>
      <c r="X168" s="293"/>
      <c r="Y168" s="293"/>
      <c r="Z168" s="293"/>
      <c r="AA168" s="293"/>
      <c r="AB168" s="293"/>
      <c r="AC168" s="293"/>
      <c r="AD168" s="293"/>
      <c r="AE168" s="293"/>
      <c r="AF168" s="293"/>
      <c r="AG168" s="293"/>
      <c r="AH168" s="293"/>
      <c r="AI168" s="293"/>
      <c r="AJ168" s="293"/>
      <c r="AK168" s="293"/>
      <c r="AL168" s="293"/>
      <c r="AM168" s="293"/>
      <c r="AN168" s="293"/>
      <c r="AO168" s="293"/>
      <c r="AP168" s="293"/>
      <c r="AQ168" s="293"/>
      <c r="AR168" s="293"/>
      <c r="AS168" s="293"/>
      <c r="AT168" s="293"/>
      <c r="AU168" s="293"/>
      <c r="AV168" s="293"/>
      <c r="AW168" s="293"/>
      <c r="AX168" s="293"/>
      <c r="AY168" s="293"/>
      <c r="AZ168" s="293"/>
      <c r="BA168" s="293"/>
      <c r="BB168" s="293"/>
      <c r="BC168" s="293"/>
      <c r="BD168" s="293"/>
      <c r="BE168" s="293"/>
      <c r="BF168" s="293"/>
      <c r="BG168" s="293"/>
      <c r="BH168" s="293"/>
      <c r="BI168" s="293"/>
      <c r="BJ168" s="293"/>
      <c r="BK168" s="293"/>
      <c r="BL168" s="293"/>
      <c r="BM168" s="293"/>
      <c r="BN168" s="293"/>
      <c r="BO168" s="293"/>
      <c r="BP168" s="293"/>
      <c r="BQ168" s="293"/>
      <c r="BR168" s="293"/>
      <c r="BS168" s="293"/>
      <c r="BT168" s="293"/>
      <c r="BU168" s="293"/>
      <c r="BV168" s="293"/>
      <c r="BW168" s="293"/>
      <c r="BX168" s="293"/>
      <c r="BY168" s="293"/>
      <c r="BZ168" s="293"/>
      <c r="CA168" s="293"/>
      <c r="CB168" s="293"/>
      <c r="CC168" s="293"/>
      <c r="CD168" s="293"/>
      <c r="CE168" s="293"/>
      <c r="CF168" s="293"/>
      <c r="CG168" s="293"/>
      <c r="CH168" s="293"/>
      <c r="CI168" s="293"/>
      <c r="CJ168" s="293"/>
      <c r="CK168" s="293"/>
      <c r="CL168" s="293"/>
      <c r="CM168" s="293"/>
      <c r="CN168" s="293"/>
      <c r="CO168" s="293"/>
      <c r="CP168" s="293"/>
      <c r="CQ168" s="293"/>
      <c r="CR168" s="293"/>
      <c r="CS168" s="293"/>
      <c r="CT168" s="293"/>
      <c r="CU168" s="293"/>
      <c r="CV168" s="293"/>
      <c r="CW168" s="293"/>
      <c r="CX168" s="293"/>
      <c r="CY168" s="293"/>
      <c r="CZ168" s="293"/>
      <c r="DA168" s="293"/>
      <c r="DB168" s="293"/>
      <c r="DC168" s="293"/>
      <c r="DD168" s="293"/>
      <c r="DE168" s="293"/>
      <c r="DF168" s="293"/>
      <c r="DG168" s="288"/>
      <c r="DH168" s="288"/>
      <c r="DI168" s="288"/>
      <c r="DJ168" s="288"/>
      <c r="DK168" s="288"/>
      <c r="DL168" s="288"/>
      <c r="DM168" s="288"/>
      <c r="DN168" s="288"/>
      <c r="DO168" s="288"/>
      <c r="DP168" s="288"/>
      <c r="DQ168" s="288"/>
      <c r="DR168" s="288"/>
      <c r="DS168" s="288"/>
      <c r="DT168" s="288"/>
      <c r="DU168" s="288"/>
      <c r="DV168" s="288"/>
      <c r="DW168" s="288"/>
      <c r="DX168" s="288"/>
    </row>
    <row r="169" ht="14.25" customHeight="1">
      <c r="A169" s="293"/>
      <c r="B169" s="293"/>
      <c r="C169" s="293"/>
      <c r="D169" s="293"/>
      <c r="E169" s="293"/>
      <c r="F169" s="293"/>
      <c r="G169" s="293"/>
      <c r="H169" s="293"/>
      <c r="I169" s="293"/>
      <c r="J169" s="293"/>
      <c r="K169" s="293"/>
      <c r="L169" s="293"/>
      <c r="M169" s="293"/>
      <c r="N169" s="293"/>
      <c r="O169" s="293"/>
      <c r="P169" s="293"/>
      <c r="Q169" s="293"/>
      <c r="R169" s="293"/>
      <c r="S169" s="293"/>
      <c r="T169" s="293"/>
      <c r="U169" s="293"/>
      <c r="V169" s="293"/>
      <c r="W169" s="293"/>
      <c r="X169" s="293"/>
      <c r="Y169" s="293"/>
      <c r="Z169" s="293"/>
      <c r="AA169" s="293"/>
      <c r="AB169" s="293"/>
      <c r="AC169" s="293"/>
      <c r="AD169" s="293"/>
      <c r="AE169" s="293"/>
      <c r="AF169" s="293"/>
      <c r="AG169" s="293"/>
      <c r="AH169" s="293"/>
      <c r="AI169" s="293"/>
      <c r="AJ169" s="293"/>
      <c r="AK169" s="293"/>
      <c r="AL169" s="293"/>
      <c r="AM169" s="293"/>
      <c r="AN169" s="293"/>
      <c r="AO169" s="293"/>
      <c r="AP169" s="293"/>
      <c r="AQ169" s="293"/>
      <c r="AR169" s="293"/>
      <c r="AS169" s="293"/>
      <c r="AT169" s="293"/>
      <c r="AU169" s="293"/>
      <c r="AV169" s="293"/>
      <c r="AW169" s="293"/>
      <c r="AX169" s="293"/>
      <c r="AY169" s="293"/>
      <c r="AZ169" s="293"/>
      <c r="BA169" s="293"/>
      <c r="BB169" s="293"/>
      <c r="BC169" s="293"/>
      <c r="BD169" s="293"/>
      <c r="BE169" s="293"/>
      <c r="BF169" s="293"/>
      <c r="BG169" s="293"/>
      <c r="BH169" s="293"/>
      <c r="BI169" s="293"/>
      <c r="BJ169" s="293"/>
      <c r="BK169" s="293"/>
      <c r="BL169" s="293"/>
      <c r="BM169" s="293"/>
      <c r="BN169" s="293"/>
      <c r="BO169" s="293"/>
      <c r="BP169" s="293"/>
      <c r="BQ169" s="293"/>
      <c r="BR169" s="293"/>
      <c r="BS169" s="293"/>
      <c r="BT169" s="293"/>
      <c r="BU169" s="293"/>
      <c r="BV169" s="293"/>
      <c r="BW169" s="293"/>
      <c r="BX169" s="293"/>
      <c r="BY169" s="293"/>
      <c r="BZ169" s="293"/>
      <c r="CA169" s="293"/>
      <c r="CB169" s="293"/>
      <c r="CC169" s="293"/>
      <c r="CD169" s="293"/>
      <c r="CE169" s="293"/>
      <c r="CF169" s="293"/>
      <c r="CG169" s="293"/>
      <c r="CH169" s="293"/>
      <c r="CI169" s="293"/>
      <c r="CJ169" s="293"/>
      <c r="CK169" s="293"/>
      <c r="CL169" s="293"/>
      <c r="CM169" s="293"/>
      <c r="CN169" s="293"/>
      <c r="CO169" s="293"/>
      <c r="CP169" s="293"/>
      <c r="CQ169" s="293"/>
      <c r="CR169" s="293"/>
      <c r="CS169" s="293"/>
      <c r="CT169" s="293"/>
      <c r="CU169" s="293"/>
      <c r="CV169" s="293"/>
      <c r="CW169" s="293"/>
      <c r="CX169" s="293"/>
      <c r="CY169" s="293"/>
      <c r="CZ169" s="293"/>
      <c r="DA169" s="293"/>
      <c r="DB169" s="293"/>
      <c r="DC169" s="293"/>
      <c r="DD169" s="293"/>
      <c r="DE169" s="293"/>
      <c r="DF169" s="293"/>
      <c r="DG169" s="288"/>
      <c r="DH169" s="288"/>
      <c r="DI169" s="288"/>
      <c r="DJ169" s="288"/>
      <c r="DK169" s="288"/>
      <c r="DL169" s="288"/>
      <c r="DM169" s="288"/>
      <c r="DN169" s="288"/>
      <c r="DO169" s="288"/>
      <c r="DP169" s="288"/>
      <c r="DQ169" s="288"/>
      <c r="DR169" s="288"/>
      <c r="DS169" s="288"/>
      <c r="DT169" s="288"/>
      <c r="DU169" s="288"/>
      <c r="DV169" s="288"/>
      <c r="DW169" s="288"/>
      <c r="DX169" s="288"/>
    </row>
    <row r="170" ht="14.25" customHeight="1">
      <c r="A170" s="293"/>
      <c r="B170" s="293"/>
      <c r="C170" s="293"/>
      <c r="D170" s="293"/>
      <c r="E170" s="293"/>
      <c r="F170" s="293"/>
      <c r="G170" s="293"/>
      <c r="H170" s="293"/>
      <c r="I170" s="293"/>
      <c r="J170" s="293"/>
      <c r="K170" s="293"/>
      <c r="L170" s="293"/>
      <c r="M170" s="293"/>
      <c r="N170" s="293"/>
      <c r="O170" s="293"/>
      <c r="P170" s="293"/>
      <c r="Q170" s="293"/>
      <c r="R170" s="293"/>
      <c r="S170" s="293"/>
      <c r="T170" s="293"/>
      <c r="U170" s="293"/>
      <c r="V170" s="293"/>
      <c r="W170" s="293"/>
      <c r="X170" s="293"/>
      <c r="Y170" s="293"/>
      <c r="Z170" s="293"/>
      <c r="AA170" s="293"/>
      <c r="AB170" s="293"/>
      <c r="AC170" s="293"/>
      <c r="AD170" s="293"/>
      <c r="AE170" s="293"/>
      <c r="AF170" s="293"/>
      <c r="AG170" s="293"/>
      <c r="AH170" s="293"/>
      <c r="AI170" s="293"/>
      <c r="AJ170" s="293"/>
      <c r="AK170" s="293"/>
      <c r="AL170" s="293"/>
      <c r="AM170" s="293"/>
      <c r="AN170" s="293"/>
      <c r="AO170" s="293"/>
      <c r="AP170" s="293"/>
      <c r="AQ170" s="293"/>
      <c r="AR170" s="293"/>
      <c r="AS170" s="293"/>
      <c r="AT170" s="293"/>
      <c r="AU170" s="293"/>
      <c r="AV170" s="293"/>
      <c r="AW170" s="293"/>
      <c r="AX170" s="293"/>
      <c r="AY170" s="293"/>
      <c r="AZ170" s="293"/>
      <c r="BA170" s="293"/>
      <c r="BB170" s="293"/>
      <c r="BC170" s="293"/>
      <c r="BD170" s="293"/>
      <c r="BE170" s="293"/>
      <c r="BF170" s="293"/>
      <c r="BG170" s="293"/>
      <c r="BH170" s="293"/>
      <c r="BI170" s="293"/>
      <c r="BJ170" s="293"/>
      <c r="BK170" s="293"/>
      <c r="BL170" s="293"/>
      <c r="BM170" s="293"/>
      <c r="BN170" s="293"/>
      <c r="BO170" s="293"/>
      <c r="BP170" s="293"/>
      <c r="BQ170" s="293"/>
      <c r="BR170" s="293"/>
      <c r="BS170" s="293"/>
      <c r="BT170" s="293"/>
      <c r="BU170" s="293"/>
      <c r="BV170" s="293"/>
      <c r="BW170" s="293"/>
      <c r="BX170" s="293"/>
      <c r="BY170" s="293"/>
      <c r="BZ170" s="293"/>
      <c r="CA170" s="293"/>
      <c r="CB170" s="293"/>
      <c r="CC170" s="293"/>
      <c r="CD170" s="293"/>
      <c r="CE170" s="293"/>
      <c r="CF170" s="293"/>
      <c r="CG170" s="293"/>
      <c r="CH170" s="293"/>
      <c r="CI170" s="293"/>
      <c r="CJ170" s="293"/>
      <c r="CK170" s="293"/>
      <c r="CL170" s="293"/>
      <c r="CM170" s="293"/>
      <c r="CN170" s="293"/>
      <c r="CO170" s="293"/>
      <c r="CP170" s="293"/>
      <c r="CQ170" s="293"/>
      <c r="CR170" s="293"/>
      <c r="CS170" s="293"/>
      <c r="CT170" s="293"/>
      <c r="CU170" s="293"/>
      <c r="CV170" s="293"/>
      <c r="CW170" s="293"/>
      <c r="CX170" s="293"/>
      <c r="CY170" s="293"/>
      <c r="CZ170" s="293"/>
      <c r="DA170" s="293"/>
      <c r="DB170" s="293"/>
      <c r="DC170" s="293"/>
      <c r="DD170" s="293"/>
      <c r="DE170" s="293"/>
      <c r="DF170" s="293"/>
      <c r="DG170" s="288"/>
      <c r="DH170" s="288"/>
      <c r="DI170" s="288"/>
      <c r="DJ170" s="288"/>
      <c r="DK170" s="288"/>
      <c r="DL170" s="288"/>
      <c r="DM170" s="288"/>
      <c r="DN170" s="288"/>
      <c r="DO170" s="288"/>
      <c r="DP170" s="288"/>
      <c r="DQ170" s="288"/>
      <c r="DR170" s="288"/>
      <c r="DS170" s="288"/>
      <c r="DT170" s="288"/>
      <c r="DU170" s="288"/>
      <c r="DV170" s="288"/>
      <c r="DW170" s="288"/>
      <c r="DX170" s="288"/>
    </row>
    <row r="171" ht="14.25" customHeight="1">
      <c r="A171" s="293"/>
      <c r="B171" s="293"/>
      <c r="C171" s="293"/>
      <c r="D171" s="293"/>
      <c r="E171" s="293"/>
      <c r="F171" s="293"/>
      <c r="G171" s="293"/>
      <c r="H171" s="293"/>
      <c r="I171" s="293"/>
      <c r="J171" s="293"/>
      <c r="K171" s="293"/>
      <c r="L171" s="293"/>
      <c r="M171" s="293"/>
      <c r="N171" s="293"/>
      <c r="O171" s="293"/>
      <c r="P171" s="293"/>
      <c r="Q171" s="293"/>
      <c r="R171" s="293"/>
      <c r="S171" s="293"/>
      <c r="T171" s="293"/>
      <c r="U171" s="293"/>
      <c r="V171" s="293"/>
      <c r="W171" s="293"/>
      <c r="X171" s="293"/>
      <c r="Y171" s="293"/>
      <c r="Z171" s="293"/>
      <c r="AA171" s="293"/>
      <c r="AB171" s="293"/>
      <c r="AC171" s="293"/>
      <c r="AD171" s="293"/>
      <c r="AE171" s="293"/>
      <c r="AF171" s="293"/>
      <c r="AG171" s="293"/>
      <c r="AH171" s="293"/>
      <c r="AI171" s="293"/>
      <c r="AJ171" s="293"/>
      <c r="AK171" s="293"/>
      <c r="AL171" s="293"/>
      <c r="AM171" s="293"/>
      <c r="AN171" s="293"/>
      <c r="AO171" s="293"/>
      <c r="AP171" s="293"/>
      <c r="AQ171" s="293"/>
      <c r="AR171" s="293"/>
      <c r="AS171" s="293"/>
      <c r="AT171" s="293"/>
      <c r="AU171" s="293"/>
      <c r="AV171" s="293"/>
      <c r="AW171" s="293"/>
      <c r="AX171" s="293"/>
      <c r="AY171" s="293"/>
      <c r="AZ171" s="293"/>
      <c r="BA171" s="293"/>
      <c r="BB171" s="293"/>
      <c r="BC171" s="293"/>
      <c r="BD171" s="293"/>
      <c r="BE171" s="293"/>
      <c r="BF171" s="293"/>
      <c r="BG171" s="293"/>
      <c r="BH171" s="293"/>
      <c r="BI171" s="293"/>
      <c r="BJ171" s="293"/>
      <c r="BK171" s="293"/>
      <c r="BL171" s="293"/>
      <c r="BM171" s="293"/>
      <c r="BN171" s="293"/>
      <c r="BO171" s="293"/>
      <c r="BP171" s="293"/>
      <c r="BQ171" s="293"/>
      <c r="BR171" s="293"/>
      <c r="BS171" s="293"/>
      <c r="BT171" s="293"/>
      <c r="BU171" s="293"/>
      <c r="BV171" s="293"/>
      <c r="BW171" s="293"/>
      <c r="BX171" s="293"/>
      <c r="BY171" s="293"/>
      <c r="BZ171" s="293"/>
      <c r="CA171" s="293"/>
      <c r="CB171" s="293"/>
      <c r="CC171" s="293"/>
      <c r="CD171" s="293"/>
      <c r="CE171" s="293"/>
      <c r="CF171" s="293"/>
      <c r="CG171" s="293"/>
      <c r="CH171" s="293"/>
      <c r="CI171" s="293"/>
      <c r="CJ171" s="293"/>
      <c r="CK171" s="293"/>
      <c r="CL171" s="293"/>
      <c r="CM171" s="293"/>
      <c r="CN171" s="293"/>
      <c r="CO171" s="293"/>
      <c r="CP171" s="293"/>
      <c r="CQ171" s="293"/>
      <c r="CR171" s="293"/>
      <c r="CS171" s="293"/>
      <c r="CT171" s="293"/>
      <c r="CU171" s="293"/>
      <c r="CV171" s="293"/>
      <c r="CW171" s="293"/>
      <c r="CX171" s="293"/>
      <c r="CY171" s="293"/>
      <c r="CZ171" s="293"/>
      <c r="DA171" s="293"/>
      <c r="DB171" s="293"/>
      <c r="DC171" s="293"/>
      <c r="DD171" s="293"/>
      <c r="DE171" s="293"/>
      <c r="DF171" s="293"/>
      <c r="DG171" s="288"/>
      <c r="DH171" s="288"/>
      <c r="DI171" s="288"/>
      <c r="DJ171" s="288"/>
      <c r="DK171" s="288"/>
      <c r="DL171" s="288"/>
      <c r="DM171" s="288"/>
      <c r="DN171" s="288"/>
      <c r="DO171" s="288"/>
      <c r="DP171" s="288"/>
      <c r="DQ171" s="288"/>
      <c r="DR171" s="288"/>
      <c r="DS171" s="288"/>
      <c r="DT171" s="288"/>
      <c r="DU171" s="288"/>
      <c r="DV171" s="288"/>
      <c r="DW171" s="288"/>
      <c r="DX171" s="288"/>
    </row>
    <row r="172" ht="14.25" customHeight="1">
      <c r="A172" s="293"/>
      <c r="B172" s="293"/>
      <c r="C172" s="293"/>
      <c r="D172" s="293"/>
      <c r="E172" s="293"/>
      <c r="F172" s="293"/>
      <c r="G172" s="293"/>
      <c r="H172" s="293"/>
      <c r="I172" s="293"/>
      <c r="J172" s="293"/>
      <c r="K172" s="293"/>
      <c r="L172" s="293"/>
      <c r="M172" s="293"/>
      <c r="N172" s="293"/>
      <c r="O172" s="293"/>
      <c r="P172" s="293"/>
      <c r="Q172" s="293"/>
      <c r="R172" s="293"/>
      <c r="S172" s="293"/>
      <c r="T172" s="293"/>
      <c r="U172" s="293"/>
      <c r="V172" s="293"/>
      <c r="W172" s="293"/>
      <c r="X172" s="293"/>
      <c r="Y172" s="293"/>
      <c r="Z172" s="293"/>
      <c r="AA172" s="293"/>
      <c r="AB172" s="293"/>
      <c r="AC172" s="293"/>
      <c r="AD172" s="293"/>
      <c r="AE172" s="293"/>
      <c r="AF172" s="293"/>
      <c r="AG172" s="293"/>
      <c r="AH172" s="293"/>
      <c r="AI172" s="293"/>
      <c r="AJ172" s="293"/>
      <c r="AK172" s="293"/>
      <c r="AL172" s="293"/>
      <c r="AM172" s="293"/>
      <c r="AN172" s="293"/>
      <c r="AO172" s="293"/>
      <c r="AP172" s="293"/>
      <c r="AQ172" s="293"/>
      <c r="AR172" s="293"/>
      <c r="AS172" s="293"/>
      <c r="AT172" s="293"/>
      <c r="AU172" s="293"/>
      <c r="AV172" s="293"/>
      <c r="AW172" s="293"/>
      <c r="AX172" s="293"/>
      <c r="AY172" s="293"/>
      <c r="AZ172" s="293"/>
      <c r="BA172" s="293"/>
      <c r="BB172" s="293"/>
      <c r="BC172" s="293"/>
      <c r="BD172" s="293"/>
      <c r="BE172" s="293"/>
      <c r="BF172" s="293"/>
      <c r="BG172" s="293"/>
      <c r="BH172" s="293"/>
      <c r="BI172" s="293"/>
      <c r="BJ172" s="293"/>
      <c r="BK172" s="293"/>
      <c r="BL172" s="293"/>
      <c r="BM172" s="293"/>
      <c r="BN172" s="293"/>
      <c r="BO172" s="293"/>
      <c r="BP172" s="293"/>
      <c r="BQ172" s="293"/>
      <c r="BR172" s="293"/>
      <c r="BS172" s="293"/>
      <c r="BT172" s="293"/>
      <c r="BU172" s="293"/>
      <c r="BV172" s="293"/>
      <c r="BW172" s="293"/>
      <c r="BX172" s="293"/>
      <c r="BY172" s="293"/>
      <c r="BZ172" s="293"/>
      <c r="CA172" s="293"/>
      <c r="CB172" s="293"/>
      <c r="CC172" s="293"/>
      <c r="CD172" s="293"/>
      <c r="CE172" s="293"/>
      <c r="CF172" s="293"/>
      <c r="CG172" s="293"/>
      <c r="CH172" s="293"/>
      <c r="CI172" s="293"/>
      <c r="CJ172" s="293"/>
      <c r="CK172" s="293"/>
      <c r="CL172" s="293"/>
      <c r="CM172" s="293"/>
      <c r="CN172" s="293"/>
      <c r="CO172" s="293"/>
      <c r="CP172" s="293"/>
      <c r="CQ172" s="293"/>
      <c r="CR172" s="293"/>
      <c r="CS172" s="293"/>
      <c r="CT172" s="293"/>
      <c r="CU172" s="293"/>
      <c r="CV172" s="293"/>
      <c r="CW172" s="293"/>
      <c r="CX172" s="293"/>
      <c r="CY172" s="293"/>
      <c r="CZ172" s="293"/>
      <c r="DA172" s="293"/>
      <c r="DB172" s="293"/>
      <c r="DC172" s="293"/>
      <c r="DD172" s="293"/>
      <c r="DE172" s="293"/>
      <c r="DF172" s="293"/>
      <c r="DG172" s="288"/>
      <c r="DH172" s="288"/>
      <c r="DI172" s="288"/>
      <c r="DJ172" s="288"/>
      <c r="DK172" s="288"/>
      <c r="DL172" s="288"/>
      <c r="DM172" s="288"/>
      <c r="DN172" s="288"/>
      <c r="DO172" s="288"/>
      <c r="DP172" s="288"/>
      <c r="DQ172" s="288"/>
      <c r="DR172" s="288"/>
      <c r="DS172" s="288"/>
      <c r="DT172" s="288"/>
      <c r="DU172" s="288"/>
      <c r="DV172" s="288"/>
      <c r="DW172" s="288"/>
      <c r="DX172" s="288"/>
    </row>
    <row r="173" ht="14.25" customHeight="1">
      <c r="A173" s="293"/>
      <c r="B173" s="293"/>
      <c r="C173" s="293"/>
      <c r="D173" s="293"/>
      <c r="E173" s="293"/>
      <c r="F173" s="293"/>
      <c r="G173" s="293"/>
      <c r="H173" s="293"/>
      <c r="I173" s="293"/>
      <c r="J173" s="293"/>
      <c r="K173" s="293"/>
      <c r="L173" s="293"/>
      <c r="M173" s="293"/>
      <c r="N173" s="293"/>
      <c r="O173" s="293"/>
      <c r="P173" s="293"/>
      <c r="Q173" s="293"/>
      <c r="R173" s="293"/>
      <c r="S173" s="293"/>
      <c r="T173" s="293"/>
      <c r="U173" s="293"/>
      <c r="V173" s="293"/>
      <c r="W173" s="293"/>
      <c r="X173" s="293"/>
      <c r="Y173" s="293"/>
      <c r="Z173" s="293"/>
      <c r="AA173" s="293"/>
      <c r="AB173" s="293"/>
      <c r="AC173" s="293"/>
      <c r="AD173" s="293"/>
      <c r="AE173" s="293"/>
      <c r="AF173" s="293"/>
      <c r="AG173" s="293"/>
      <c r="AH173" s="293"/>
      <c r="AI173" s="293"/>
      <c r="AJ173" s="293"/>
      <c r="AK173" s="293"/>
      <c r="AL173" s="293"/>
      <c r="AM173" s="293"/>
      <c r="AN173" s="293"/>
      <c r="AO173" s="293"/>
      <c r="AP173" s="293"/>
      <c r="AQ173" s="293"/>
      <c r="AR173" s="293"/>
      <c r="AS173" s="293"/>
      <c r="AT173" s="293"/>
      <c r="AU173" s="293"/>
      <c r="AV173" s="293"/>
      <c r="AW173" s="293"/>
      <c r="AX173" s="293"/>
      <c r="AY173" s="293"/>
      <c r="AZ173" s="293"/>
      <c r="BA173" s="293"/>
      <c r="BB173" s="293"/>
      <c r="BC173" s="293"/>
      <c r="BD173" s="293"/>
      <c r="BE173" s="293"/>
      <c r="BF173" s="293"/>
      <c r="BG173" s="293"/>
      <c r="BH173" s="293"/>
      <c r="BI173" s="293"/>
      <c r="BJ173" s="293"/>
      <c r="BK173" s="293"/>
      <c r="BL173" s="293"/>
      <c r="BM173" s="293"/>
      <c r="BN173" s="293"/>
      <c r="BO173" s="293"/>
      <c r="BP173" s="293"/>
      <c r="BQ173" s="293"/>
      <c r="BR173" s="293"/>
      <c r="BS173" s="293"/>
      <c r="BT173" s="293"/>
      <c r="BU173" s="293"/>
      <c r="BV173" s="293"/>
      <c r="BW173" s="293"/>
      <c r="BX173" s="293"/>
      <c r="BY173" s="293"/>
      <c r="BZ173" s="293"/>
      <c r="CA173" s="293"/>
      <c r="CB173" s="293"/>
      <c r="CC173" s="293"/>
      <c r="CD173" s="293"/>
      <c r="CE173" s="293"/>
      <c r="CF173" s="293"/>
      <c r="CG173" s="293"/>
      <c r="CH173" s="293"/>
      <c r="CI173" s="293"/>
      <c r="CJ173" s="293"/>
      <c r="CK173" s="293"/>
      <c r="CL173" s="293"/>
      <c r="CM173" s="293"/>
      <c r="CN173" s="293"/>
      <c r="CO173" s="293"/>
      <c r="CP173" s="293"/>
      <c r="CQ173" s="293"/>
      <c r="CR173" s="293"/>
      <c r="CS173" s="293"/>
      <c r="CT173" s="293"/>
      <c r="CU173" s="293"/>
      <c r="CV173" s="293"/>
      <c r="CW173" s="293"/>
      <c r="CX173" s="293"/>
      <c r="CY173" s="293"/>
      <c r="CZ173" s="293"/>
      <c r="DA173" s="293"/>
      <c r="DB173" s="293"/>
      <c r="DC173" s="293"/>
      <c r="DD173" s="293"/>
      <c r="DE173" s="293"/>
      <c r="DF173" s="293"/>
      <c r="DG173" s="288"/>
      <c r="DH173" s="288"/>
      <c r="DI173" s="288"/>
      <c r="DJ173" s="288"/>
      <c r="DK173" s="288"/>
      <c r="DL173" s="288"/>
      <c r="DM173" s="288"/>
      <c r="DN173" s="288"/>
      <c r="DO173" s="288"/>
      <c r="DP173" s="288"/>
      <c r="DQ173" s="288"/>
      <c r="DR173" s="288"/>
      <c r="DS173" s="288"/>
      <c r="DT173" s="288"/>
      <c r="DU173" s="288"/>
      <c r="DV173" s="288"/>
      <c r="DW173" s="288"/>
      <c r="DX173" s="288"/>
    </row>
    <row r="174" ht="14.25" customHeight="1">
      <c r="A174" s="293"/>
      <c r="B174" s="293"/>
      <c r="C174" s="293"/>
      <c r="D174" s="293"/>
      <c r="E174" s="293"/>
      <c r="F174" s="293"/>
      <c r="G174" s="293"/>
      <c r="H174" s="293"/>
      <c r="I174" s="293"/>
      <c r="J174" s="293"/>
      <c r="K174" s="293"/>
      <c r="L174" s="293"/>
      <c r="M174" s="293"/>
      <c r="N174" s="293"/>
      <c r="O174" s="293"/>
      <c r="P174" s="293"/>
      <c r="Q174" s="293"/>
      <c r="R174" s="293"/>
      <c r="S174" s="293"/>
      <c r="T174" s="293"/>
      <c r="U174" s="293"/>
      <c r="V174" s="293"/>
      <c r="W174" s="293"/>
      <c r="X174" s="293"/>
      <c r="Y174" s="293"/>
      <c r="Z174" s="293"/>
      <c r="AA174" s="293"/>
      <c r="AB174" s="293"/>
      <c r="AC174" s="293"/>
      <c r="AD174" s="293"/>
      <c r="AE174" s="293"/>
      <c r="AF174" s="293"/>
      <c r="AG174" s="293"/>
      <c r="AH174" s="293"/>
      <c r="AI174" s="293"/>
      <c r="AJ174" s="293"/>
      <c r="AK174" s="293"/>
      <c r="AL174" s="293"/>
      <c r="AM174" s="293"/>
      <c r="AN174" s="293"/>
      <c r="AO174" s="293"/>
      <c r="AP174" s="293"/>
      <c r="AQ174" s="293"/>
      <c r="AR174" s="293"/>
      <c r="AS174" s="293"/>
      <c r="AT174" s="293"/>
      <c r="AU174" s="293"/>
      <c r="AV174" s="293"/>
      <c r="AW174" s="293"/>
      <c r="AX174" s="293"/>
      <c r="AY174" s="293"/>
      <c r="AZ174" s="293"/>
      <c r="BA174" s="293"/>
      <c r="BB174" s="293"/>
      <c r="BC174" s="293"/>
      <c r="BD174" s="293"/>
      <c r="BE174" s="293"/>
      <c r="BF174" s="293"/>
      <c r="BG174" s="293"/>
      <c r="BH174" s="293"/>
      <c r="BI174" s="293"/>
      <c r="BJ174" s="293"/>
      <c r="BK174" s="293"/>
      <c r="BL174" s="293"/>
      <c r="BM174" s="293"/>
      <c r="BN174" s="293"/>
      <c r="BO174" s="293"/>
      <c r="BP174" s="293"/>
      <c r="BQ174" s="293"/>
      <c r="BR174" s="293"/>
      <c r="BS174" s="293"/>
      <c r="BT174" s="293"/>
      <c r="BU174" s="293"/>
      <c r="BV174" s="293"/>
      <c r="BW174" s="293"/>
      <c r="BX174" s="293"/>
      <c r="BY174" s="293"/>
      <c r="BZ174" s="293"/>
      <c r="CA174" s="293"/>
      <c r="CB174" s="293"/>
      <c r="CC174" s="293"/>
      <c r="CD174" s="293"/>
      <c r="CE174" s="293"/>
      <c r="CF174" s="293"/>
      <c r="CG174" s="293"/>
      <c r="CH174" s="293"/>
      <c r="CI174" s="293"/>
      <c r="CJ174" s="293"/>
      <c r="CK174" s="293"/>
      <c r="CL174" s="293"/>
      <c r="CM174" s="293"/>
      <c r="CN174" s="293"/>
      <c r="CO174" s="293"/>
      <c r="CP174" s="293"/>
      <c r="CQ174" s="293"/>
      <c r="CR174" s="293"/>
      <c r="CS174" s="293"/>
      <c r="CT174" s="293"/>
      <c r="CU174" s="293"/>
      <c r="CV174" s="293"/>
      <c r="CW174" s="293"/>
      <c r="CX174" s="293"/>
      <c r="CY174" s="293"/>
      <c r="CZ174" s="293"/>
      <c r="DA174" s="293"/>
      <c r="DB174" s="293"/>
      <c r="DC174" s="293"/>
      <c r="DD174" s="293"/>
      <c r="DE174" s="293"/>
      <c r="DF174" s="293"/>
      <c r="DG174" s="288"/>
      <c r="DH174" s="288"/>
      <c r="DI174" s="288"/>
      <c r="DJ174" s="288"/>
      <c r="DK174" s="288"/>
      <c r="DL174" s="288"/>
      <c r="DM174" s="288"/>
      <c r="DN174" s="288"/>
      <c r="DO174" s="288"/>
      <c r="DP174" s="288"/>
      <c r="DQ174" s="288"/>
      <c r="DR174" s="288"/>
      <c r="DS174" s="288"/>
      <c r="DT174" s="288"/>
      <c r="DU174" s="288"/>
      <c r="DV174" s="288"/>
      <c r="DW174" s="288"/>
      <c r="DX174" s="288"/>
    </row>
    <row r="175" ht="14.25" customHeight="1">
      <c r="A175" s="293"/>
      <c r="B175" s="293"/>
      <c r="C175" s="293"/>
      <c r="D175" s="293"/>
      <c r="E175" s="293"/>
      <c r="F175" s="293"/>
      <c r="G175" s="293"/>
      <c r="H175" s="293"/>
      <c r="I175" s="293"/>
      <c r="J175" s="293"/>
      <c r="K175" s="293"/>
      <c r="L175" s="293"/>
      <c r="M175" s="293"/>
      <c r="N175" s="293"/>
      <c r="O175" s="293"/>
      <c r="P175" s="293"/>
      <c r="Q175" s="293"/>
      <c r="R175" s="293"/>
      <c r="S175" s="293"/>
      <c r="T175" s="293"/>
      <c r="U175" s="293"/>
      <c r="V175" s="293"/>
      <c r="W175" s="293"/>
      <c r="X175" s="293"/>
      <c r="Y175" s="293"/>
      <c r="Z175" s="293"/>
      <c r="AA175" s="293"/>
      <c r="AB175" s="293"/>
      <c r="AC175" s="293"/>
      <c r="AD175" s="293"/>
      <c r="AE175" s="293"/>
      <c r="AF175" s="293"/>
      <c r="AG175" s="293"/>
      <c r="AH175" s="293"/>
      <c r="AI175" s="293"/>
      <c r="AJ175" s="293"/>
      <c r="AK175" s="293"/>
      <c r="AL175" s="293"/>
      <c r="AM175" s="293"/>
      <c r="AN175" s="293"/>
      <c r="AO175" s="293"/>
      <c r="AP175" s="293"/>
      <c r="AQ175" s="293"/>
      <c r="AR175" s="293"/>
      <c r="AS175" s="293"/>
      <c r="AT175" s="293"/>
      <c r="AU175" s="293"/>
      <c r="AV175" s="293"/>
      <c r="AW175" s="293"/>
      <c r="AX175" s="293"/>
      <c r="AY175" s="293"/>
      <c r="AZ175" s="293"/>
      <c r="BA175" s="293"/>
      <c r="BB175" s="293"/>
      <c r="BC175" s="293"/>
      <c r="BD175" s="293"/>
      <c r="BE175" s="293"/>
      <c r="BF175" s="293"/>
      <c r="BG175" s="293"/>
      <c r="BH175" s="293"/>
      <c r="BI175" s="293"/>
      <c r="BJ175" s="293"/>
      <c r="BK175" s="293"/>
      <c r="BL175" s="293"/>
      <c r="BM175" s="293"/>
      <c r="BN175" s="293"/>
      <c r="BO175" s="293"/>
      <c r="BP175" s="293"/>
      <c r="BQ175" s="293"/>
      <c r="BR175" s="293"/>
      <c r="BS175" s="293"/>
      <c r="BT175" s="293"/>
      <c r="BU175" s="293"/>
      <c r="BV175" s="293"/>
      <c r="BW175" s="293"/>
      <c r="BX175" s="293"/>
      <c r="BY175" s="293"/>
      <c r="BZ175" s="293"/>
      <c r="CA175" s="293"/>
      <c r="CB175" s="293"/>
      <c r="CC175" s="293"/>
      <c r="CD175" s="293"/>
      <c r="CE175" s="293"/>
      <c r="CF175" s="293"/>
      <c r="CG175" s="293"/>
      <c r="CH175" s="293"/>
      <c r="CI175" s="293"/>
      <c r="CJ175" s="293"/>
      <c r="CK175" s="293"/>
      <c r="CL175" s="293"/>
      <c r="CM175" s="293"/>
      <c r="CN175" s="293"/>
      <c r="CO175" s="293"/>
      <c r="CP175" s="293"/>
      <c r="CQ175" s="293"/>
      <c r="CR175" s="293"/>
      <c r="CS175" s="293"/>
      <c r="CT175" s="293"/>
      <c r="CU175" s="293"/>
      <c r="CV175" s="293"/>
      <c r="CW175" s="293"/>
      <c r="CX175" s="293"/>
      <c r="CY175" s="293"/>
      <c r="CZ175" s="293"/>
      <c r="DA175" s="293"/>
      <c r="DB175" s="293"/>
      <c r="DC175" s="293"/>
      <c r="DD175" s="293"/>
      <c r="DE175" s="293"/>
      <c r="DF175" s="293"/>
      <c r="DG175" s="288"/>
      <c r="DH175" s="288"/>
      <c r="DI175" s="288"/>
      <c r="DJ175" s="288"/>
      <c r="DK175" s="288"/>
      <c r="DL175" s="288"/>
      <c r="DM175" s="288"/>
      <c r="DN175" s="288"/>
      <c r="DO175" s="288"/>
      <c r="DP175" s="288"/>
      <c r="DQ175" s="288"/>
      <c r="DR175" s="288"/>
      <c r="DS175" s="288"/>
      <c r="DT175" s="288"/>
      <c r="DU175" s="288"/>
      <c r="DV175" s="288"/>
      <c r="DW175" s="288"/>
      <c r="DX175" s="288"/>
    </row>
    <row r="176" ht="14.25" customHeight="1">
      <c r="A176" s="293"/>
      <c r="B176" s="293"/>
      <c r="C176" s="293"/>
      <c r="D176" s="293"/>
      <c r="E176" s="293"/>
      <c r="F176" s="293"/>
      <c r="G176" s="293"/>
      <c r="H176" s="293"/>
      <c r="I176" s="293"/>
      <c r="J176" s="293"/>
      <c r="K176" s="293"/>
      <c r="L176" s="293"/>
      <c r="M176" s="293"/>
      <c r="N176" s="293"/>
      <c r="O176" s="293"/>
      <c r="P176" s="293"/>
      <c r="Q176" s="293"/>
      <c r="R176" s="293"/>
      <c r="S176" s="293"/>
      <c r="T176" s="293"/>
      <c r="U176" s="293"/>
      <c r="V176" s="293"/>
      <c r="W176" s="293"/>
      <c r="X176" s="293"/>
      <c r="Y176" s="293"/>
      <c r="Z176" s="293"/>
      <c r="AA176" s="293"/>
      <c r="AB176" s="293"/>
      <c r="AC176" s="293"/>
      <c r="AD176" s="293"/>
      <c r="AE176" s="293"/>
      <c r="AF176" s="293"/>
      <c r="AG176" s="293"/>
      <c r="AH176" s="293"/>
      <c r="AI176" s="293"/>
      <c r="AJ176" s="293"/>
      <c r="AK176" s="293"/>
      <c r="AL176" s="293"/>
      <c r="AM176" s="293"/>
      <c r="AN176" s="293"/>
      <c r="AO176" s="293"/>
      <c r="AP176" s="293"/>
      <c r="AQ176" s="293"/>
      <c r="AR176" s="293"/>
      <c r="AS176" s="293"/>
      <c r="AT176" s="293"/>
      <c r="AU176" s="293"/>
      <c r="AV176" s="293"/>
      <c r="AW176" s="293"/>
      <c r="AX176" s="293"/>
      <c r="AY176" s="293"/>
      <c r="AZ176" s="293"/>
      <c r="BA176" s="293"/>
      <c r="BB176" s="293"/>
      <c r="BC176" s="293"/>
      <c r="BD176" s="293"/>
      <c r="BE176" s="293"/>
      <c r="BF176" s="293"/>
      <c r="BG176" s="293"/>
      <c r="BH176" s="293"/>
      <c r="BI176" s="293"/>
      <c r="BJ176" s="293"/>
      <c r="BK176" s="293"/>
      <c r="BL176" s="293"/>
      <c r="BM176" s="293"/>
      <c r="BN176" s="293"/>
      <c r="BO176" s="293"/>
      <c r="BP176" s="293"/>
      <c r="BQ176" s="293"/>
      <c r="BR176" s="293"/>
      <c r="BS176" s="293"/>
      <c r="BT176" s="293"/>
      <c r="BU176" s="293"/>
      <c r="BV176" s="293"/>
      <c r="BW176" s="293"/>
      <c r="BX176" s="293"/>
      <c r="BY176" s="293"/>
      <c r="BZ176" s="293"/>
      <c r="CA176" s="293"/>
      <c r="CB176" s="293"/>
      <c r="CC176" s="293"/>
      <c r="CD176" s="293"/>
      <c r="CE176" s="293"/>
      <c r="CF176" s="293"/>
      <c r="CG176" s="293"/>
      <c r="CH176" s="293"/>
      <c r="CI176" s="293"/>
      <c r="CJ176" s="293"/>
      <c r="CK176" s="293"/>
      <c r="CL176" s="293"/>
      <c r="CM176" s="293"/>
      <c r="CN176" s="293"/>
      <c r="CO176" s="293"/>
      <c r="CP176" s="293"/>
      <c r="CQ176" s="293"/>
      <c r="CR176" s="293"/>
      <c r="CS176" s="293"/>
      <c r="CT176" s="293"/>
      <c r="CU176" s="293"/>
      <c r="CV176" s="293"/>
      <c r="CW176" s="293"/>
      <c r="CX176" s="293"/>
      <c r="CY176" s="293"/>
      <c r="CZ176" s="293"/>
      <c r="DA176" s="293"/>
      <c r="DB176" s="293"/>
      <c r="DC176" s="293"/>
      <c r="DD176" s="293"/>
      <c r="DE176" s="293"/>
      <c r="DF176" s="293"/>
      <c r="DG176" s="288"/>
      <c r="DH176" s="288"/>
      <c r="DI176" s="288"/>
      <c r="DJ176" s="288"/>
      <c r="DK176" s="288"/>
      <c r="DL176" s="288"/>
      <c r="DM176" s="288"/>
      <c r="DN176" s="288"/>
      <c r="DO176" s="288"/>
      <c r="DP176" s="288"/>
      <c r="DQ176" s="288"/>
      <c r="DR176" s="288"/>
      <c r="DS176" s="288"/>
      <c r="DT176" s="288"/>
      <c r="DU176" s="288"/>
      <c r="DV176" s="288"/>
      <c r="DW176" s="288"/>
      <c r="DX176" s="288"/>
    </row>
    <row r="177" ht="14.25" customHeight="1">
      <c r="A177" s="293"/>
      <c r="B177" s="293"/>
      <c r="C177" s="293"/>
      <c r="D177" s="293"/>
      <c r="E177" s="293"/>
      <c r="F177" s="293"/>
      <c r="G177" s="293"/>
      <c r="H177" s="293"/>
      <c r="I177" s="293"/>
      <c r="J177" s="293"/>
      <c r="K177" s="293"/>
      <c r="L177" s="293"/>
      <c r="M177" s="293"/>
      <c r="N177" s="293"/>
      <c r="O177" s="293"/>
      <c r="P177" s="293"/>
      <c r="Q177" s="293"/>
      <c r="R177" s="293"/>
      <c r="S177" s="293"/>
      <c r="T177" s="293"/>
      <c r="U177" s="293"/>
      <c r="V177" s="293"/>
      <c r="W177" s="293"/>
      <c r="X177" s="293"/>
      <c r="Y177" s="293"/>
      <c r="Z177" s="293"/>
      <c r="AA177" s="293"/>
      <c r="AB177" s="293"/>
      <c r="AC177" s="293"/>
      <c r="AD177" s="293"/>
      <c r="AE177" s="293"/>
      <c r="AF177" s="293"/>
      <c r="AG177" s="293"/>
      <c r="AH177" s="293"/>
      <c r="AI177" s="293"/>
      <c r="AJ177" s="293"/>
      <c r="AK177" s="293"/>
      <c r="AL177" s="293"/>
      <c r="AM177" s="293"/>
      <c r="AN177" s="293"/>
      <c r="AO177" s="293"/>
      <c r="AP177" s="293"/>
      <c r="AQ177" s="293"/>
      <c r="AR177" s="293"/>
      <c r="AS177" s="293"/>
      <c r="AT177" s="293"/>
      <c r="AU177" s="293"/>
      <c r="AV177" s="293"/>
      <c r="AW177" s="293"/>
      <c r="AX177" s="293"/>
      <c r="AY177" s="293"/>
      <c r="AZ177" s="293"/>
      <c r="BA177" s="293"/>
      <c r="BB177" s="293"/>
      <c r="BC177" s="293"/>
      <c r="BD177" s="293"/>
      <c r="BE177" s="293"/>
      <c r="BF177" s="293"/>
      <c r="BG177" s="293"/>
      <c r="BH177" s="293"/>
      <c r="BI177" s="293"/>
      <c r="BJ177" s="293"/>
      <c r="BK177" s="293"/>
      <c r="BL177" s="293"/>
      <c r="BM177" s="293"/>
      <c r="BN177" s="293"/>
      <c r="BO177" s="293"/>
      <c r="BP177" s="293"/>
      <c r="BQ177" s="293"/>
      <c r="BR177" s="293"/>
      <c r="BS177" s="293"/>
      <c r="BT177" s="293"/>
      <c r="BU177" s="293"/>
      <c r="BV177" s="293"/>
      <c r="BW177" s="293"/>
      <c r="BX177" s="293"/>
      <c r="BY177" s="293"/>
      <c r="BZ177" s="293"/>
      <c r="CA177" s="293"/>
      <c r="CB177" s="293"/>
      <c r="CC177" s="293"/>
      <c r="CD177" s="293"/>
      <c r="CE177" s="293"/>
      <c r="CF177" s="293"/>
      <c r="CG177" s="293"/>
      <c r="CH177" s="293"/>
      <c r="CI177" s="293"/>
      <c r="CJ177" s="293"/>
      <c r="CK177" s="293"/>
      <c r="CL177" s="293"/>
      <c r="CM177" s="293"/>
      <c r="CN177" s="293"/>
      <c r="CO177" s="293"/>
      <c r="CP177" s="293"/>
      <c r="CQ177" s="293"/>
      <c r="CR177" s="293"/>
      <c r="CS177" s="293"/>
      <c r="CT177" s="293"/>
      <c r="CU177" s="293"/>
      <c r="CV177" s="293"/>
      <c r="CW177" s="293"/>
      <c r="CX177" s="293"/>
      <c r="CY177" s="293"/>
      <c r="CZ177" s="293"/>
      <c r="DA177" s="293"/>
      <c r="DB177" s="293"/>
      <c r="DC177" s="293"/>
      <c r="DD177" s="293"/>
      <c r="DE177" s="293"/>
      <c r="DF177" s="293"/>
      <c r="DG177" s="288"/>
      <c r="DH177" s="288"/>
      <c r="DI177" s="288"/>
      <c r="DJ177" s="288"/>
      <c r="DK177" s="288"/>
      <c r="DL177" s="288"/>
      <c r="DM177" s="288"/>
      <c r="DN177" s="288"/>
      <c r="DO177" s="288"/>
      <c r="DP177" s="288"/>
      <c r="DQ177" s="288"/>
      <c r="DR177" s="288"/>
      <c r="DS177" s="288"/>
      <c r="DT177" s="288"/>
      <c r="DU177" s="288"/>
      <c r="DV177" s="288"/>
      <c r="DW177" s="288"/>
      <c r="DX177" s="288"/>
    </row>
    <row r="178" ht="14.25" customHeight="1">
      <c r="A178" s="293"/>
      <c r="B178" s="293"/>
      <c r="C178" s="293"/>
      <c r="D178" s="293"/>
      <c r="E178" s="293"/>
      <c r="F178" s="293"/>
      <c r="G178" s="293"/>
      <c r="H178" s="293"/>
      <c r="I178" s="293"/>
      <c r="J178" s="293"/>
      <c r="K178" s="293"/>
      <c r="L178" s="293"/>
      <c r="M178" s="293"/>
      <c r="N178" s="293"/>
      <c r="O178" s="293"/>
      <c r="P178" s="293"/>
      <c r="Q178" s="293"/>
      <c r="R178" s="293"/>
      <c r="S178" s="293"/>
      <c r="T178" s="293"/>
      <c r="U178" s="293"/>
      <c r="V178" s="293"/>
      <c r="W178" s="293"/>
      <c r="X178" s="293"/>
      <c r="Y178" s="293"/>
      <c r="Z178" s="293"/>
      <c r="AA178" s="293"/>
      <c r="AB178" s="293"/>
      <c r="AC178" s="293"/>
      <c r="AD178" s="293"/>
      <c r="AE178" s="293"/>
      <c r="AF178" s="293"/>
      <c r="AG178" s="293"/>
      <c r="AH178" s="293"/>
      <c r="AI178" s="293"/>
      <c r="AJ178" s="293"/>
      <c r="AK178" s="293"/>
      <c r="AL178" s="293"/>
      <c r="AM178" s="293"/>
      <c r="AN178" s="293"/>
      <c r="AO178" s="293"/>
      <c r="AP178" s="293"/>
      <c r="AQ178" s="293"/>
      <c r="AR178" s="293"/>
      <c r="AS178" s="293"/>
      <c r="AT178" s="293"/>
      <c r="AU178" s="293"/>
      <c r="AV178" s="293"/>
      <c r="AW178" s="293"/>
      <c r="AX178" s="293"/>
      <c r="AY178" s="293"/>
      <c r="AZ178" s="293"/>
      <c r="BA178" s="293"/>
      <c r="BB178" s="293"/>
      <c r="BC178" s="293"/>
      <c r="BD178" s="293"/>
      <c r="BE178" s="293"/>
      <c r="BF178" s="293"/>
      <c r="BG178" s="293"/>
      <c r="BH178" s="293"/>
      <c r="BI178" s="293"/>
      <c r="BJ178" s="293"/>
      <c r="BK178" s="293"/>
      <c r="BL178" s="293"/>
      <c r="BM178" s="293"/>
      <c r="BN178" s="293"/>
      <c r="BO178" s="293"/>
      <c r="BP178" s="293"/>
      <c r="BQ178" s="293"/>
      <c r="BR178" s="293"/>
      <c r="BS178" s="293"/>
      <c r="BT178" s="293"/>
      <c r="BU178" s="293"/>
      <c r="BV178" s="293"/>
      <c r="BW178" s="293"/>
      <c r="BX178" s="293"/>
      <c r="BY178" s="293"/>
      <c r="BZ178" s="293"/>
      <c r="CA178" s="293"/>
      <c r="CB178" s="293"/>
      <c r="CC178" s="293"/>
      <c r="CD178" s="293"/>
      <c r="CE178" s="293"/>
      <c r="CF178" s="293"/>
      <c r="CG178" s="293"/>
      <c r="CH178" s="293"/>
      <c r="CI178" s="293"/>
      <c r="CJ178" s="293"/>
      <c r="CK178" s="293"/>
      <c r="CL178" s="293"/>
      <c r="CM178" s="293"/>
      <c r="CN178" s="293"/>
      <c r="CO178" s="293"/>
      <c r="CP178" s="293"/>
      <c r="CQ178" s="293"/>
      <c r="CR178" s="293"/>
      <c r="CS178" s="293"/>
      <c r="CT178" s="293"/>
      <c r="CU178" s="293"/>
      <c r="CV178" s="293"/>
      <c r="CW178" s="293"/>
      <c r="CX178" s="293"/>
      <c r="CY178" s="293"/>
      <c r="CZ178" s="293"/>
      <c r="DA178" s="293"/>
      <c r="DB178" s="293"/>
      <c r="DC178" s="293"/>
      <c r="DD178" s="293"/>
      <c r="DE178" s="293"/>
      <c r="DF178" s="293"/>
      <c r="DG178" s="288"/>
      <c r="DH178" s="288"/>
      <c r="DI178" s="288"/>
      <c r="DJ178" s="288"/>
      <c r="DK178" s="288"/>
      <c r="DL178" s="288"/>
      <c r="DM178" s="288"/>
      <c r="DN178" s="288"/>
      <c r="DO178" s="288"/>
      <c r="DP178" s="288"/>
      <c r="DQ178" s="288"/>
      <c r="DR178" s="288"/>
      <c r="DS178" s="288"/>
      <c r="DT178" s="288"/>
      <c r="DU178" s="288"/>
      <c r="DV178" s="288"/>
      <c r="DW178" s="288"/>
      <c r="DX178" s="288"/>
    </row>
    <row r="179" ht="14.25" customHeight="1">
      <c r="A179" s="293"/>
      <c r="B179" s="293"/>
      <c r="C179" s="293"/>
      <c r="D179" s="293"/>
      <c r="E179" s="293"/>
      <c r="F179" s="293"/>
      <c r="G179" s="293"/>
      <c r="H179" s="293"/>
      <c r="I179" s="293"/>
      <c r="J179" s="293"/>
      <c r="K179" s="293"/>
      <c r="L179" s="293"/>
      <c r="M179" s="293"/>
      <c r="N179" s="293"/>
      <c r="O179" s="293"/>
      <c r="P179" s="293"/>
      <c r="Q179" s="293"/>
      <c r="R179" s="293"/>
      <c r="S179" s="293"/>
      <c r="T179" s="293"/>
      <c r="U179" s="293"/>
      <c r="V179" s="293"/>
      <c r="W179" s="293"/>
      <c r="X179" s="293"/>
      <c r="Y179" s="293"/>
      <c r="Z179" s="293"/>
      <c r="AA179" s="293"/>
      <c r="AB179" s="293"/>
      <c r="AC179" s="293"/>
      <c r="AD179" s="293"/>
      <c r="AE179" s="293"/>
      <c r="AF179" s="293"/>
      <c r="AG179" s="293"/>
      <c r="AH179" s="293"/>
      <c r="AI179" s="293"/>
      <c r="AJ179" s="293"/>
      <c r="AK179" s="293"/>
      <c r="AL179" s="293"/>
      <c r="AM179" s="293"/>
      <c r="AN179" s="293"/>
      <c r="AO179" s="293"/>
      <c r="AP179" s="293"/>
      <c r="AQ179" s="293"/>
      <c r="AR179" s="293"/>
      <c r="AS179" s="293"/>
      <c r="AT179" s="293"/>
      <c r="AU179" s="293"/>
      <c r="AV179" s="293"/>
      <c r="AW179" s="293"/>
      <c r="AX179" s="293"/>
      <c r="AY179" s="293"/>
      <c r="AZ179" s="293"/>
      <c r="BA179" s="293"/>
      <c r="BB179" s="293"/>
      <c r="BC179" s="293"/>
      <c r="BD179" s="293"/>
      <c r="BE179" s="293"/>
      <c r="BF179" s="293"/>
      <c r="BG179" s="293"/>
      <c r="BH179" s="293"/>
      <c r="BI179" s="293"/>
      <c r="BJ179" s="293"/>
      <c r="BK179" s="293"/>
      <c r="BL179" s="293"/>
      <c r="BM179" s="293"/>
      <c r="BN179" s="293"/>
      <c r="BO179" s="293"/>
      <c r="BP179" s="293"/>
      <c r="BQ179" s="293"/>
      <c r="BR179" s="293"/>
      <c r="BS179" s="293"/>
      <c r="BT179" s="293"/>
      <c r="BU179" s="293"/>
      <c r="BV179" s="293"/>
      <c r="BW179" s="293"/>
      <c r="BX179" s="293"/>
      <c r="BY179" s="293"/>
      <c r="BZ179" s="293"/>
      <c r="CA179" s="293"/>
      <c r="CB179" s="293"/>
      <c r="CC179" s="293"/>
      <c r="CD179" s="293"/>
      <c r="CE179" s="293"/>
      <c r="CF179" s="293"/>
      <c r="CG179" s="293"/>
      <c r="CH179" s="293"/>
      <c r="CI179" s="293"/>
      <c r="CJ179" s="293"/>
      <c r="CK179" s="293"/>
      <c r="CL179" s="293"/>
      <c r="CM179" s="293"/>
      <c r="CN179" s="293"/>
      <c r="CO179" s="293"/>
      <c r="CP179" s="293"/>
      <c r="CQ179" s="293"/>
      <c r="CR179" s="293"/>
      <c r="CS179" s="293"/>
      <c r="CT179" s="293"/>
      <c r="CU179" s="293"/>
      <c r="CV179" s="293"/>
      <c r="CW179" s="293"/>
      <c r="CX179" s="293"/>
      <c r="CY179" s="293"/>
      <c r="CZ179" s="293"/>
      <c r="DA179" s="293"/>
      <c r="DB179" s="293"/>
      <c r="DC179" s="293"/>
      <c r="DD179" s="293"/>
      <c r="DE179" s="293"/>
      <c r="DF179" s="293"/>
      <c r="DG179" s="288"/>
      <c r="DH179" s="288"/>
      <c r="DI179" s="288"/>
      <c r="DJ179" s="288"/>
      <c r="DK179" s="288"/>
      <c r="DL179" s="288"/>
      <c r="DM179" s="288"/>
      <c r="DN179" s="288"/>
      <c r="DO179" s="288"/>
      <c r="DP179" s="288"/>
      <c r="DQ179" s="288"/>
      <c r="DR179" s="288"/>
      <c r="DS179" s="288"/>
      <c r="DT179" s="288"/>
      <c r="DU179" s="288"/>
      <c r="DV179" s="288"/>
      <c r="DW179" s="288"/>
      <c r="DX179" s="288"/>
    </row>
    <row r="180" ht="14.25" customHeight="1">
      <c r="A180" s="293"/>
      <c r="B180" s="293"/>
      <c r="C180" s="293"/>
      <c r="D180" s="293"/>
      <c r="E180" s="293"/>
      <c r="F180" s="293"/>
      <c r="G180" s="293"/>
      <c r="H180" s="293"/>
      <c r="I180" s="293"/>
      <c r="J180" s="293"/>
      <c r="K180" s="293"/>
      <c r="L180" s="293"/>
      <c r="M180" s="293"/>
      <c r="N180" s="293"/>
      <c r="O180" s="293"/>
      <c r="P180" s="293"/>
      <c r="Q180" s="293"/>
      <c r="R180" s="293"/>
      <c r="S180" s="293"/>
      <c r="T180" s="293"/>
      <c r="U180" s="293"/>
      <c r="V180" s="293"/>
      <c r="W180" s="293"/>
      <c r="X180" s="293"/>
      <c r="Y180" s="293"/>
      <c r="Z180" s="293"/>
      <c r="AA180" s="293"/>
      <c r="AB180" s="293"/>
      <c r="AC180" s="293"/>
      <c r="AD180" s="293"/>
      <c r="AE180" s="293"/>
      <c r="AF180" s="293"/>
      <c r="AG180" s="293"/>
      <c r="AH180" s="293"/>
      <c r="AI180" s="293"/>
      <c r="AJ180" s="293"/>
      <c r="AK180" s="293"/>
      <c r="AL180" s="293"/>
      <c r="AM180" s="293"/>
      <c r="AN180" s="293"/>
      <c r="AO180" s="293"/>
      <c r="AP180" s="293"/>
      <c r="AQ180" s="293"/>
      <c r="AR180" s="293"/>
      <c r="AS180" s="293"/>
      <c r="AT180" s="293"/>
      <c r="AU180" s="293"/>
      <c r="AV180" s="293"/>
      <c r="AW180" s="293"/>
      <c r="AX180" s="293"/>
      <c r="AY180" s="293"/>
      <c r="AZ180" s="293"/>
      <c r="BA180" s="293"/>
      <c r="BB180" s="293"/>
      <c r="BC180" s="293"/>
      <c r="BD180" s="293"/>
      <c r="BE180" s="293"/>
      <c r="BF180" s="293"/>
      <c r="BG180" s="293"/>
      <c r="BH180" s="293"/>
      <c r="BI180" s="293"/>
      <c r="BJ180" s="293"/>
      <c r="BK180" s="293"/>
      <c r="BL180" s="293"/>
      <c r="BM180" s="293"/>
      <c r="BN180" s="293"/>
      <c r="BO180" s="293"/>
      <c r="BP180" s="293"/>
      <c r="BQ180" s="293"/>
      <c r="BR180" s="293"/>
      <c r="BS180" s="293"/>
      <c r="BT180" s="293"/>
      <c r="BU180" s="293"/>
      <c r="BV180" s="293"/>
      <c r="BW180" s="293"/>
      <c r="BX180" s="293"/>
      <c r="BY180" s="293"/>
      <c r="BZ180" s="293"/>
      <c r="CA180" s="293"/>
      <c r="CB180" s="293"/>
      <c r="CC180" s="293"/>
      <c r="CD180" s="293"/>
      <c r="CE180" s="293"/>
      <c r="CF180" s="293"/>
      <c r="CG180" s="293"/>
      <c r="CH180" s="293"/>
      <c r="CI180" s="293"/>
      <c r="CJ180" s="293"/>
      <c r="CK180" s="293"/>
      <c r="CL180" s="293"/>
      <c r="CM180" s="293"/>
      <c r="CN180" s="293"/>
      <c r="CO180" s="293"/>
      <c r="CP180" s="293"/>
      <c r="CQ180" s="293"/>
      <c r="CR180" s="293"/>
      <c r="CS180" s="293"/>
      <c r="CT180" s="293"/>
      <c r="CU180" s="293"/>
      <c r="CV180" s="293"/>
      <c r="CW180" s="293"/>
      <c r="CX180" s="293"/>
      <c r="CY180" s="293"/>
      <c r="CZ180" s="293"/>
      <c r="DA180" s="293"/>
      <c r="DB180" s="293"/>
      <c r="DC180" s="293"/>
      <c r="DD180" s="293"/>
      <c r="DE180" s="293"/>
      <c r="DF180" s="293"/>
      <c r="DG180" s="288"/>
      <c r="DH180" s="288"/>
      <c r="DI180" s="288"/>
      <c r="DJ180" s="288"/>
      <c r="DK180" s="288"/>
      <c r="DL180" s="288"/>
      <c r="DM180" s="288"/>
      <c r="DN180" s="288"/>
      <c r="DO180" s="288"/>
      <c r="DP180" s="288"/>
      <c r="DQ180" s="288"/>
      <c r="DR180" s="288"/>
      <c r="DS180" s="288"/>
      <c r="DT180" s="288"/>
      <c r="DU180" s="288"/>
      <c r="DV180" s="288"/>
      <c r="DW180" s="288"/>
      <c r="DX180" s="288"/>
    </row>
    <row r="181" ht="14.25" customHeight="1">
      <c r="A181" s="293"/>
      <c r="B181" s="293"/>
      <c r="C181" s="293"/>
      <c r="D181" s="293"/>
      <c r="E181" s="293"/>
      <c r="F181" s="293"/>
      <c r="G181" s="293"/>
      <c r="H181" s="293"/>
      <c r="I181" s="293"/>
      <c r="J181" s="293"/>
      <c r="K181" s="293"/>
      <c r="L181" s="293"/>
      <c r="M181" s="293"/>
      <c r="N181" s="293"/>
      <c r="O181" s="293"/>
      <c r="P181" s="293"/>
      <c r="Q181" s="293"/>
      <c r="R181" s="293"/>
      <c r="S181" s="293"/>
      <c r="T181" s="293"/>
      <c r="U181" s="293"/>
      <c r="V181" s="293"/>
      <c r="W181" s="293"/>
      <c r="X181" s="293"/>
      <c r="Y181" s="293"/>
      <c r="Z181" s="293"/>
      <c r="AA181" s="293"/>
      <c r="AB181" s="293"/>
      <c r="AC181" s="293"/>
      <c r="AD181" s="293"/>
      <c r="AE181" s="293"/>
      <c r="AF181" s="293"/>
      <c r="AG181" s="293"/>
      <c r="AH181" s="293"/>
      <c r="AI181" s="293"/>
      <c r="AJ181" s="293"/>
      <c r="AK181" s="293"/>
      <c r="AL181" s="293"/>
      <c r="AM181" s="293"/>
      <c r="AN181" s="293"/>
      <c r="AO181" s="293"/>
      <c r="AP181" s="293"/>
      <c r="AQ181" s="293"/>
      <c r="AR181" s="293"/>
      <c r="AS181" s="293"/>
      <c r="AT181" s="293"/>
      <c r="AU181" s="293"/>
      <c r="AV181" s="293"/>
      <c r="AW181" s="293"/>
      <c r="AX181" s="293"/>
      <c r="AY181" s="293"/>
      <c r="AZ181" s="293"/>
      <c r="BA181" s="293"/>
      <c r="BB181" s="293"/>
      <c r="BC181" s="293"/>
      <c r="BD181" s="293"/>
      <c r="BE181" s="293"/>
      <c r="BF181" s="293"/>
      <c r="BG181" s="293"/>
      <c r="BH181" s="293"/>
      <c r="BI181" s="293"/>
      <c r="BJ181" s="293"/>
      <c r="BK181" s="293"/>
      <c r="BL181" s="293"/>
      <c r="BM181" s="293"/>
      <c r="BN181" s="293"/>
      <c r="BO181" s="293"/>
      <c r="BP181" s="293"/>
      <c r="BQ181" s="293"/>
      <c r="BR181" s="293"/>
      <c r="BS181" s="293"/>
      <c r="BT181" s="293"/>
      <c r="BU181" s="293"/>
      <c r="BV181" s="293"/>
      <c r="BW181" s="293"/>
      <c r="BX181" s="293"/>
      <c r="BY181" s="293"/>
      <c r="BZ181" s="293"/>
      <c r="CA181" s="293"/>
      <c r="CB181" s="293"/>
      <c r="CC181" s="293"/>
      <c r="CD181" s="293"/>
      <c r="CE181" s="293"/>
      <c r="CF181" s="293"/>
      <c r="CG181" s="293"/>
      <c r="CH181" s="293"/>
      <c r="CI181" s="293"/>
      <c r="CJ181" s="293"/>
      <c r="CK181" s="293"/>
      <c r="CL181" s="293"/>
      <c r="CM181" s="293"/>
      <c r="CN181" s="293"/>
      <c r="CO181" s="293"/>
      <c r="CP181" s="293"/>
      <c r="CQ181" s="293"/>
      <c r="CR181" s="293"/>
      <c r="CS181" s="293"/>
      <c r="CT181" s="293"/>
      <c r="CU181" s="293"/>
      <c r="CV181" s="293"/>
      <c r="CW181" s="293"/>
      <c r="CX181" s="293"/>
      <c r="CY181" s="293"/>
      <c r="CZ181" s="293"/>
      <c r="DA181" s="293"/>
      <c r="DB181" s="293"/>
      <c r="DC181" s="293"/>
      <c r="DD181" s="293"/>
      <c r="DE181" s="293"/>
      <c r="DF181" s="293"/>
      <c r="DG181" s="288"/>
      <c r="DH181" s="288"/>
      <c r="DI181" s="288"/>
      <c r="DJ181" s="288"/>
      <c r="DK181" s="288"/>
      <c r="DL181" s="288"/>
      <c r="DM181" s="288"/>
      <c r="DN181" s="288"/>
      <c r="DO181" s="288"/>
      <c r="DP181" s="288"/>
      <c r="DQ181" s="288"/>
      <c r="DR181" s="288"/>
      <c r="DS181" s="288"/>
      <c r="DT181" s="288"/>
      <c r="DU181" s="288"/>
      <c r="DV181" s="288"/>
      <c r="DW181" s="288"/>
      <c r="DX181" s="288"/>
    </row>
    <row r="182" ht="14.25" customHeight="1">
      <c r="A182" s="293"/>
      <c r="B182" s="293"/>
      <c r="C182" s="293"/>
      <c r="D182" s="293"/>
      <c r="E182" s="293"/>
      <c r="F182" s="293"/>
      <c r="G182" s="293"/>
      <c r="H182" s="293"/>
      <c r="I182" s="293"/>
      <c r="J182" s="293"/>
      <c r="K182" s="293"/>
      <c r="L182" s="293"/>
      <c r="M182" s="293"/>
      <c r="N182" s="293"/>
      <c r="O182" s="293"/>
      <c r="P182" s="293"/>
      <c r="Q182" s="293"/>
      <c r="R182" s="293"/>
      <c r="S182" s="293"/>
      <c r="T182" s="293"/>
      <c r="U182" s="293"/>
      <c r="V182" s="293"/>
      <c r="W182" s="293"/>
      <c r="X182" s="293"/>
      <c r="Y182" s="293"/>
      <c r="Z182" s="293"/>
      <c r="AA182" s="293"/>
      <c r="AB182" s="293"/>
      <c r="AC182" s="293"/>
      <c r="AD182" s="293"/>
      <c r="AE182" s="293"/>
      <c r="AF182" s="293"/>
      <c r="AG182" s="293"/>
      <c r="AH182" s="293"/>
      <c r="AI182" s="293"/>
      <c r="AJ182" s="293"/>
      <c r="AK182" s="293"/>
      <c r="AL182" s="293"/>
      <c r="AM182" s="293"/>
      <c r="AN182" s="293"/>
      <c r="AO182" s="293"/>
      <c r="AP182" s="293"/>
      <c r="AQ182" s="293"/>
      <c r="AR182" s="293"/>
      <c r="AS182" s="293"/>
      <c r="AT182" s="293"/>
      <c r="AU182" s="293"/>
      <c r="AV182" s="293"/>
      <c r="AW182" s="293"/>
      <c r="AX182" s="293"/>
      <c r="AY182" s="293"/>
      <c r="AZ182" s="293"/>
      <c r="BA182" s="293"/>
      <c r="BB182" s="293"/>
      <c r="BC182" s="293"/>
      <c r="BD182" s="293"/>
      <c r="BE182" s="293"/>
      <c r="BF182" s="293"/>
      <c r="BG182" s="293"/>
      <c r="BH182" s="293"/>
      <c r="BI182" s="293"/>
      <c r="BJ182" s="293"/>
      <c r="BK182" s="293"/>
      <c r="BL182" s="293"/>
      <c r="BM182" s="293"/>
      <c r="BN182" s="293"/>
      <c r="BO182" s="293"/>
      <c r="BP182" s="293"/>
      <c r="BQ182" s="293"/>
      <c r="BR182" s="293"/>
      <c r="BS182" s="293"/>
      <c r="BT182" s="293"/>
      <c r="BU182" s="293"/>
      <c r="BV182" s="293"/>
      <c r="BW182" s="293"/>
      <c r="BX182" s="293"/>
      <c r="BY182" s="293"/>
      <c r="BZ182" s="293"/>
      <c r="CA182" s="293"/>
      <c r="CB182" s="293"/>
      <c r="CC182" s="293"/>
      <c r="CD182" s="293"/>
      <c r="CE182" s="293"/>
      <c r="CF182" s="293"/>
      <c r="CG182" s="293"/>
      <c r="CH182" s="293"/>
      <c r="CI182" s="293"/>
      <c r="CJ182" s="293"/>
      <c r="CK182" s="293"/>
      <c r="CL182" s="293"/>
      <c r="CM182" s="293"/>
      <c r="CN182" s="293"/>
      <c r="CO182" s="293"/>
      <c r="CP182" s="293"/>
      <c r="CQ182" s="293"/>
      <c r="CR182" s="293"/>
      <c r="CS182" s="293"/>
      <c r="CT182" s="293"/>
      <c r="CU182" s="293"/>
      <c r="CV182" s="293"/>
      <c r="CW182" s="293"/>
      <c r="CX182" s="293"/>
      <c r="CY182" s="293"/>
      <c r="CZ182" s="293"/>
      <c r="DA182" s="293"/>
      <c r="DB182" s="293"/>
      <c r="DC182" s="293"/>
      <c r="DD182" s="293"/>
      <c r="DE182" s="293"/>
      <c r="DF182" s="293"/>
      <c r="DG182" s="288"/>
      <c r="DH182" s="288"/>
      <c r="DI182" s="288"/>
      <c r="DJ182" s="288"/>
      <c r="DK182" s="288"/>
      <c r="DL182" s="288"/>
      <c r="DM182" s="288"/>
      <c r="DN182" s="288"/>
      <c r="DO182" s="288"/>
      <c r="DP182" s="288"/>
      <c r="DQ182" s="288"/>
      <c r="DR182" s="288"/>
      <c r="DS182" s="288"/>
      <c r="DT182" s="288"/>
      <c r="DU182" s="288"/>
      <c r="DV182" s="288"/>
      <c r="DW182" s="288"/>
      <c r="DX182" s="288"/>
    </row>
    <row r="183" ht="14.25" customHeight="1">
      <c r="A183" s="293"/>
      <c r="B183" s="293"/>
      <c r="C183" s="293"/>
      <c r="D183" s="293"/>
      <c r="E183" s="293"/>
      <c r="F183" s="293"/>
      <c r="G183" s="293"/>
      <c r="H183" s="293"/>
      <c r="I183" s="293"/>
      <c r="J183" s="293"/>
      <c r="K183" s="293"/>
      <c r="L183" s="293"/>
      <c r="M183" s="293"/>
      <c r="N183" s="293"/>
      <c r="O183" s="293"/>
      <c r="P183" s="293"/>
      <c r="Q183" s="293"/>
      <c r="R183" s="293"/>
      <c r="S183" s="293"/>
      <c r="T183" s="293"/>
      <c r="U183" s="293"/>
      <c r="V183" s="293"/>
      <c r="W183" s="293"/>
      <c r="X183" s="293"/>
      <c r="Y183" s="293"/>
      <c r="Z183" s="293"/>
      <c r="AA183" s="293"/>
      <c r="AB183" s="293"/>
      <c r="AC183" s="293"/>
      <c r="AD183" s="293"/>
      <c r="AE183" s="293"/>
      <c r="AF183" s="293"/>
      <c r="AG183" s="293"/>
      <c r="AH183" s="293"/>
      <c r="AI183" s="293"/>
      <c r="AJ183" s="293"/>
      <c r="AK183" s="293"/>
      <c r="AL183" s="293"/>
      <c r="AM183" s="293"/>
      <c r="AN183" s="293"/>
      <c r="AO183" s="293"/>
      <c r="AP183" s="293"/>
      <c r="AQ183" s="293"/>
      <c r="AR183" s="293"/>
      <c r="AS183" s="293"/>
      <c r="AT183" s="293"/>
      <c r="AU183" s="293"/>
      <c r="AV183" s="293"/>
      <c r="AW183" s="293"/>
      <c r="AX183" s="293"/>
      <c r="AY183" s="293"/>
      <c r="AZ183" s="293"/>
      <c r="BA183" s="293"/>
      <c r="BB183" s="293"/>
      <c r="BC183" s="293"/>
      <c r="BD183" s="293"/>
      <c r="BE183" s="293"/>
      <c r="BF183" s="293"/>
      <c r="BG183" s="293"/>
      <c r="BH183" s="293"/>
      <c r="BI183" s="293"/>
      <c r="BJ183" s="293"/>
      <c r="BK183" s="293"/>
      <c r="BL183" s="293"/>
      <c r="BM183" s="293"/>
      <c r="BN183" s="293"/>
      <c r="BO183" s="293"/>
      <c r="BP183" s="293"/>
      <c r="BQ183" s="293"/>
      <c r="BR183" s="293"/>
      <c r="BS183" s="293"/>
      <c r="BT183" s="293"/>
      <c r="BU183" s="293"/>
      <c r="BV183" s="293"/>
      <c r="BW183" s="293"/>
      <c r="BX183" s="293"/>
      <c r="BY183" s="293"/>
      <c r="BZ183" s="293"/>
      <c r="CA183" s="293"/>
      <c r="CB183" s="293"/>
      <c r="CC183" s="293"/>
      <c r="CD183" s="293"/>
      <c r="CE183" s="293"/>
      <c r="CF183" s="293"/>
      <c r="CG183" s="293"/>
      <c r="CH183" s="293"/>
      <c r="CI183" s="293"/>
      <c r="CJ183" s="293"/>
      <c r="CK183" s="293"/>
      <c r="CL183" s="293"/>
      <c r="CM183" s="293"/>
      <c r="CN183" s="293"/>
      <c r="CO183" s="293"/>
      <c r="CP183" s="293"/>
      <c r="CQ183" s="293"/>
      <c r="CR183" s="293"/>
      <c r="CS183" s="293"/>
      <c r="CT183" s="293"/>
      <c r="CU183" s="293"/>
      <c r="CV183" s="293"/>
      <c r="CW183" s="293"/>
      <c r="CX183" s="293"/>
      <c r="CY183" s="293"/>
      <c r="CZ183" s="293"/>
      <c r="DA183" s="293"/>
      <c r="DB183" s="293"/>
      <c r="DC183" s="293"/>
      <c r="DD183" s="293"/>
      <c r="DE183" s="293"/>
      <c r="DF183" s="293"/>
      <c r="DG183" s="288"/>
      <c r="DH183" s="288"/>
      <c r="DI183" s="288"/>
      <c r="DJ183" s="288"/>
      <c r="DK183" s="288"/>
      <c r="DL183" s="288"/>
      <c r="DM183" s="288"/>
      <c r="DN183" s="288"/>
      <c r="DO183" s="288"/>
      <c r="DP183" s="288"/>
      <c r="DQ183" s="288"/>
      <c r="DR183" s="288"/>
      <c r="DS183" s="288"/>
      <c r="DT183" s="288"/>
      <c r="DU183" s="288"/>
      <c r="DV183" s="288"/>
      <c r="DW183" s="288"/>
      <c r="DX183" s="288"/>
    </row>
    <row r="184" ht="14.25" customHeight="1">
      <c r="A184" s="293"/>
      <c r="B184" s="293"/>
      <c r="C184" s="293"/>
      <c r="D184" s="293"/>
      <c r="E184" s="293"/>
      <c r="F184" s="293"/>
      <c r="G184" s="293"/>
      <c r="H184" s="293"/>
      <c r="I184" s="293"/>
      <c r="J184" s="293"/>
      <c r="K184" s="293"/>
      <c r="L184" s="293"/>
      <c r="M184" s="293"/>
      <c r="N184" s="293"/>
      <c r="O184" s="293"/>
      <c r="P184" s="293"/>
      <c r="Q184" s="293"/>
      <c r="R184" s="293"/>
      <c r="S184" s="293"/>
      <c r="T184" s="293"/>
      <c r="U184" s="293"/>
      <c r="V184" s="293"/>
      <c r="W184" s="293"/>
      <c r="X184" s="293"/>
      <c r="Y184" s="293"/>
      <c r="Z184" s="293"/>
      <c r="AA184" s="293"/>
      <c r="AB184" s="293"/>
      <c r="AC184" s="293"/>
      <c r="AD184" s="293"/>
      <c r="AE184" s="293"/>
      <c r="AF184" s="293"/>
      <c r="AG184" s="293"/>
      <c r="AH184" s="293"/>
      <c r="AI184" s="293"/>
      <c r="AJ184" s="293"/>
      <c r="AK184" s="293"/>
      <c r="AL184" s="293"/>
      <c r="AM184" s="293"/>
      <c r="AN184" s="293"/>
      <c r="AO184" s="293"/>
      <c r="AP184" s="293"/>
      <c r="AQ184" s="293"/>
      <c r="AR184" s="293"/>
      <c r="AS184" s="293"/>
      <c r="AT184" s="293"/>
      <c r="AU184" s="293"/>
      <c r="AV184" s="293"/>
      <c r="AW184" s="293"/>
      <c r="AX184" s="293"/>
      <c r="AY184" s="293"/>
      <c r="AZ184" s="293"/>
      <c r="BA184" s="293"/>
      <c r="BB184" s="293"/>
      <c r="BC184" s="293"/>
      <c r="BD184" s="293"/>
      <c r="BE184" s="293"/>
      <c r="BF184" s="293"/>
      <c r="BG184" s="293"/>
      <c r="BH184" s="293"/>
      <c r="BI184" s="293"/>
      <c r="BJ184" s="293"/>
      <c r="BK184" s="293"/>
      <c r="BL184" s="293"/>
      <c r="BM184" s="293"/>
      <c r="BN184" s="293"/>
      <c r="BO184" s="293"/>
      <c r="BP184" s="293"/>
      <c r="BQ184" s="293"/>
      <c r="BR184" s="293"/>
      <c r="BS184" s="293"/>
      <c r="BT184" s="293"/>
      <c r="BU184" s="293"/>
      <c r="BV184" s="293"/>
      <c r="BW184" s="293"/>
      <c r="BX184" s="293"/>
      <c r="BY184" s="293"/>
      <c r="BZ184" s="293"/>
      <c r="CA184" s="293"/>
      <c r="CB184" s="293"/>
      <c r="CC184" s="293"/>
      <c r="CD184" s="293"/>
      <c r="CE184" s="293"/>
      <c r="CF184" s="293"/>
      <c r="CG184" s="293"/>
      <c r="CH184" s="293"/>
      <c r="CI184" s="293"/>
      <c r="CJ184" s="293"/>
      <c r="CK184" s="293"/>
      <c r="CL184" s="293"/>
      <c r="CM184" s="293"/>
      <c r="CN184" s="293"/>
      <c r="CO184" s="293"/>
      <c r="CP184" s="293"/>
      <c r="CQ184" s="293"/>
      <c r="CR184" s="293"/>
      <c r="CS184" s="293"/>
      <c r="CT184" s="293"/>
      <c r="CU184" s="293"/>
      <c r="CV184" s="293"/>
      <c r="CW184" s="293"/>
      <c r="CX184" s="293"/>
      <c r="CY184" s="293"/>
      <c r="CZ184" s="293"/>
      <c r="DA184" s="293"/>
      <c r="DB184" s="293"/>
      <c r="DC184" s="293"/>
      <c r="DD184" s="293"/>
      <c r="DE184" s="293"/>
      <c r="DF184" s="293"/>
      <c r="DG184" s="288"/>
      <c r="DH184" s="288"/>
      <c r="DI184" s="288"/>
      <c r="DJ184" s="288"/>
      <c r="DK184" s="288"/>
      <c r="DL184" s="288"/>
      <c r="DM184" s="288"/>
      <c r="DN184" s="288"/>
      <c r="DO184" s="288"/>
      <c r="DP184" s="288"/>
      <c r="DQ184" s="288"/>
      <c r="DR184" s="288"/>
      <c r="DS184" s="288"/>
      <c r="DT184" s="288"/>
      <c r="DU184" s="288"/>
      <c r="DV184" s="288"/>
      <c r="DW184" s="288"/>
      <c r="DX184" s="288"/>
    </row>
    <row r="185" ht="14.25" customHeight="1">
      <c r="A185" s="293"/>
      <c r="B185" s="293"/>
      <c r="C185" s="293"/>
      <c r="D185" s="293"/>
      <c r="E185" s="293"/>
      <c r="F185" s="293"/>
      <c r="G185" s="293"/>
      <c r="H185" s="293"/>
      <c r="I185" s="293"/>
      <c r="J185" s="293"/>
      <c r="K185" s="293"/>
      <c r="L185" s="293"/>
      <c r="M185" s="293"/>
      <c r="N185" s="293"/>
      <c r="O185" s="293"/>
      <c r="P185" s="293"/>
      <c r="Q185" s="293"/>
      <c r="R185" s="293"/>
      <c r="S185" s="293"/>
      <c r="T185" s="293"/>
      <c r="U185" s="293"/>
      <c r="V185" s="293"/>
      <c r="W185" s="293"/>
      <c r="X185" s="293"/>
      <c r="Y185" s="293"/>
      <c r="Z185" s="293"/>
      <c r="AA185" s="293"/>
      <c r="AB185" s="293"/>
      <c r="AC185" s="293"/>
      <c r="AD185" s="293"/>
      <c r="AE185" s="293"/>
      <c r="AF185" s="293"/>
      <c r="AG185" s="293"/>
      <c r="AH185" s="293"/>
      <c r="AI185" s="293"/>
      <c r="AJ185" s="293"/>
      <c r="AK185" s="293"/>
      <c r="AL185" s="293"/>
      <c r="AM185" s="293"/>
      <c r="AN185" s="293"/>
      <c r="AO185" s="293"/>
      <c r="AP185" s="293"/>
      <c r="AQ185" s="293"/>
      <c r="AR185" s="293"/>
      <c r="AS185" s="293"/>
      <c r="AT185" s="293"/>
      <c r="AU185" s="293"/>
      <c r="AV185" s="293"/>
      <c r="AW185" s="293"/>
      <c r="AX185" s="293"/>
      <c r="AY185" s="293"/>
      <c r="AZ185" s="293"/>
      <c r="BA185" s="293"/>
      <c r="BB185" s="293"/>
      <c r="BC185" s="293"/>
      <c r="BD185" s="293"/>
      <c r="BE185" s="293"/>
      <c r="BF185" s="293"/>
      <c r="BG185" s="293"/>
      <c r="BH185" s="293"/>
      <c r="BI185" s="293"/>
      <c r="BJ185" s="293"/>
      <c r="BK185" s="293"/>
      <c r="BL185" s="293"/>
      <c r="BM185" s="293"/>
      <c r="BN185" s="293"/>
      <c r="BO185" s="293"/>
      <c r="BP185" s="293"/>
      <c r="BQ185" s="293"/>
      <c r="BR185" s="293"/>
      <c r="BS185" s="293"/>
      <c r="BT185" s="293"/>
      <c r="BU185" s="293"/>
      <c r="BV185" s="293"/>
      <c r="BW185" s="293"/>
      <c r="BX185" s="293"/>
      <c r="BY185" s="293"/>
      <c r="BZ185" s="293"/>
      <c r="CA185" s="293"/>
      <c r="CB185" s="293"/>
      <c r="CC185" s="293"/>
      <c r="CD185" s="293"/>
      <c r="CE185" s="293"/>
      <c r="CF185" s="293"/>
      <c r="CG185" s="293"/>
      <c r="CH185" s="293"/>
      <c r="CI185" s="293"/>
      <c r="CJ185" s="293"/>
      <c r="CK185" s="293"/>
      <c r="CL185" s="293"/>
      <c r="CM185" s="293"/>
      <c r="CN185" s="293"/>
      <c r="CO185" s="293"/>
      <c r="CP185" s="293"/>
      <c r="CQ185" s="293"/>
      <c r="CR185" s="293"/>
      <c r="CS185" s="293"/>
      <c r="CT185" s="293"/>
      <c r="CU185" s="293"/>
      <c r="CV185" s="293"/>
      <c r="CW185" s="293"/>
      <c r="CX185" s="293"/>
      <c r="CY185" s="293"/>
      <c r="CZ185" s="293"/>
      <c r="DA185" s="293"/>
      <c r="DB185" s="293"/>
      <c r="DC185" s="293"/>
      <c r="DD185" s="293"/>
      <c r="DE185" s="293"/>
      <c r="DF185" s="293"/>
      <c r="DG185" s="288"/>
      <c r="DH185" s="288"/>
      <c r="DI185" s="288"/>
      <c r="DJ185" s="288"/>
      <c r="DK185" s="288"/>
      <c r="DL185" s="288"/>
      <c r="DM185" s="288"/>
      <c r="DN185" s="288"/>
      <c r="DO185" s="288"/>
      <c r="DP185" s="288"/>
      <c r="DQ185" s="288"/>
      <c r="DR185" s="288"/>
      <c r="DS185" s="288"/>
      <c r="DT185" s="288"/>
      <c r="DU185" s="288"/>
      <c r="DV185" s="288"/>
      <c r="DW185" s="288"/>
      <c r="DX185" s="288"/>
    </row>
    <row r="186" ht="14.25" customHeight="1">
      <c r="A186" s="293"/>
      <c r="B186" s="293"/>
      <c r="C186" s="293"/>
      <c r="D186" s="293"/>
      <c r="E186" s="293"/>
      <c r="F186" s="293"/>
      <c r="G186" s="293"/>
      <c r="H186" s="293"/>
      <c r="I186" s="293"/>
      <c r="J186" s="293"/>
      <c r="K186" s="293"/>
      <c r="L186" s="293"/>
      <c r="M186" s="293"/>
      <c r="N186" s="293"/>
      <c r="O186" s="293"/>
      <c r="P186" s="293"/>
      <c r="Q186" s="293"/>
      <c r="R186" s="293"/>
      <c r="S186" s="293"/>
      <c r="T186" s="293"/>
      <c r="U186" s="293"/>
      <c r="V186" s="293"/>
      <c r="W186" s="293"/>
      <c r="X186" s="293"/>
      <c r="Y186" s="293"/>
      <c r="Z186" s="293"/>
      <c r="AA186" s="293"/>
      <c r="AB186" s="293"/>
      <c r="AC186" s="293"/>
      <c r="AD186" s="293"/>
      <c r="AE186" s="293"/>
      <c r="AF186" s="293"/>
      <c r="AG186" s="293"/>
      <c r="AH186" s="293"/>
      <c r="AI186" s="293"/>
      <c r="AJ186" s="293"/>
      <c r="AK186" s="293"/>
      <c r="AL186" s="293"/>
      <c r="AM186" s="293"/>
      <c r="AN186" s="293"/>
      <c r="AO186" s="293"/>
      <c r="AP186" s="293"/>
      <c r="AQ186" s="293"/>
      <c r="AR186" s="293"/>
      <c r="AS186" s="293"/>
      <c r="AT186" s="293"/>
      <c r="AU186" s="293"/>
      <c r="AV186" s="293"/>
      <c r="AW186" s="293"/>
      <c r="AX186" s="293"/>
      <c r="AY186" s="293"/>
      <c r="AZ186" s="293"/>
      <c r="BA186" s="293"/>
      <c r="BB186" s="293"/>
      <c r="BC186" s="293"/>
      <c r="BD186" s="293"/>
      <c r="BE186" s="293"/>
      <c r="BF186" s="293"/>
      <c r="BG186" s="293"/>
      <c r="BH186" s="293"/>
      <c r="BI186" s="293"/>
      <c r="BJ186" s="293"/>
      <c r="BK186" s="293"/>
      <c r="BL186" s="293"/>
      <c r="BM186" s="293"/>
      <c r="BN186" s="293"/>
      <c r="BO186" s="293"/>
      <c r="BP186" s="293"/>
      <c r="BQ186" s="293"/>
      <c r="BR186" s="293"/>
      <c r="BS186" s="293"/>
      <c r="BT186" s="293"/>
      <c r="BU186" s="293"/>
      <c r="BV186" s="293"/>
      <c r="BW186" s="293"/>
      <c r="BX186" s="293"/>
      <c r="BY186" s="293"/>
      <c r="BZ186" s="293"/>
      <c r="CA186" s="293"/>
      <c r="CB186" s="293"/>
      <c r="CC186" s="293"/>
      <c r="CD186" s="293"/>
      <c r="CE186" s="293"/>
      <c r="CF186" s="293"/>
      <c r="CG186" s="293"/>
      <c r="CH186" s="293"/>
      <c r="CI186" s="293"/>
      <c r="CJ186" s="293"/>
      <c r="CK186" s="293"/>
      <c r="CL186" s="293"/>
      <c r="CM186" s="293"/>
      <c r="CN186" s="293"/>
      <c r="CO186" s="293"/>
      <c r="CP186" s="293"/>
      <c r="CQ186" s="293"/>
      <c r="CR186" s="293"/>
      <c r="CS186" s="293"/>
      <c r="CT186" s="293"/>
      <c r="CU186" s="293"/>
      <c r="CV186" s="293"/>
      <c r="CW186" s="293"/>
      <c r="CX186" s="293"/>
      <c r="CY186" s="293"/>
      <c r="CZ186" s="293"/>
      <c r="DA186" s="293"/>
      <c r="DB186" s="293"/>
      <c r="DC186" s="293"/>
      <c r="DD186" s="293"/>
      <c r="DE186" s="293"/>
      <c r="DF186" s="293"/>
      <c r="DG186" s="288"/>
      <c r="DH186" s="288"/>
      <c r="DI186" s="288"/>
      <c r="DJ186" s="288"/>
      <c r="DK186" s="288"/>
      <c r="DL186" s="288"/>
      <c r="DM186" s="288"/>
      <c r="DN186" s="288"/>
      <c r="DO186" s="288"/>
      <c r="DP186" s="288"/>
      <c r="DQ186" s="288"/>
      <c r="DR186" s="288"/>
      <c r="DS186" s="288"/>
      <c r="DT186" s="288"/>
      <c r="DU186" s="288"/>
      <c r="DV186" s="288"/>
      <c r="DW186" s="288"/>
      <c r="DX186" s="288"/>
    </row>
    <row r="187" ht="14.25" customHeight="1">
      <c r="A187" s="293"/>
      <c r="B187" s="293"/>
      <c r="C187" s="293"/>
      <c r="D187" s="293"/>
      <c r="E187" s="293"/>
      <c r="F187" s="293"/>
      <c r="G187" s="293"/>
      <c r="H187" s="293"/>
      <c r="I187" s="293"/>
      <c r="J187" s="293"/>
      <c r="K187" s="293"/>
      <c r="L187" s="293"/>
      <c r="M187" s="293"/>
      <c r="N187" s="293"/>
      <c r="O187" s="293"/>
      <c r="P187" s="293"/>
      <c r="Q187" s="293"/>
      <c r="R187" s="293"/>
      <c r="S187" s="293"/>
      <c r="T187" s="293"/>
      <c r="U187" s="293"/>
      <c r="V187" s="293"/>
      <c r="W187" s="293"/>
      <c r="X187" s="293"/>
      <c r="Y187" s="293"/>
      <c r="Z187" s="293"/>
      <c r="AA187" s="293"/>
      <c r="AB187" s="293"/>
      <c r="AC187" s="293"/>
      <c r="AD187" s="293"/>
      <c r="AE187" s="293"/>
      <c r="AF187" s="293"/>
      <c r="AG187" s="293"/>
      <c r="AH187" s="293"/>
      <c r="AI187" s="293"/>
      <c r="AJ187" s="293"/>
      <c r="AK187" s="293"/>
      <c r="AL187" s="293"/>
      <c r="AM187" s="293"/>
      <c r="AN187" s="293"/>
      <c r="AO187" s="293"/>
      <c r="AP187" s="293"/>
      <c r="AQ187" s="293"/>
      <c r="AR187" s="293"/>
      <c r="AS187" s="293"/>
      <c r="AT187" s="293"/>
      <c r="AU187" s="293"/>
      <c r="AV187" s="293"/>
      <c r="AW187" s="293"/>
      <c r="AX187" s="293"/>
      <c r="AY187" s="293"/>
      <c r="AZ187" s="293"/>
      <c r="BA187" s="293"/>
      <c r="BB187" s="293"/>
      <c r="BC187" s="293"/>
      <c r="BD187" s="293"/>
      <c r="BE187" s="293"/>
      <c r="BF187" s="293"/>
      <c r="BG187" s="293"/>
      <c r="BH187" s="293"/>
      <c r="BI187" s="293"/>
      <c r="BJ187" s="293"/>
      <c r="BK187" s="293"/>
      <c r="BL187" s="293"/>
      <c r="BM187" s="293"/>
      <c r="BN187" s="293"/>
      <c r="BO187" s="293"/>
      <c r="BP187" s="293"/>
      <c r="BQ187" s="293"/>
      <c r="BR187" s="293"/>
      <c r="BS187" s="293"/>
      <c r="BT187" s="293"/>
      <c r="BU187" s="293"/>
      <c r="BV187" s="293"/>
      <c r="BW187" s="293"/>
      <c r="BX187" s="293"/>
      <c r="BY187" s="293"/>
      <c r="BZ187" s="293"/>
      <c r="CA187" s="293"/>
      <c r="CB187" s="293"/>
      <c r="CC187" s="293"/>
      <c r="CD187" s="293"/>
      <c r="CE187" s="293"/>
      <c r="CF187" s="293"/>
      <c r="CG187" s="293"/>
      <c r="CH187" s="293"/>
      <c r="CI187" s="293"/>
      <c r="CJ187" s="293"/>
      <c r="CK187" s="293"/>
      <c r="CL187" s="293"/>
      <c r="CM187" s="293"/>
      <c r="CN187" s="293"/>
      <c r="CO187" s="293"/>
      <c r="CP187" s="293"/>
      <c r="CQ187" s="293"/>
      <c r="CR187" s="293"/>
      <c r="CS187" s="293"/>
      <c r="CT187" s="293"/>
      <c r="CU187" s="293"/>
      <c r="CV187" s="293"/>
      <c r="CW187" s="293"/>
      <c r="CX187" s="293"/>
      <c r="CY187" s="293"/>
      <c r="CZ187" s="293"/>
      <c r="DA187" s="293"/>
      <c r="DB187" s="293"/>
      <c r="DC187" s="293"/>
      <c r="DD187" s="293"/>
      <c r="DE187" s="293"/>
      <c r="DF187" s="293"/>
      <c r="DG187" s="288"/>
      <c r="DH187" s="288"/>
      <c r="DI187" s="288"/>
      <c r="DJ187" s="288"/>
      <c r="DK187" s="288"/>
      <c r="DL187" s="288"/>
      <c r="DM187" s="288"/>
      <c r="DN187" s="288"/>
      <c r="DO187" s="288"/>
      <c r="DP187" s="288"/>
      <c r="DQ187" s="288"/>
      <c r="DR187" s="288"/>
      <c r="DS187" s="288"/>
      <c r="DT187" s="288"/>
      <c r="DU187" s="288"/>
      <c r="DV187" s="288"/>
      <c r="DW187" s="288"/>
      <c r="DX187" s="288"/>
    </row>
    <row r="188" ht="14.25" customHeight="1">
      <c r="A188" s="293"/>
      <c r="B188" s="293"/>
      <c r="C188" s="293"/>
      <c r="D188" s="293"/>
      <c r="E188" s="293"/>
      <c r="F188" s="293"/>
      <c r="G188" s="293"/>
      <c r="H188" s="293"/>
      <c r="I188" s="293"/>
      <c r="J188" s="293"/>
      <c r="K188" s="293"/>
      <c r="L188" s="293"/>
      <c r="M188" s="293"/>
      <c r="N188" s="293"/>
      <c r="O188" s="293"/>
      <c r="P188" s="293"/>
      <c r="Q188" s="293"/>
      <c r="R188" s="293"/>
      <c r="S188" s="293"/>
      <c r="T188" s="293"/>
      <c r="U188" s="293"/>
      <c r="V188" s="293"/>
      <c r="W188" s="293"/>
      <c r="X188" s="293"/>
      <c r="Y188" s="293"/>
      <c r="Z188" s="293"/>
      <c r="AA188" s="293"/>
      <c r="AB188" s="293"/>
      <c r="AC188" s="293"/>
      <c r="AD188" s="293"/>
      <c r="AE188" s="293"/>
      <c r="AF188" s="293"/>
      <c r="AG188" s="293"/>
      <c r="AH188" s="293"/>
      <c r="AI188" s="293"/>
      <c r="AJ188" s="293"/>
      <c r="AK188" s="293"/>
      <c r="AL188" s="293"/>
      <c r="AM188" s="293"/>
      <c r="AN188" s="293"/>
      <c r="AO188" s="293"/>
      <c r="AP188" s="293"/>
      <c r="AQ188" s="293"/>
      <c r="AR188" s="293"/>
      <c r="AS188" s="293"/>
      <c r="AT188" s="293"/>
      <c r="AU188" s="293"/>
      <c r="AV188" s="293"/>
      <c r="AW188" s="293"/>
      <c r="AX188" s="293"/>
      <c r="AY188" s="293"/>
      <c r="AZ188" s="293"/>
      <c r="BA188" s="293"/>
      <c r="BB188" s="293"/>
      <c r="BC188" s="293"/>
      <c r="BD188" s="293"/>
      <c r="BE188" s="293"/>
      <c r="BF188" s="293"/>
      <c r="BG188" s="293"/>
      <c r="BH188" s="293"/>
      <c r="BI188" s="293"/>
      <c r="BJ188" s="293"/>
      <c r="BK188" s="293"/>
      <c r="BL188" s="293"/>
      <c r="BM188" s="293"/>
      <c r="BN188" s="293"/>
      <c r="BO188" s="293"/>
      <c r="BP188" s="293"/>
      <c r="BQ188" s="293"/>
      <c r="BR188" s="293"/>
      <c r="BS188" s="293"/>
      <c r="BT188" s="293"/>
      <c r="BU188" s="293"/>
      <c r="BV188" s="293"/>
      <c r="BW188" s="293"/>
      <c r="BX188" s="293"/>
      <c r="BY188" s="293"/>
      <c r="BZ188" s="293"/>
      <c r="CA188" s="293"/>
      <c r="CB188" s="293"/>
      <c r="CC188" s="293"/>
      <c r="CD188" s="293"/>
      <c r="CE188" s="293"/>
      <c r="CF188" s="293"/>
      <c r="CG188" s="293"/>
      <c r="CH188" s="293"/>
      <c r="CI188" s="293"/>
      <c r="CJ188" s="293"/>
      <c r="CK188" s="293"/>
      <c r="CL188" s="293"/>
      <c r="CM188" s="293"/>
      <c r="CN188" s="293"/>
      <c r="CO188" s="293"/>
      <c r="CP188" s="293"/>
      <c r="CQ188" s="293"/>
      <c r="CR188" s="293"/>
      <c r="CS188" s="293"/>
      <c r="CT188" s="293"/>
      <c r="CU188" s="293"/>
      <c r="CV188" s="293"/>
      <c r="CW188" s="293"/>
      <c r="CX188" s="293"/>
      <c r="CY188" s="293"/>
      <c r="CZ188" s="293"/>
      <c r="DA188" s="293"/>
      <c r="DB188" s="293"/>
      <c r="DC188" s="293"/>
      <c r="DD188" s="293"/>
      <c r="DE188" s="293"/>
      <c r="DF188" s="293"/>
      <c r="DG188" s="288"/>
      <c r="DH188" s="288"/>
      <c r="DI188" s="288"/>
      <c r="DJ188" s="288"/>
      <c r="DK188" s="288"/>
      <c r="DL188" s="288"/>
      <c r="DM188" s="288"/>
      <c r="DN188" s="288"/>
      <c r="DO188" s="288"/>
      <c r="DP188" s="288"/>
      <c r="DQ188" s="288"/>
      <c r="DR188" s="288"/>
      <c r="DS188" s="288"/>
      <c r="DT188" s="288"/>
      <c r="DU188" s="288"/>
      <c r="DV188" s="288"/>
      <c r="DW188" s="288"/>
      <c r="DX188" s="288"/>
    </row>
    <row r="189" ht="14.25" customHeight="1">
      <c r="A189" s="293"/>
      <c r="B189" s="293"/>
      <c r="C189" s="293"/>
      <c r="D189" s="293"/>
      <c r="E189" s="293"/>
      <c r="F189" s="293"/>
      <c r="G189" s="293"/>
      <c r="H189" s="293"/>
      <c r="I189" s="293"/>
      <c r="J189" s="293"/>
      <c r="K189" s="293"/>
      <c r="L189" s="293"/>
      <c r="M189" s="293"/>
      <c r="N189" s="293"/>
      <c r="O189" s="293"/>
      <c r="P189" s="293"/>
      <c r="Q189" s="293"/>
      <c r="R189" s="293"/>
      <c r="S189" s="293"/>
      <c r="T189" s="293"/>
      <c r="U189" s="293"/>
      <c r="V189" s="293"/>
      <c r="W189" s="293"/>
      <c r="X189" s="293"/>
      <c r="Y189" s="293"/>
      <c r="Z189" s="293"/>
      <c r="AA189" s="293"/>
      <c r="AB189" s="293"/>
      <c r="AC189" s="293"/>
      <c r="AD189" s="293"/>
      <c r="AE189" s="293"/>
      <c r="AF189" s="293"/>
      <c r="AG189" s="293"/>
      <c r="AH189" s="293"/>
      <c r="AI189" s="293"/>
      <c r="AJ189" s="293"/>
      <c r="AK189" s="293"/>
      <c r="AL189" s="293"/>
      <c r="AM189" s="293"/>
      <c r="AN189" s="293"/>
      <c r="AO189" s="293"/>
      <c r="AP189" s="293"/>
      <c r="AQ189" s="293"/>
      <c r="AR189" s="293"/>
      <c r="AS189" s="293"/>
      <c r="AT189" s="293"/>
      <c r="AU189" s="293"/>
      <c r="AV189" s="293"/>
      <c r="AW189" s="293"/>
      <c r="AX189" s="293"/>
      <c r="AY189" s="293"/>
      <c r="AZ189" s="293"/>
      <c r="BA189" s="293"/>
      <c r="BB189" s="293"/>
      <c r="BC189" s="293"/>
      <c r="BD189" s="293"/>
      <c r="BE189" s="293"/>
      <c r="BF189" s="293"/>
      <c r="BG189" s="293"/>
      <c r="BH189" s="293"/>
      <c r="BI189" s="293"/>
      <c r="BJ189" s="293"/>
      <c r="BK189" s="293"/>
      <c r="BL189" s="293"/>
      <c r="BM189" s="293"/>
      <c r="BN189" s="293"/>
      <c r="BO189" s="293"/>
      <c r="BP189" s="293"/>
      <c r="BQ189" s="293"/>
      <c r="BR189" s="293"/>
      <c r="BS189" s="293"/>
      <c r="BT189" s="293"/>
      <c r="BU189" s="293"/>
      <c r="BV189" s="293"/>
      <c r="BW189" s="293"/>
      <c r="BX189" s="293"/>
      <c r="BY189" s="293"/>
      <c r="BZ189" s="293"/>
      <c r="CA189" s="293"/>
      <c r="CB189" s="293"/>
      <c r="CC189" s="293"/>
      <c r="CD189" s="293"/>
      <c r="CE189" s="293"/>
      <c r="CF189" s="293"/>
      <c r="CG189" s="293"/>
      <c r="CH189" s="293"/>
      <c r="CI189" s="293"/>
      <c r="CJ189" s="293"/>
      <c r="CK189" s="293"/>
      <c r="CL189" s="293"/>
      <c r="CM189" s="293"/>
      <c r="CN189" s="293"/>
      <c r="CO189" s="293"/>
      <c r="CP189" s="293"/>
      <c r="CQ189" s="293"/>
      <c r="CR189" s="293"/>
      <c r="CS189" s="293"/>
      <c r="CT189" s="293"/>
      <c r="CU189" s="293"/>
      <c r="CV189" s="293"/>
      <c r="CW189" s="293"/>
      <c r="CX189" s="293"/>
      <c r="CY189" s="293"/>
      <c r="CZ189" s="293"/>
      <c r="DA189" s="293"/>
      <c r="DB189" s="293"/>
      <c r="DC189" s="293"/>
      <c r="DD189" s="293"/>
      <c r="DE189" s="293"/>
      <c r="DF189" s="293"/>
      <c r="DG189" s="288"/>
      <c r="DH189" s="288"/>
      <c r="DI189" s="288"/>
      <c r="DJ189" s="288"/>
      <c r="DK189" s="288"/>
      <c r="DL189" s="288"/>
      <c r="DM189" s="288"/>
      <c r="DN189" s="288"/>
      <c r="DO189" s="288"/>
      <c r="DP189" s="288"/>
      <c r="DQ189" s="288"/>
      <c r="DR189" s="288"/>
      <c r="DS189" s="288"/>
      <c r="DT189" s="288"/>
      <c r="DU189" s="288"/>
      <c r="DV189" s="288"/>
      <c r="DW189" s="288"/>
      <c r="DX189" s="288"/>
    </row>
    <row r="190" ht="14.25" customHeight="1">
      <c r="A190" s="293"/>
      <c r="B190" s="293"/>
      <c r="C190" s="293"/>
      <c r="D190" s="293"/>
      <c r="E190" s="293"/>
      <c r="F190" s="293"/>
      <c r="G190" s="293"/>
      <c r="H190" s="293"/>
      <c r="I190" s="293"/>
      <c r="J190" s="293"/>
      <c r="K190" s="293"/>
      <c r="L190" s="293"/>
      <c r="M190" s="293"/>
      <c r="N190" s="293"/>
      <c r="O190" s="293"/>
      <c r="P190" s="293"/>
      <c r="Q190" s="293"/>
      <c r="R190" s="293"/>
      <c r="S190" s="293"/>
      <c r="T190" s="293"/>
      <c r="U190" s="293"/>
      <c r="V190" s="293"/>
      <c r="W190" s="293"/>
      <c r="X190" s="293"/>
      <c r="Y190" s="293"/>
      <c r="Z190" s="293"/>
      <c r="AA190" s="293"/>
      <c r="AB190" s="293"/>
      <c r="AC190" s="293"/>
      <c r="AD190" s="293"/>
      <c r="AE190" s="293"/>
      <c r="AF190" s="293"/>
      <c r="AG190" s="293"/>
      <c r="AH190" s="293"/>
      <c r="AI190" s="293"/>
      <c r="AJ190" s="293"/>
      <c r="AK190" s="293"/>
      <c r="AL190" s="293"/>
      <c r="AM190" s="293"/>
      <c r="AN190" s="293"/>
      <c r="AO190" s="293"/>
      <c r="AP190" s="293"/>
      <c r="AQ190" s="293"/>
      <c r="AR190" s="293"/>
      <c r="AS190" s="293"/>
      <c r="AT190" s="293"/>
      <c r="AU190" s="293"/>
      <c r="AV190" s="293"/>
      <c r="AW190" s="293"/>
      <c r="AX190" s="293"/>
      <c r="AY190" s="293"/>
      <c r="AZ190" s="293"/>
      <c r="BA190" s="293"/>
      <c r="BB190" s="293"/>
      <c r="BC190" s="293"/>
      <c r="BD190" s="293"/>
      <c r="BE190" s="293"/>
      <c r="BF190" s="293"/>
      <c r="BG190" s="293"/>
      <c r="BH190" s="293"/>
      <c r="BI190" s="293"/>
      <c r="BJ190" s="293"/>
      <c r="BK190" s="293"/>
      <c r="BL190" s="293"/>
      <c r="BM190" s="293"/>
      <c r="BN190" s="293"/>
      <c r="BO190" s="293"/>
      <c r="BP190" s="293"/>
      <c r="BQ190" s="293"/>
      <c r="BR190" s="293"/>
      <c r="BS190" s="293"/>
      <c r="BT190" s="293"/>
      <c r="BU190" s="293"/>
      <c r="BV190" s="293"/>
      <c r="BW190" s="293"/>
      <c r="BX190" s="293"/>
      <c r="BY190" s="293"/>
      <c r="BZ190" s="293"/>
      <c r="CA190" s="293"/>
      <c r="CB190" s="293"/>
      <c r="CC190" s="293"/>
      <c r="CD190" s="293"/>
      <c r="CE190" s="293"/>
      <c r="CF190" s="293"/>
      <c r="CG190" s="293"/>
      <c r="CH190" s="293"/>
      <c r="CI190" s="293"/>
      <c r="CJ190" s="293"/>
      <c r="CK190" s="293"/>
      <c r="CL190" s="293"/>
      <c r="CM190" s="293"/>
      <c r="CN190" s="293"/>
      <c r="CO190" s="293"/>
      <c r="CP190" s="293"/>
      <c r="CQ190" s="293"/>
      <c r="CR190" s="293"/>
      <c r="CS190" s="293"/>
      <c r="CT190" s="293"/>
      <c r="CU190" s="293"/>
      <c r="CV190" s="293"/>
      <c r="CW190" s="293"/>
      <c r="CX190" s="293"/>
      <c r="CY190" s="293"/>
      <c r="CZ190" s="293"/>
      <c r="DA190" s="293"/>
      <c r="DB190" s="293"/>
      <c r="DC190" s="293"/>
      <c r="DD190" s="293"/>
      <c r="DE190" s="293"/>
      <c r="DF190" s="293"/>
      <c r="DG190" s="288"/>
      <c r="DH190" s="288"/>
      <c r="DI190" s="288"/>
      <c r="DJ190" s="288"/>
      <c r="DK190" s="288"/>
      <c r="DL190" s="288"/>
      <c r="DM190" s="288"/>
      <c r="DN190" s="288"/>
      <c r="DO190" s="288"/>
      <c r="DP190" s="288"/>
      <c r="DQ190" s="288"/>
      <c r="DR190" s="288"/>
      <c r="DS190" s="288"/>
      <c r="DT190" s="288"/>
      <c r="DU190" s="288"/>
      <c r="DV190" s="288"/>
      <c r="DW190" s="288"/>
      <c r="DX190" s="288"/>
    </row>
    <row r="191" ht="14.25" customHeight="1">
      <c r="A191" s="293"/>
      <c r="B191" s="293"/>
      <c r="C191" s="293"/>
      <c r="D191" s="293"/>
      <c r="E191" s="293"/>
      <c r="F191" s="293"/>
      <c r="G191" s="293"/>
      <c r="H191" s="293"/>
      <c r="I191" s="293"/>
      <c r="J191" s="293"/>
      <c r="K191" s="293"/>
      <c r="L191" s="293"/>
      <c r="M191" s="293"/>
      <c r="N191" s="293"/>
      <c r="O191" s="293"/>
      <c r="P191" s="293"/>
      <c r="Q191" s="293"/>
      <c r="R191" s="293"/>
      <c r="S191" s="293"/>
      <c r="T191" s="293"/>
      <c r="U191" s="293"/>
      <c r="V191" s="293"/>
      <c r="W191" s="293"/>
      <c r="X191" s="293"/>
      <c r="Y191" s="293"/>
      <c r="Z191" s="293"/>
      <c r="AA191" s="293"/>
      <c r="AB191" s="293"/>
      <c r="AC191" s="293"/>
      <c r="AD191" s="293"/>
      <c r="AE191" s="293"/>
      <c r="AF191" s="293"/>
      <c r="AG191" s="293"/>
      <c r="AH191" s="293"/>
      <c r="AI191" s="293"/>
      <c r="AJ191" s="293"/>
      <c r="AK191" s="293"/>
      <c r="AL191" s="293"/>
      <c r="AM191" s="293"/>
      <c r="AN191" s="293"/>
      <c r="AO191" s="293"/>
      <c r="AP191" s="293"/>
      <c r="AQ191" s="293"/>
      <c r="AR191" s="293"/>
      <c r="AS191" s="293"/>
      <c r="AT191" s="293"/>
      <c r="AU191" s="293"/>
      <c r="AV191" s="293"/>
      <c r="AW191" s="293"/>
      <c r="AX191" s="293"/>
      <c r="AY191" s="293"/>
      <c r="AZ191" s="293"/>
      <c r="BA191" s="293"/>
      <c r="BB191" s="293"/>
      <c r="BC191" s="293"/>
      <c r="BD191" s="293"/>
      <c r="BE191" s="293"/>
      <c r="BF191" s="293"/>
      <c r="BG191" s="293"/>
      <c r="BH191" s="293"/>
      <c r="BI191" s="293"/>
      <c r="BJ191" s="293"/>
      <c r="BK191" s="293"/>
      <c r="BL191" s="293"/>
      <c r="BM191" s="293"/>
      <c r="BN191" s="293"/>
      <c r="BO191" s="293"/>
      <c r="BP191" s="293"/>
      <c r="BQ191" s="293"/>
      <c r="BR191" s="293"/>
      <c r="BS191" s="293"/>
      <c r="BT191" s="293"/>
      <c r="BU191" s="293"/>
      <c r="BV191" s="293"/>
      <c r="BW191" s="293"/>
      <c r="BX191" s="293"/>
      <c r="BY191" s="293"/>
      <c r="BZ191" s="293"/>
      <c r="CA191" s="293"/>
      <c r="CB191" s="293"/>
      <c r="CC191" s="293"/>
      <c r="CD191" s="293"/>
      <c r="CE191" s="293"/>
      <c r="CF191" s="293"/>
      <c r="CG191" s="293"/>
      <c r="CH191" s="293"/>
      <c r="CI191" s="293"/>
      <c r="CJ191" s="293"/>
      <c r="CK191" s="293"/>
      <c r="CL191" s="293"/>
      <c r="CM191" s="293"/>
      <c r="CN191" s="293"/>
      <c r="CO191" s="293"/>
      <c r="CP191" s="293"/>
      <c r="CQ191" s="293"/>
      <c r="CR191" s="293"/>
      <c r="CS191" s="293"/>
      <c r="CT191" s="293"/>
      <c r="CU191" s="293"/>
      <c r="CV191" s="293"/>
      <c r="CW191" s="293"/>
      <c r="CX191" s="293"/>
      <c r="CY191" s="293"/>
      <c r="CZ191" s="293"/>
      <c r="DA191" s="293"/>
      <c r="DB191" s="293"/>
      <c r="DC191" s="293"/>
      <c r="DD191" s="293"/>
      <c r="DE191" s="293"/>
      <c r="DF191" s="293"/>
      <c r="DG191" s="288"/>
      <c r="DH191" s="288"/>
      <c r="DI191" s="288"/>
      <c r="DJ191" s="288"/>
      <c r="DK191" s="288"/>
      <c r="DL191" s="288"/>
      <c r="DM191" s="288"/>
      <c r="DN191" s="288"/>
      <c r="DO191" s="288"/>
      <c r="DP191" s="288"/>
      <c r="DQ191" s="288"/>
      <c r="DR191" s="288"/>
      <c r="DS191" s="288"/>
      <c r="DT191" s="288"/>
      <c r="DU191" s="288"/>
      <c r="DV191" s="288"/>
      <c r="DW191" s="288"/>
      <c r="DX191" s="288"/>
    </row>
    <row r="192" ht="14.25" customHeight="1">
      <c r="A192" s="293"/>
      <c r="B192" s="293"/>
      <c r="C192" s="293"/>
      <c r="D192" s="293"/>
      <c r="E192" s="293"/>
      <c r="F192" s="293"/>
      <c r="G192" s="293"/>
      <c r="H192" s="293"/>
      <c r="I192" s="293"/>
      <c r="J192" s="293"/>
      <c r="K192" s="293"/>
      <c r="L192" s="293"/>
      <c r="M192" s="293"/>
      <c r="N192" s="293"/>
      <c r="O192" s="293"/>
      <c r="P192" s="293"/>
      <c r="Q192" s="293"/>
      <c r="R192" s="293"/>
      <c r="S192" s="293"/>
      <c r="T192" s="293"/>
      <c r="U192" s="293"/>
      <c r="V192" s="293"/>
      <c r="W192" s="293"/>
      <c r="X192" s="293"/>
      <c r="Y192" s="293"/>
      <c r="Z192" s="293"/>
      <c r="AA192" s="293"/>
      <c r="AB192" s="293"/>
      <c r="AC192" s="293"/>
      <c r="AD192" s="293"/>
      <c r="AE192" s="293"/>
      <c r="AF192" s="293"/>
      <c r="AG192" s="293"/>
      <c r="AH192" s="293"/>
      <c r="AI192" s="293"/>
      <c r="AJ192" s="293"/>
      <c r="AK192" s="293"/>
      <c r="AL192" s="293"/>
      <c r="AM192" s="293"/>
      <c r="AN192" s="293"/>
      <c r="AO192" s="293"/>
      <c r="AP192" s="293"/>
      <c r="AQ192" s="293"/>
      <c r="AR192" s="293"/>
      <c r="AS192" s="293"/>
      <c r="AT192" s="293"/>
      <c r="AU192" s="293"/>
      <c r="AV192" s="293"/>
      <c r="AW192" s="293"/>
      <c r="AX192" s="293"/>
      <c r="AY192" s="293"/>
      <c r="AZ192" s="293"/>
      <c r="BA192" s="293"/>
      <c r="BB192" s="293"/>
      <c r="BC192" s="293"/>
      <c r="BD192" s="293"/>
      <c r="BE192" s="293"/>
      <c r="BF192" s="293"/>
      <c r="BG192" s="293"/>
      <c r="BH192" s="293"/>
      <c r="BI192" s="293"/>
      <c r="BJ192" s="293"/>
      <c r="BK192" s="293"/>
      <c r="BL192" s="293"/>
      <c r="BM192" s="293"/>
      <c r="BN192" s="293"/>
      <c r="BO192" s="293"/>
      <c r="BP192" s="293"/>
      <c r="BQ192" s="293"/>
      <c r="BR192" s="293"/>
      <c r="BS192" s="293"/>
      <c r="BT192" s="293"/>
      <c r="BU192" s="293"/>
      <c r="BV192" s="293"/>
      <c r="BW192" s="293"/>
      <c r="BX192" s="293"/>
      <c r="BY192" s="293"/>
      <c r="BZ192" s="293"/>
      <c r="CA192" s="293"/>
      <c r="CB192" s="293"/>
      <c r="CC192" s="293"/>
      <c r="CD192" s="293"/>
      <c r="CE192" s="293"/>
      <c r="CF192" s="293"/>
      <c r="CG192" s="293"/>
      <c r="CH192" s="293"/>
      <c r="CI192" s="293"/>
      <c r="CJ192" s="293"/>
      <c r="CK192" s="293"/>
      <c r="CL192" s="293"/>
      <c r="CM192" s="293"/>
      <c r="CN192" s="293"/>
      <c r="CO192" s="293"/>
      <c r="CP192" s="293"/>
      <c r="CQ192" s="293"/>
      <c r="CR192" s="293"/>
      <c r="CS192" s="293"/>
      <c r="CT192" s="293"/>
      <c r="CU192" s="293"/>
      <c r="CV192" s="293"/>
      <c r="CW192" s="293"/>
      <c r="CX192" s="293"/>
      <c r="CY192" s="293"/>
      <c r="CZ192" s="293"/>
      <c r="DA192" s="293"/>
      <c r="DB192" s="293"/>
      <c r="DC192" s="293"/>
      <c r="DD192" s="293"/>
      <c r="DE192" s="293"/>
      <c r="DF192" s="293"/>
      <c r="DG192" s="288"/>
      <c r="DH192" s="288"/>
      <c r="DI192" s="288"/>
      <c r="DJ192" s="288"/>
      <c r="DK192" s="288"/>
      <c r="DL192" s="288"/>
      <c r="DM192" s="288"/>
      <c r="DN192" s="288"/>
      <c r="DO192" s="288"/>
      <c r="DP192" s="288"/>
      <c r="DQ192" s="288"/>
      <c r="DR192" s="288"/>
      <c r="DS192" s="288"/>
      <c r="DT192" s="288"/>
      <c r="DU192" s="288"/>
      <c r="DV192" s="288"/>
      <c r="DW192" s="288"/>
      <c r="DX192" s="288"/>
    </row>
    <row r="193" ht="14.25" customHeight="1">
      <c r="A193" s="293"/>
      <c r="B193" s="293"/>
      <c r="C193" s="293"/>
      <c r="D193" s="293"/>
      <c r="E193" s="293"/>
      <c r="F193" s="293"/>
      <c r="G193" s="293"/>
      <c r="H193" s="293"/>
      <c r="I193" s="293"/>
      <c r="J193" s="293"/>
      <c r="K193" s="293"/>
      <c r="L193" s="293"/>
      <c r="M193" s="293"/>
      <c r="N193" s="293"/>
      <c r="O193" s="293"/>
      <c r="P193" s="293"/>
      <c r="Q193" s="293"/>
      <c r="R193" s="293"/>
      <c r="S193" s="293"/>
      <c r="T193" s="293"/>
      <c r="U193" s="293"/>
      <c r="V193" s="293"/>
      <c r="W193" s="293"/>
      <c r="X193" s="293"/>
      <c r="Y193" s="293"/>
      <c r="Z193" s="293"/>
      <c r="AA193" s="293"/>
      <c r="AB193" s="293"/>
      <c r="AC193" s="293"/>
      <c r="AD193" s="293"/>
      <c r="AE193" s="293"/>
      <c r="AF193" s="293"/>
      <c r="AG193" s="293"/>
      <c r="AH193" s="293"/>
      <c r="AI193" s="293"/>
      <c r="AJ193" s="293"/>
      <c r="AK193" s="293"/>
      <c r="AL193" s="293"/>
      <c r="AM193" s="293"/>
      <c r="AN193" s="293"/>
      <c r="AO193" s="293"/>
      <c r="AP193" s="293"/>
      <c r="AQ193" s="293"/>
      <c r="AR193" s="293"/>
      <c r="AS193" s="293"/>
      <c r="AT193" s="293"/>
      <c r="AU193" s="293"/>
      <c r="AV193" s="293"/>
      <c r="AW193" s="293"/>
      <c r="AX193" s="293"/>
      <c r="AY193" s="293"/>
      <c r="AZ193" s="293"/>
      <c r="BA193" s="293"/>
      <c r="BB193" s="293"/>
      <c r="BC193" s="293"/>
      <c r="BD193" s="293"/>
      <c r="BE193" s="293"/>
      <c r="BF193" s="293"/>
      <c r="BG193" s="293"/>
      <c r="BH193" s="293"/>
      <c r="BI193" s="293"/>
      <c r="BJ193" s="293"/>
      <c r="BK193" s="293"/>
      <c r="BL193" s="293"/>
      <c r="BM193" s="293"/>
      <c r="BN193" s="293"/>
      <c r="BO193" s="293"/>
      <c r="BP193" s="293"/>
      <c r="BQ193" s="293"/>
      <c r="BR193" s="293"/>
      <c r="BS193" s="293"/>
      <c r="BT193" s="293"/>
      <c r="BU193" s="293"/>
      <c r="BV193" s="293"/>
      <c r="BW193" s="293"/>
      <c r="BX193" s="293"/>
      <c r="BY193" s="293"/>
      <c r="BZ193" s="293"/>
      <c r="CA193" s="293"/>
      <c r="CB193" s="293"/>
      <c r="CC193" s="293"/>
      <c r="CD193" s="293"/>
      <c r="CE193" s="293"/>
      <c r="CF193" s="293"/>
      <c r="CG193" s="293"/>
      <c r="CH193" s="293"/>
      <c r="CI193" s="293"/>
      <c r="CJ193" s="293"/>
      <c r="CK193" s="293"/>
      <c r="CL193" s="293"/>
      <c r="CM193" s="293"/>
      <c r="CN193" s="293"/>
      <c r="CO193" s="293"/>
      <c r="CP193" s="293"/>
      <c r="CQ193" s="293"/>
      <c r="CR193" s="293"/>
      <c r="CS193" s="293"/>
      <c r="CT193" s="293"/>
      <c r="CU193" s="293"/>
      <c r="CV193" s="293"/>
      <c r="CW193" s="293"/>
      <c r="CX193" s="293"/>
      <c r="CY193" s="293"/>
      <c r="CZ193" s="293"/>
      <c r="DA193" s="293"/>
      <c r="DB193" s="293"/>
      <c r="DC193" s="293"/>
      <c r="DD193" s="293"/>
      <c r="DE193" s="293"/>
      <c r="DF193" s="293"/>
      <c r="DG193" s="288"/>
      <c r="DH193" s="288"/>
      <c r="DI193" s="288"/>
      <c r="DJ193" s="288"/>
      <c r="DK193" s="288"/>
      <c r="DL193" s="288"/>
      <c r="DM193" s="288"/>
      <c r="DN193" s="288"/>
      <c r="DO193" s="288"/>
      <c r="DP193" s="288"/>
      <c r="DQ193" s="288"/>
      <c r="DR193" s="288"/>
      <c r="DS193" s="288"/>
      <c r="DT193" s="288"/>
      <c r="DU193" s="288"/>
      <c r="DV193" s="288"/>
      <c r="DW193" s="288"/>
      <c r="DX193" s="288"/>
    </row>
    <row r="194" ht="14.25" customHeight="1">
      <c r="A194" s="293"/>
      <c r="B194" s="293"/>
      <c r="C194" s="293"/>
      <c r="D194" s="293"/>
      <c r="E194" s="293"/>
      <c r="F194" s="293"/>
      <c r="G194" s="293"/>
      <c r="H194" s="293"/>
      <c r="I194" s="293"/>
      <c r="J194" s="293"/>
      <c r="K194" s="293"/>
      <c r="L194" s="293"/>
      <c r="M194" s="293"/>
      <c r="N194" s="293"/>
      <c r="O194" s="293"/>
      <c r="P194" s="293"/>
      <c r="Q194" s="293"/>
      <c r="R194" s="293"/>
      <c r="S194" s="293"/>
      <c r="T194" s="293"/>
      <c r="U194" s="293"/>
      <c r="V194" s="293"/>
      <c r="W194" s="293"/>
      <c r="X194" s="293"/>
      <c r="Y194" s="293"/>
      <c r="Z194" s="293"/>
      <c r="AA194" s="293"/>
      <c r="AB194" s="293"/>
      <c r="AC194" s="293"/>
      <c r="AD194" s="293"/>
      <c r="AE194" s="293"/>
      <c r="AF194" s="293"/>
      <c r="AG194" s="293"/>
      <c r="AH194" s="293"/>
      <c r="AI194" s="293"/>
      <c r="AJ194" s="293"/>
      <c r="AK194" s="293"/>
      <c r="AL194" s="293"/>
      <c r="AM194" s="293"/>
      <c r="AN194" s="293"/>
      <c r="AO194" s="293"/>
      <c r="AP194" s="293"/>
      <c r="AQ194" s="293"/>
      <c r="AR194" s="293"/>
      <c r="AS194" s="293"/>
      <c r="AT194" s="293"/>
      <c r="AU194" s="293"/>
      <c r="AV194" s="293"/>
      <c r="AW194" s="293"/>
      <c r="AX194" s="293"/>
      <c r="AY194" s="293"/>
      <c r="AZ194" s="293"/>
      <c r="BA194" s="293"/>
      <c r="BB194" s="293"/>
      <c r="BC194" s="293"/>
      <c r="BD194" s="293"/>
      <c r="BE194" s="293"/>
      <c r="BF194" s="293"/>
      <c r="BG194" s="293"/>
      <c r="BH194" s="293"/>
      <c r="BI194" s="293"/>
      <c r="BJ194" s="293"/>
      <c r="BK194" s="293"/>
      <c r="BL194" s="293"/>
      <c r="BM194" s="293"/>
      <c r="BN194" s="293"/>
      <c r="BO194" s="293"/>
      <c r="BP194" s="293"/>
      <c r="BQ194" s="293"/>
      <c r="BR194" s="293"/>
      <c r="BS194" s="293"/>
      <c r="BT194" s="293"/>
      <c r="BU194" s="293"/>
      <c r="BV194" s="293"/>
      <c r="BW194" s="293"/>
      <c r="BX194" s="293"/>
      <c r="BY194" s="293"/>
      <c r="BZ194" s="293"/>
      <c r="CA194" s="293"/>
      <c r="CB194" s="293"/>
      <c r="CC194" s="293"/>
      <c r="CD194" s="293"/>
      <c r="CE194" s="293"/>
      <c r="CF194" s="293"/>
      <c r="CG194" s="293"/>
      <c r="CH194" s="293"/>
      <c r="CI194" s="293"/>
      <c r="CJ194" s="293"/>
      <c r="CK194" s="293"/>
      <c r="CL194" s="293"/>
      <c r="CM194" s="293"/>
      <c r="CN194" s="293"/>
      <c r="CO194" s="293"/>
      <c r="CP194" s="293"/>
      <c r="CQ194" s="293"/>
      <c r="CR194" s="293"/>
      <c r="CS194" s="293"/>
      <c r="CT194" s="293"/>
      <c r="CU194" s="293"/>
      <c r="CV194" s="293"/>
      <c r="CW194" s="293"/>
      <c r="CX194" s="293"/>
      <c r="CY194" s="293"/>
      <c r="CZ194" s="293"/>
      <c r="DA194" s="293"/>
      <c r="DB194" s="293"/>
      <c r="DC194" s="293"/>
      <c r="DD194" s="293"/>
      <c r="DE194" s="293"/>
      <c r="DF194" s="293"/>
      <c r="DG194" s="288"/>
      <c r="DH194" s="288"/>
      <c r="DI194" s="288"/>
      <c r="DJ194" s="288"/>
      <c r="DK194" s="288"/>
      <c r="DL194" s="288"/>
      <c r="DM194" s="288"/>
      <c r="DN194" s="288"/>
      <c r="DO194" s="288"/>
      <c r="DP194" s="288"/>
      <c r="DQ194" s="288"/>
      <c r="DR194" s="288"/>
      <c r="DS194" s="288"/>
      <c r="DT194" s="288"/>
      <c r="DU194" s="288"/>
      <c r="DV194" s="288"/>
      <c r="DW194" s="288"/>
      <c r="DX194" s="288"/>
    </row>
    <row r="195" ht="14.25" customHeight="1">
      <c r="A195" s="293"/>
      <c r="B195" s="293"/>
      <c r="C195" s="293"/>
      <c r="D195" s="293"/>
      <c r="E195" s="293"/>
      <c r="F195" s="293"/>
      <c r="G195" s="293"/>
      <c r="H195" s="293"/>
      <c r="I195" s="293"/>
      <c r="J195" s="293"/>
      <c r="K195" s="293"/>
      <c r="L195" s="293"/>
      <c r="M195" s="293"/>
      <c r="N195" s="293"/>
      <c r="O195" s="293"/>
      <c r="P195" s="293"/>
      <c r="Q195" s="293"/>
      <c r="R195" s="293"/>
      <c r="S195" s="293"/>
      <c r="T195" s="293"/>
      <c r="U195" s="293"/>
      <c r="V195" s="293"/>
      <c r="W195" s="293"/>
      <c r="X195" s="293"/>
      <c r="Y195" s="293"/>
      <c r="Z195" s="293"/>
      <c r="AA195" s="293"/>
      <c r="AB195" s="293"/>
      <c r="AC195" s="293"/>
      <c r="AD195" s="293"/>
      <c r="AE195" s="293"/>
      <c r="AF195" s="293"/>
      <c r="AG195" s="293"/>
      <c r="AH195" s="293"/>
      <c r="AI195" s="293"/>
      <c r="AJ195" s="293"/>
      <c r="AK195" s="293"/>
      <c r="AL195" s="293"/>
      <c r="AM195" s="293"/>
      <c r="AN195" s="293"/>
      <c r="AO195" s="293"/>
      <c r="AP195" s="293"/>
      <c r="AQ195" s="293"/>
      <c r="AR195" s="293"/>
      <c r="AS195" s="293"/>
      <c r="AT195" s="293"/>
      <c r="AU195" s="293"/>
      <c r="AV195" s="293"/>
      <c r="AW195" s="293"/>
      <c r="AX195" s="293"/>
      <c r="AY195" s="293"/>
      <c r="AZ195" s="293"/>
      <c r="BA195" s="293"/>
      <c r="BB195" s="293"/>
      <c r="BC195" s="293"/>
      <c r="BD195" s="293"/>
      <c r="BE195" s="293"/>
      <c r="BF195" s="293"/>
      <c r="BG195" s="293"/>
      <c r="BH195" s="293"/>
      <c r="BI195" s="293"/>
      <c r="BJ195" s="293"/>
      <c r="BK195" s="293"/>
      <c r="BL195" s="293"/>
      <c r="BM195" s="293"/>
      <c r="BN195" s="293"/>
      <c r="BO195" s="293"/>
      <c r="BP195" s="293"/>
      <c r="BQ195" s="293"/>
      <c r="BR195" s="293"/>
      <c r="BS195" s="293"/>
      <c r="BT195" s="293"/>
      <c r="BU195" s="293"/>
      <c r="BV195" s="293"/>
      <c r="BW195" s="293"/>
      <c r="BX195" s="293"/>
      <c r="BY195" s="293"/>
      <c r="BZ195" s="293"/>
      <c r="CA195" s="293"/>
      <c r="CB195" s="293"/>
      <c r="CC195" s="293"/>
      <c r="CD195" s="293"/>
      <c r="CE195" s="293"/>
      <c r="CF195" s="293"/>
      <c r="CG195" s="293"/>
      <c r="CH195" s="293"/>
      <c r="CI195" s="293"/>
      <c r="CJ195" s="293"/>
      <c r="CK195" s="293"/>
      <c r="CL195" s="293"/>
      <c r="CM195" s="293"/>
      <c r="CN195" s="293"/>
      <c r="CO195" s="293"/>
      <c r="CP195" s="293"/>
      <c r="CQ195" s="293"/>
      <c r="CR195" s="293"/>
      <c r="CS195" s="293"/>
      <c r="CT195" s="293"/>
      <c r="CU195" s="293"/>
      <c r="CV195" s="293"/>
      <c r="CW195" s="293"/>
      <c r="CX195" s="293"/>
      <c r="CY195" s="293"/>
      <c r="CZ195" s="293"/>
      <c r="DA195" s="293"/>
      <c r="DB195" s="293"/>
      <c r="DC195" s="293"/>
      <c r="DD195" s="293"/>
      <c r="DE195" s="293"/>
      <c r="DF195" s="293"/>
      <c r="DG195" s="288"/>
      <c r="DH195" s="288"/>
      <c r="DI195" s="288"/>
      <c r="DJ195" s="288"/>
      <c r="DK195" s="288"/>
      <c r="DL195" s="288"/>
      <c r="DM195" s="288"/>
      <c r="DN195" s="288"/>
      <c r="DO195" s="288"/>
      <c r="DP195" s="288"/>
      <c r="DQ195" s="288"/>
      <c r="DR195" s="288"/>
      <c r="DS195" s="288"/>
      <c r="DT195" s="288"/>
      <c r="DU195" s="288"/>
      <c r="DV195" s="288"/>
      <c r="DW195" s="288"/>
      <c r="DX195" s="288"/>
    </row>
    <row r="196" ht="14.25" customHeight="1">
      <c r="A196" s="293"/>
      <c r="B196" s="293"/>
      <c r="C196" s="293"/>
      <c r="D196" s="293"/>
      <c r="E196" s="293"/>
      <c r="F196" s="293"/>
      <c r="G196" s="293"/>
      <c r="H196" s="293"/>
      <c r="I196" s="293"/>
      <c r="J196" s="293"/>
      <c r="K196" s="293"/>
      <c r="L196" s="293"/>
      <c r="M196" s="293"/>
      <c r="N196" s="293"/>
      <c r="O196" s="293"/>
      <c r="P196" s="293"/>
      <c r="Q196" s="293"/>
      <c r="R196" s="293"/>
      <c r="S196" s="293"/>
      <c r="T196" s="293"/>
      <c r="U196" s="293"/>
      <c r="V196" s="293"/>
      <c r="W196" s="293"/>
      <c r="X196" s="293"/>
      <c r="Y196" s="293"/>
      <c r="Z196" s="293"/>
      <c r="AA196" s="293"/>
      <c r="AB196" s="293"/>
      <c r="AC196" s="293"/>
      <c r="AD196" s="293"/>
      <c r="AE196" s="293"/>
      <c r="AF196" s="293"/>
      <c r="AG196" s="293"/>
      <c r="AH196" s="293"/>
      <c r="AI196" s="293"/>
      <c r="AJ196" s="293"/>
      <c r="AK196" s="293"/>
      <c r="AL196" s="293"/>
      <c r="AM196" s="293"/>
      <c r="AN196" s="293"/>
      <c r="AO196" s="293"/>
      <c r="AP196" s="293"/>
      <c r="AQ196" s="293"/>
      <c r="AR196" s="293"/>
      <c r="AS196" s="293"/>
      <c r="AT196" s="293"/>
      <c r="AU196" s="293"/>
      <c r="AV196" s="293"/>
      <c r="AW196" s="293"/>
      <c r="AX196" s="293"/>
      <c r="AY196" s="293"/>
      <c r="AZ196" s="293"/>
      <c r="BA196" s="293"/>
      <c r="BB196" s="293"/>
      <c r="BC196" s="293"/>
      <c r="BD196" s="293"/>
      <c r="BE196" s="293"/>
      <c r="BF196" s="293"/>
      <c r="BG196" s="293"/>
      <c r="BH196" s="293"/>
      <c r="BI196" s="293"/>
      <c r="BJ196" s="293"/>
      <c r="BK196" s="293"/>
      <c r="BL196" s="293"/>
      <c r="BM196" s="293"/>
      <c r="BN196" s="293"/>
      <c r="BO196" s="293"/>
      <c r="BP196" s="293"/>
      <c r="BQ196" s="293"/>
      <c r="BR196" s="293"/>
      <c r="BS196" s="293"/>
      <c r="BT196" s="293"/>
      <c r="BU196" s="293"/>
      <c r="BV196" s="293"/>
      <c r="BW196" s="293"/>
      <c r="BX196" s="293"/>
      <c r="BY196" s="293"/>
      <c r="BZ196" s="293"/>
      <c r="CA196" s="293"/>
      <c r="CB196" s="293"/>
      <c r="CC196" s="293"/>
      <c r="CD196" s="293"/>
      <c r="CE196" s="293"/>
      <c r="CF196" s="293"/>
      <c r="CG196" s="293"/>
      <c r="CH196" s="293"/>
      <c r="CI196" s="293"/>
      <c r="CJ196" s="293"/>
      <c r="CK196" s="293"/>
      <c r="CL196" s="293"/>
      <c r="CM196" s="293"/>
      <c r="CN196" s="293"/>
      <c r="CO196" s="293"/>
      <c r="CP196" s="293"/>
      <c r="CQ196" s="293"/>
      <c r="CR196" s="293"/>
      <c r="CS196" s="293"/>
      <c r="CT196" s="293"/>
      <c r="CU196" s="293"/>
      <c r="CV196" s="293"/>
      <c r="CW196" s="293"/>
      <c r="CX196" s="293"/>
      <c r="CY196" s="293"/>
      <c r="CZ196" s="293"/>
      <c r="DA196" s="293"/>
      <c r="DB196" s="293"/>
      <c r="DC196" s="293"/>
      <c r="DD196" s="293"/>
      <c r="DE196" s="293"/>
      <c r="DF196" s="293"/>
      <c r="DG196" s="288"/>
      <c r="DH196" s="288"/>
      <c r="DI196" s="288"/>
      <c r="DJ196" s="288"/>
      <c r="DK196" s="288"/>
      <c r="DL196" s="288"/>
      <c r="DM196" s="288"/>
      <c r="DN196" s="288"/>
      <c r="DO196" s="288"/>
      <c r="DP196" s="288"/>
      <c r="DQ196" s="288"/>
      <c r="DR196" s="288"/>
      <c r="DS196" s="288"/>
      <c r="DT196" s="288"/>
      <c r="DU196" s="288"/>
      <c r="DV196" s="288"/>
      <c r="DW196" s="288"/>
      <c r="DX196" s="288"/>
    </row>
    <row r="197" ht="14.25" customHeight="1">
      <c r="A197" s="293"/>
      <c r="B197" s="293"/>
      <c r="C197" s="293"/>
      <c r="D197" s="293"/>
      <c r="E197" s="293"/>
      <c r="F197" s="293"/>
      <c r="G197" s="293"/>
      <c r="H197" s="293"/>
      <c r="I197" s="293"/>
      <c r="J197" s="293"/>
      <c r="K197" s="293"/>
      <c r="L197" s="293"/>
      <c r="M197" s="293"/>
      <c r="N197" s="293"/>
      <c r="O197" s="293"/>
      <c r="P197" s="293"/>
      <c r="Q197" s="293"/>
      <c r="R197" s="293"/>
      <c r="S197" s="293"/>
      <c r="T197" s="293"/>
      <c r="U197" s="293"/>
      <c r="V197" s="293"/>
      <c r="W197" s="293"/>
      <c r="X197" s="293"/>
      <c r="Y197" s="293"/>
      <c r="Z197" s="293"/>
      <c r="AA197" s="293"/>
      <c r="AB197" s="293"/>
      <c r="AC197" s="293"/>
      <c r="AD197" s="293"/>
      <c r="AE197" s="293"/>
      <c r="AF197" s="293"/>
      <c r="AG197" s="293"/>
      <c r="AH197" s="293"/>
      <c r="AI197" s="293"/>
      <c r="AJ197" s="293"/>
      <c r="AK197" s="293"/>
      <c r="AL197" s="293"/>
      <c r="AM197" s="293"/>
      <c r="AN197" s="293"/>
      <c r="AO197" s="293"/>
      <c r="AP197" s="293"/>
      <c r="AQ197" s="293"/>
      <c r="AR197" s="293"/>
      <c r="AS197" s="293"/>
      <c r="AT197" s="293"/>
      <c r="AU197" s="293"/>
      <c r="AV197" s="293"/>
      <c r="AW197" s="293"/>
      <c r="AX197" s="293"/>
      <c r="AY197" s="293"/>
      <c r="AZ197" s="293"/>
      <c r="BA197" s="293"/>
      <c r="BB197" s="293"/>
      <c r="BC197" s="293"/>
      <c r="BD197" s="293"/>
      <c r="BE197" s="293"/>
      <c r="BF197" s="293"/>
      <c r="BG197" s="293"/>
      <c r="BH197" s="293"/>
      <c r="BI197" s="293"/>
      <c r="BJ197" s="293"/>
      <c r="BK197" s="293"/>
      <c r="BL197" s="293"/>
      <c r="BM197" s="293"/>
      <c r="BN197" s="293"/>
      <c r="BO197" s="293"/>
      <c r="BP197" s="293"/>
      <c r="BQ197" s="293"/>
      <c r="BR197" s="293"/>
      <c r="BS197" s="293"/>
      <c r="BT197" s="293"/>
      <c r="BU197" s="293"/>
      <c r="BV197" s="293"/>
      <c r="BW197" s="293"/>
      <c r="BX197" s="293"/>
      <c r="BY197" s="293"/>
      <c r="BZ197" s="293"/>
      <c r="CA197" s="293"/>
      <c r="CB197" s="293"/>
      <c r="CC197" s="293"/>
      <c r="CD197" s="293"/>
      <c r="CE197" s="293"/>
      <c r="CF197" s="293"/>
      <c r="CG197" s="293"/>
      <c r="CH197" s="293"/>
      <c r="CI197" s="293"/>
      <c r="CJ197" s="293"/>
      <c r="CK197" s="293"/>
      <c r="CL197" s="293"/>
      <c r="CM197" s="293"/>
      <c r="CN197" s="293"/>
      <c r="CO197" s="293"/>
      <c r="CP197" s="293"/>
      <c r="CQ197" s="293"/>
      <c r="CR197" s="293"/>
      <c r="CS197" s="293"/>
      <c r="CT197" s="293"/>
      <c r="CU197" s="293"/>
      <c r="CV197" s="293"/>
      <c r="CW197" s="293"/>
      <c r="CX197" s="293"/>
      <c r="CY197" s="293"/>
      <c r="CZ197" s="293"/>
      <c r="DA197" s="293"/>
      <c r="DB197" s="293"/>
      <c r="DC197" s="293"/>
      <c r="DD197" s="293"/>
      <c r="DE197" s="293"/>
      <c r="DF197" s="293"/>
      <c r="DG197" s="288"/>
      <c r="DH197" s="288"/>
      <c r="DI197" s="288"/>
      <c r="DJ197" s="288"/>
      <c r="DK197" s="288"/>
      <c r="DL197" s="288"/>
      <c r="DM197" s="288"/>
      <c r="DN197" s="288"/>
      <c r="DO197" s="288"/>
      <c r="DP197" s="288"/>
      <c r="DQ197" s="288"/>
      <c r="DR197" s="288"/>
      <c r="DS197" s="288"/>
      <c r="DT197" s="288"/>
      <c r="DU197" s="288"/>
      <c r="DV197" s="288"/>
      <c r="DW197" s="288"/>
      <c r="DX197" s="288"/>
    </row>
    <row r="198" ht="14.25" customHeight="1">
      <c r="A198" s="293"/>
      <c r="B198" s="293"/>
      <c r="C198" s="293"/>
      <c r="D198" s="293"/>
      <c r="E198" s="293"/>
      <c r="F198" s="293"/>
      <c r="G198" s="293"/>
      <c r="H198" s="293"/>
      <c r="I198" s="293"/>
      <c r="J198" s="293"/>
      <c r="K198" s="293"/>
      <c r="L198" s="293"/>
      <c r="M198" s="293"/>
      <c r="N198" s="293"/>
      <c r="O198" s="293"/>
      <c r="P198" s="293"/>
      <c r="Q198" s="293"/>
      <c r="R198" s="293"/>
      <c r="S198" s="293"/>
      <c r="T198" s="293"/>
      <c r="U198" s="293"/>
      <c r="V198" s="293"/>
      <c r="W198" s="293"/>
      <c r="X198" s="293"/>
      <c r="Y198" s="293"/>
      <c r="Z198" s="293"/>
      <c r="AA198" s="293"/>
      <c r="AB198" s="293"/>
      <c r="AC198" s="293"/>
      <c r="AD198" s="293"/>
      <c r="AE198" s="293"/>
      <c r="AF198" s="293"/>
      <c r="AG198" s="293"/>
      <c r="AH198" s="293"/>
      <c r="AI198" s="293"/>
      <c r="AJ198" s="293"/>
      <c r="AK198" s="293"/>
      <c r="AL198" s="293"/>
      <c r="AM198" s="293"/>
      <c r="AN198" s="293"/>
      <c r="AO198" s="293"/>
      <c r="AP198" s="293"/>
      <c r="AQ198" s="293"/>
      <c r="AR198" s="293"/>
      <c r="AS198" s="293"/>
      <c r="AT198" s="293"/>
      <c r="AU198" s="293"/>
      <c r="AV198" s="293"/>
      <c r="AW198" s="293"/>
      <c r="AX198" s="293"/>
      <c r="AY198" s="293"/>
      <c r="AZ198" s="293"/>
      <c r="BA198" s="293"/>
      <c r="BB198" s="293"/>
      <c r="BC198" s="293"/>
      <c r="BD198" s="293"/>
      <c r="BE198" s="293"/>
      <c r="BF198" s="293"/>
      <c r="BG198" s="293"/>
      <c r="BH198" s="293"/>
      <c r="BI198" s="293"/>
      <c r="BJ198" s="293"/>
      <c r="BK198" s="293"/>
      <c r="BL198" s="293"/>
      <c r="BM198" s="293"/>
      <c r="BN198" s="293"/>
      <c r="BO198" s="293"/>
      <c r="BP198" s="293"/>
      <c r="BQ198" s="293"/>
      <c r="BR198" s="293"/>
      <c r="BS198" s="293"/>
      <c r="BT198" s="293"/>
      <c r="BU198" s="293"/>
      <c r="BV198" s="293"/>
      <c r="BW198" s="293"/>
      <c r="BX198" s="293"/>
      <c r="BY198" s="293"/>
      <c r="BZ198" s="293"/>
      <c r="CA198" s="293"/>
      <c r="CB198" s="293"/>
      <c r="CC198" s="293"/>
      <c r="CD198" s="293"/>
      <c r="CE198" s="293"/>
      <c r="CF198" s="293"/>
      <c r="CG198" s="293"/>
      <c r="CH198" s="293"/>
      <c r="CI198" s="293"/>
      <c r="CJ198" s="293"/>
      <c r="CK198" s="293"/>
      <c r="CL198" s="293"/>
      <c r="CM198" s="293"/>
      <c r="CN198" s="293"/>
      <c r="CO198" s="293"/>
      <c r="CP198" s="293"/>
      <c r="CQ198" s="293"/>
      <c r="CR198" s="293"/>
      <c r="CS198" s="293"/>
      <c r="CT198" s="293"/>
      <c r="CU198" s="293"/>
      <c r="CV198" s="293"/>
      <c r="CW198" s="293"/>
      <c r="CX198" s="293"/>
      <c r="CY198" s="293"/>
      <c r="CZ198" s="293"/>
      <c r="DA198" s="293"/>
      <c r="DB198" s="293"/>
      <c r="DC198" s="293"/>
      <c r="DD198" s="293"/>
      <c r="DE198" s="293"/>
      <c r="DF198" s="293"/>
      <c r="DG198" s="288"/>
      <c r="DH198" s="288"/>
      <c r="DI198" s="288"/>
      <c r="DJ198" s="288"/>
      <c r="DK198" s="288"/>
      <c r="DL198" s="288"/>
      <c r="DM198" s="288"/>
      <c r="DN198" s="288"/>
      <c r="DO198" s="288"/>
      <c r="DP198" s="288"/>
      <c r="DQ198" s="288"/>
      <c r="DR198" s="288"/>
      <c r="DS198" s="288"/>
      <c r="DT198" s="288"/>
      <c r="DU198" s="288"/>
      <c r="DV198" s="288"/>
      <c r="DW198" s="288"/>
      <c r="DX198" s="288"/>
    </row>
    <row r="199" ht="14.25" customHeight="1">
      <c r="A199" s="293"/>
      <c r="B199" s="293"/>
      <c r="C199" s="293"/>
      <c r="D199" s="293"/>
      <c r="E199" s="293"/>
      <c r="F199" s="293"/>
      <c r="G199" s="293"/>
      <c r="H199" s="293"/>
      <c r="I199" s="293"/>
      <c r="J199" s="293"/>
      <c r="K199" s="293"/>
      <c r="L199" s="293"/>
      <c r="M199" s="293"/>
      <c r="N199" s="293"/>
      <c r="O199" s="293"/>
      <c r="P199" s="293"/>
      <c r="Q199" s="293"/>
      <c r="R199" s="293"/>
      <c r="S199" s="293"/>
      <c r="T199" s="293"/>
      <c r="U199" s="293"/>
      <c r="V199" s="293"/>
      <c r="W199" s="293"/>
      <c r="X199" s="293"/>
      <c r="Y199" s="293"/>
      <c r="Z199" s="293"/>
      <c r="AA199" s="293"/>
      <c r="AB199" s="293"/>
      <c r="AC199" s="293"/>
      <c r="AD199" s="293"/>
      <c r="AE199" s="293"/>
      <c r="AF199" s="293"/>
      <c r="AG199" s="293"/>
      <c r="AH199" s="293"/>
      <c r="AI199" s="293"/>
      <c r="AJ199" s="293"/>
      <c r="AK199" s="293"/>
      <c r="AL199" s="293"/>
      <c r="AM199" s="293"/>
      <c r="AN199" s="293"/>
      <c r="AO199" s="293"/>
      <c r="AP199" s="293"/>
      <c r="AQ199" s="293"/>
      <c r="AR199" s="293"/>
      <c r="AS199" s="293"/>
      <c r="AT199" s="293"/>
      <c r="AU199" s="293"/>
      <c r="AV199" s="293"/>
      <c r="AW199" s="293"/>
      <c r="AX199" s="293"/>
      <c r="AY199" s="293"/>
      <c r="AZ199" s="293"/>
      <c r="BA199" s="293"/>
      <c r="BB199" s="293"/>
      <c r="BC199" s="293"/>
      <c r="BD199" s="293"/>
      <c r="BE199" s="293"/>
      <c r="BF199" s="293"/>
      <c r="BG199" s="293"/>
      <c r="BH199" s="293"/>
      <c r="BI199" s="293"/>
      <c r="BJ199" s="293"/>
      <c r="BK199" s="293"/>
      <c r="BL199" s="293"/>
      <c r="BM199" s="293"/>
      <c r="BN199" s="293"/>
      <c r="BO199" s="293"/>
      <c r="BP199" s="293"/>
      <c r="BQ199" s="293"/>
      <c r="BR199" s="293"/>
      <c r="BS199" s="293"/>
      <c r="BT199" s="293"/>
      <c r="BU199" s="293"/>
      <c r="BV199" s="293"/>
      <c r="BW199" s="293"/>
      <c r="BX199" s="293"/>
      <c r="BY199" s="293"/>
      <c r="BZ199" s="293"/>
      <c r="CA199" s="293"/>
      <c r="CB199" s="293"/>
      <c r="CC199" s="293"/>
      <c r="CD199" s="293"/>
      <c r="CE199" s="293"/>
      <c r="CF199" s="293"/>
      <c r="CG199" s="293"/>
      <c r="CH199" s="293"/>
      <c r="CI199" s="293"/>
      <c r="CJ199" s="293"/>
      <c r="CK199" s="293"/>
      <c r="CL199" s="293"/>
      <c r="CM199" s="293"/>
      <c r="CN199" s="293"/>
      <c r="CO199" s="293"/>
      <c r="CP199" s="293"/>
      <c r="CQ199" s="293"/>
      <c r="CR199" s="293"/>
      <c r="CS199" s="293"/>
      <c r="CT199" s="293"/>
      <c r="CU199" s="293"/>
      <c r="CV199" s="293"/>
      <c r="CW199" s="293"/>
      <c r="CX199" s="293"/>
      <c r="CY199" s="293"/>
      <c r="CZ199" s="293"/>
      <c r="DA199" s="293"/>
      <c r="DB199" s="293"/>
      <c r="DC199" s="293"/>
      <c r="DD199" s="293"/>
      <c r="DE199" s="293"/>
      <c r="DF199" s="293"/>
      <c r="DG199" s="288"/>
      <c r="DH199" s="288"/>
      <c r="DI199" s="288"/>
      <c r="DJ199" s="288"/>
      <c r="DK199" s="288"/>
      <c r="DL199" s="288"/>
      <c r="DM199" s="288"/>
      <c r="DN199" s="288"/>
      <c r="DO199" s="288"/>
      <c r="DP199" s="288"/>
      <c r="DQ199" s="288"/>
      <c r="DR199" s="288"/>
      <c r="DS199" s="288"/>
      <c r="DT199" s="288"/>
      <c r="DU199" s="288"/>
      <c r="DV199" s="288"/>
      <c r="DW199" s="288"/>
      <c r="DX199" s="288"/>
    </row>
    <row r="200" ht="14.25" customHeight="1">
      <c r="A200" s="293"/>
      <c r="B200" s="293"/>
      <c r="C200" s="293"/>
      <c r="D200" s="293"/>
      <c r="E200" s="293"/>
      <c r="F200" s="293"/>
      <c r="G200" s="293"/>
      <c r="H200" s="293"/>
      <c r="I200" s="293"/>
      <c r="J200" s="293"/>
      <c r="K200" s="293"/>
      <c r="L200" s="293"/>
      <c r="M200" s="293"/>
      <c r="N200" s="293"/>
      <c r="O200" s="293"/>
      <c r="P200" s="293"/>
      <c r="Q200" s="293"/>
      <c r="R200" s="293"/>
      <c r="S200" s="293"/>
      <c r="T200" s="293"/>
      <c r="U200" s="293"/>
      <c r="V200" s="293"/>
      <c r="W200" s="293"/>
      <c r="X200" s="293"/>
      <c r="Y200" s="293"/>
      <c r="Z200" s="293"/>
      <c r="AA200" s="293"/>
      <c r="AB200" s="293"/>
      <c r="AC200" s="293"/>
      <c r="AD200" s="293"/>
      <c r="AE200" s="293"/>
      <c r="AF200" s="293"/>
      <c r="AG200" s="293"/>
      <c r="AH200" s="293"/>
      <c r="AI200" s="293"/>
      <c r="AJ200" s="293"/>
      <c r="AK200" s="293"/>
      <c r="AL200" s="293"/>
      <c r="AM200" s="293"/>
      <c r="AN200" s="293"/>
      <c r="AO200" s="293"/>
      <c r="AP200" s="293"/>
      <c r="AQ200" s="293"/>
      <c r="AR200" s="293"/>
      <c r="AS200" s="293"/>
      <c r="AT200" s="293"/>
      <c r="AU200" s="293"/>
      <c r="AV200" s="293"/>
      <c r="AW200" s="293"/>
      <c r="AX200" s="293"/>
      <c r="AY200" s="293"/>
      <c r="AZ200" s="293"/>
      <c r="BA200" s="293"/>
      <c r="BB200" s="293"/>
      <c r="BC200" s="293"/>
      <c r="BD200" s="293"/>
      <c r="BE200" s="293"/>
      <c r="BF200" s="293"/>
      <c r="BG200" s="293"/>
      <c r="BH200" s="293"/>
      <c r="BI200" s="293"/>
      <c r="BJ200" s="293"/>
      <c r="BK200" s="293"/>
      <c r="BL200" s="293"/>
      <c r="BM200" s="293"/>
      <c r="BN200" s="293"/>
      <c r="BO200" s="293"/>
      <c r="BP200" s="293"/>
      <c r="BQ200" s="293"/>
      <c r="BR200" s="293"/>
      <c r="BS200" s="293"/>
      <c r="BT200" s="293"/>
      <c r="BU200" s="293"/>
      <c r="BV200" s="293"/>
      <c r="BW200" s="293"/>
      <c r="BX200" s="293"/>
      <c r="BY200" s="293"/>
      <c r="BZ200" s="293"/>
      <c r="CA200" s="293"/>
      <c r="CB200" s="293"/>
      <c r="CC200" s="293"/>
      <c r="CD200" s="293"/>
      <c r="CE200" s="293"/>
      <c r="CF200" s="293"/>
      <c r="CG200" s="293"/>
      <c r="CH200" s="293"/>
      <c r="CI200" s="293"/>
      <c r="CJ200" s="293"/>
      <c r="CK200" s="293"/>
      <c r="CL200" s="293"/>
      <c r="CM200" s="293"/>
      <c r="CN200" s="293"/>
      <c r="CO200" s="293"/>
      <c r="CP200" s="293"/>
      <c r="CQ200" s="293"/>
      <c r="CR200" s="293"/>
      <c r="CS200" s="293"/>
      <c r="CT200" s="293"/>
      <c r="CU200" s="293"/>
      <c r="CV200" s="293"/>
      <c r="CW200" s="293"/>
      <c r="CX200" s="293"/>
      <c r="CY200" s="293"/>
      <c r="CZ200" s="293"/>
      <c r="DA200" s="293"/>
      <c r="DB200" s="293"/>
      <c r="DC200" s="293"/>
      <c r="DD200" s="293"/>
      <c r="DE200" s="293"/>
      <c r="DF200" s="293"/>
      <c r="DG200" s="288"/>
      <c r="DH200" s="288"/>
      <c r="DI200" s="288"/>
      <c r="DJ200" s="288"/>
      <c r="DK200" s="288"/>
      <c r="DL200" s="288"/>
      <c r="DM200" s="288"/>
      <c r="DN200" s="288"/>
      <c r="DO200" s="288"/>
      <c r="DP200" s="288"/>
      <c r="DQ200" s="288"/>
      <c r="DR200" s="288"/>
      <c r="DS200" s="288"/>
      <c r="DT200" s="288"/>
      <c r="DU200" s="288"/>
      <c r="DV200" s="288"/>
      <c r="DW200" s="288"/>
      <c r="DX200" s="288"/>
    </row>
    <row r="201" ht="14.25" customHeight="1">
      <c r="A201" s="293"/>
      <c r="B201" s="293"/>
      <c r="C201" s="293"/>
      <c r="D201" s="293"/>
      <c r="E201" s="293"/>
      <c r="F201" s="293"/>
      <c r="G201" s="293"/>
      <c r="H201" s="293"/>
      <c r="I201" s="293"/>
      <c r="J201" s="293"/>
      <c r="K201" s="293"/>
      <c r="L201" s="293"/>
      <c r="M201" s="293"/>
      <c r="N201" s="293"/>
      <c r="O201" s="293"/>
      <c r="P201" s="293"/>
      <c r="Q201" s="293"/>
      <c r="R201" s="293"/>
      <c r="S201" s="293"/>
      <c r="T201" s="293"/>
      <c r="U201" s="293"/>
      <c r="V201" s="293"/>
      <c r="W201" s="293"/>
      <c r="X201" s="293"/>
      <c r="Y201" s="293"/>
      <c r="Z201" s="293"/>
      <c r="AA201" s="293"/>
      <c r="AB201" s="293"/>
      <c r="AC201" s="293"/>
      <c r="AD201" s="293"/>
      <c r="AE201" s="293"/>
      <c r="AF201" s="293"/>
      <c r="AG201" s="293"/>
      <c r="AH201" s="293"/>
      <c r="AI201" s="293"/>
      <c r="AJ201" s="293"/>
      <c r="AK201" s="293"/>
      <c r="AL201" s="293"/>
      <c r="AM201" s="293"/>
      <c r="AN201" s="293"/>
      <c r="AO201" s="293"/>
      <c r="AP201" s="293"/>
      <c r="AQ201" s="293"/>
      <c r="AR201" s="293"/>
      <c r="AS201" s="293"/>
      <c r="AT201" s="293"/>
      <c r="AU201" s="293"/>
      <c r="AV201" s="293"/>
      <c r="AW201" s="293"/>
      <c r="AX201" s="293"/>
      <c r="AY201" s="293"/>
      <c r="AZ201" s="293"/>
      <c r="BA201" s="293"/>
      <c r="BB201" s="293"/>
      <c r="BC201" s="293"/>
      <c r="BD201" s="293"/>
      <c r="BE201" s="293"/>
      <c r="BF201" s="293"/>
      <c r="BG201" s="293"/>
      <c r="BH201" s="293"/>
      <c r="BI201" s="293"/>
      <c r="BJ201" s="293"/>
      <c r="BK201" s="293"/>
      <c r="BL201" s="293"/>
      <c r="BM201" s="293"/>
      <c r="BN201" s="293"/>
      <c r="BO201" s="293"/>
      <c r="BP201" s="293"/>
      <c r="BQ201" s="293"/>
      <c r="BR201" s="293"/>
      <c r="BS201" s="293"/>
      <c r="BT201" s="293"/>
      <c r="BU201" s="293"/>
      <c r="BV201" s="293"/>
      <c r="BW201" s="293"/>
      <c r="BX201" s="293"/>
      <c r="BY201" s="293"/>
      <c r="BZ201" s="293"/>
      <c r="CA201" s="293"/>
      <c r="CB201" s="293"/>
      <c r="CC201" s="293"/>
      <c r="CD201" s="293"/>
      <c r="CE201" s="293"/>
      <c r="CF201" s="293"/>
      <c r="CG201" s="293"/>
      <c r="CH201" s="293"/>
      <c r="CI201" s="293"/>
      <c r="CJ201" s="293"/>
      <c r="CK201" s="293"/>
      <c r="CL201" s="293"/>
      <c r="CM201" s="293"/>
      <c r="CN201" s="293"/>
      <c r="CO201" s="293"/>
      <c r="CP201" s="293"/>
      <c r="CQ201" s="293"/>
      <c r="CR201" s="293"/>
      <c r="CS201" s="293"/>
      <c r="CT201" s="293"/>
      <c r="CU201" s="293"/>
      <c r="CV201" s="293"/>
      <c r="CW201" s="293"/>
      <c r="CX201" s="293"/>
      <c r="CY201" s="293"/>
      <c r="CZ201" s="293"/>
      <c r="DA201" s="293"/>
      <c r="DB201" s="293"/>
      <c r="DC201" s="293"/>
      <c r="DD201" s="293"/>
      <c r="DE201" s="293"/>
      <c r="DF201" s="293"/>
      <c r="DG201" s="288"/>
      <c r="DH201" s="288"/>
      <c r="DI201" s="288"/>
      <c r="DJ201" s="288"/>
      <c r="DK201" s="288"/>
      <c r="DL201" s="288"/>
      <c r="DM201" s="288"/>
      <c r="DN201" s="288"/>
      <c r="DO201" s="288"/>
      <c r="DP201" s="288"/>
      <c r="DQ201" s="288"/>
      <c r="DR201" s="288"/>
      <c r="DS201" s="288"/>
      <c r="DT201" s="288"/>
      <c r="DU201" s="288"/>
      <c r="DV201" s="288"/>
      <c r="DW201" s="288"/>
      <c r="DX201" s="288"/>
    </row>
    <row r="202" ht="14.25" customHeight="1">
      <c r="A202" s="293"/>
      <c r="B202" s="293"/>
      <c r="C202" s="293"/>
      <c r="D202" s="293"/>
      <c r="E202" s="293"/>
      <c r="F202" s="293"/>
      <c r="G202" s="293"/>
      <c r="H202" s="293"/>
      <c r="I202" s="293"/>
      <c r="J202" s="293"/>
      <c r="K202" s="293"/>
      <c r="L202" s="293"/>
      <c r="M202" s="293"/>
      <c r="N202" s="293"/>
      <c r="O202" s="293"/>
      <c r="P202" s="293"/>
      <c r="Q202" s="293"/>
      <c r="R202" s="293"/>
      <c r="S202" s="293"/>
      <c r="T202" s="293"/>
      <c r="U202" s="293"/>
      <c r="V202" s="293"/>
      <c r="W202" s="293"/>
      <c r="X202" s="293"/>
      <c r="Y202" s="293"/>
      <c r="Z202" s="293"/>
      <c r="AA202" s="293"/>
      <c r="AB202" s="293"/>
      <c r="AC202" s="293"/>
      <c r="AD202" s="293"/>
      <c r="AE202" s="293"/>
      <c r="AF202" s="293"/>
      <c r="AG202" s="293"/>
      <c r="AH202" s="293"/>
      <c r="AI202" s="293"/>
      <c r="AJ202" s="293"/>
      <c r="AK202" s="293"/>
      <c r="AL202" s="293"/>
      <c r="AM202" s="293"/>
      <c r="AN202" s="293"/>
      <c r="AO202" s="293"/>
      <c r="AP202" s="293"/>
      <c r="AQ202" s="293"/>
      <c r="AR202" s="293"/>
      <c r="AS202" s="293"/>
      <c r="AT202" s="293"/>
      <c r="AU202" s="293"/>
      <c r="AV202" s="293"/>
      <c r="AW202" s="293"/>
      <c r="AX202" s="293"/>
      <c r="AY202" s="293"/>
      <c r="AZ202" s="293"/>
      <c r="BA202" s="293"/>
      <c r="BB202" s="293"/>
      <c r="BC202" s="293"/>
      <c r="BD202" s="293"/>
      <c r="BE202" s="293"/>
      <c r="BF202" s="293"/>
      <c r="BG202" s="293"/>
      <c r="BH202" s="293"/>
      <c r="BI202" s="293"/>
      <c r="BJ202" s="293"/>
      <c r="BK202" s="293"/>
      <c r="BL202" s="293"/>
      <c r="BM202" s="293"/>
      <c r="BN202" s="293"/>
      <c r="BO202" s="293"/>
      <c r="BP202" s="293"/>
      <c r="BQ202" s="293"/>
      <c r="BR202" s="293"/>
      <c r="BS202" s="293"/>
      <c r="BT202" s="293"/>
      <c r="BU202" s="293"/>
      <c r="BV202" s="293"/>
      <c r="BW202" s="293"/>
      <c r="BX202" s="293"/>
      <c r="BY202" s="293"/>
      <c r="BZ202" s="293"/>
      <c r="CA202" s="293"/>
      <c r="CB202" s="293"/>
      <c r="CC202" s="293"/>
      <c r="CD202" s="293"/>
      <c r="CE202" s="293"/>
      <c r="CF202" s="293"/>
      <c r="CG202" s="293"/>
      <c r="CH202" s="293"/>
      <c r="CI202" s="293"/>
      <c r="CJ202" s="293"/>
      <c r="CK202" s="293"/>
      <c r="CL202" s="293"/>
      <c r="CM202" s="293"/>
      <c r="CN202" s="293"/>
      <c r="CO202" s="293"/>
      <c r="CP202" s="293"/>
      <c r="CQ202" s="293"/>
      <c r="CR202" s="293"/>
      <c r="CS202" s="293"/>
      <c r="CT202" s="293"/>
      <c r="CU202" s="293"/>
      <c r="CV202" s="293"/>
      <c r="CW202" s="293"/>
      <c r="CX202" s="293"/>
      <c r="CY202" s="293"/>
      <c r="CZ202" s="293"/>
      <c r="DA202" s="293"/>
      <c r="DB202" s="293"/>
      <c r="DC202" s="293"/>
      <c r="DD202" s="293"/>
      <c r="DE202" s="293"/>
      <c r="DF202" s="293"/>
      <c r="DG202" s="288"/>
      <c r="DH202" s="288"/>
      <c r="DI202" s="288"/>
      <c r="DJ202" s="288"/>
      <c r="DK202" s="288"/>
      <c r="DL202" s="288"/>
      <c r="DM202" s="288"/>
      <c r="DN202" s="288"/>
      <c r="DO202" s="288"/>
      <c r="DP202" s="288"/>
      <c r="DQ202" s="288"/>
      <c r="DR202" s="288"/>
      <c r="DS202" s="288"/>
      <c r="DT202" s="288"/>
      <c r="DU202" s="288"/>
      <c r="DV202" s="288"/>
      <c r="DW202" s="288"/>
      <c r="DX202" s="288"/>
    </row>
    <row r="203" ht="14.25" customHeight="1">
      <c r="A203" s="293"/>
      <c r="B203" s="293"/>
      <c r="C203" s="293"/>
      <c r="D203" s="293"/>
      <c r="E203" s="293"/>
      <c r="F203" s="293"/>
      <c r="G203" s="293"/>
      <c r="H203" s="293"/>
      <c r="I203" s="293"/>
      <c r="J203" s="293"/>
      <c r="K203" s="293"/>
      <c r="L203" s="293"/>
      <c r="M203" s="293"/>
      <c r="N203" s="293"/>
      <c r="O203" s="293"/>
      <c r="P203" s="293"/>
      <c r="Q203" s="293"/>
      <c r="R203" s="293"/>
      <c r="S203" s="293"/>
      <c r="T203" s="293"/>
      <c r="U203" s="293"/>
      <c r="V203" s="293"/>
      <c r="W203" s="293"/>
      <c r="X203" s="293"/>
      <c r="Y203" s="293"/>
      <c r="Z203" s="293"/>
      <c r="AA203" s="293"/>
      <c r="AB203" s="293"/>
      <c r="AC203" s="293"/>
      <c r="AD203" s="293"/>
      <c r="AE203" s="293"/>
      <c r="AF203" s="293"/>
      <c r="AG203" s="293"/>
      <c r="AH203" s="293"/>
      <c r="AI203" s="293"/>
      <c r="AJ203" s="293"/>
      <c r="AK203" s="293"/>
      <c r="AL203" s="293"/>
      <c r="AM203" s="293"/>
      <c r="AN203" s="293"/>
      <c r="AO203" s="293"/>
      <c r="AP203" s="293"/>
      <c r="AQ203" s="293"/>
      <c r="AR203" s="293"/>
      <c r="AS203" s="293"/>
      <c r="AT203" s="293"/>
      <c r="AU203" s="293"/>
      <c r="AV203" s="293"/>
      <c r="AW203" s="293"/>
      <c r="AX203" s="293"/>
      <c r="AY203" s="293"/>
      <c r="AZ203" s="293"/>
      <c r="BA203" s="293"/>
      <c r="BB203" s="293"/>
      <c r="BC203" s="293"/>
      <c r="BD203" s="293"/>
      <c r="BE203" s="293"/>
      <c r="BF203" s="293"/>
      <c r="BG203" s="293"/>
      <c r="BH203" s="293"/>
      <c r="BI203" s="293"/>
      <c r="BJ203" s="293"/>
      <c r="BK203" s="293"/>
      <c r="BL203" s="293"/>
      <c r="BM203" s="293"/>
      <c r="BN203" s="293"/>
      <c r="BO203" s="293"/>
      <c r="BP203" s="293"/>
      <c r="BQ203" s="293"/>
      <c r="BR203" s="293"/>
      <c r="BS203" s="293"/>
      <c r="BT203" s="293"/>
      <c r="BU203" s="293"/>
      <c r="BV203" s="293"/>
      <c r="BW203" s="293"/>
      <c r="BX203" s="293"/>
      <c r="BY203" s="293"/>
      <c r="BZ203" s="293"/>
      <c r="CA203" s="293"/>
      <c r="CB203" s="293"/>
      <c r="CC203" s="293"/>
      <c r="CD203" s="293"/>
      <c r="CE203" s="293"/>
      <c r="CF203" s="293"/>
      <c r="CG203" s="293"/>
      <c r="CH203" s="293"/>
      <c r="CI203" s="293"/>
      <c r="CJ203" s="293"/>
      <c r="CK203" s="293"/>
      <c r="CL203" s="293"/>
      <c r="CM203" s="293"/>
      <c r="CN203" s="293"/>
      <c r="CO203" s="293"/>
      <c r="CP203" s="293"/>
      <c r="CQ203" s="293"/>
      <c r="CR203" s="293"/>
      <c r="CS203" s="293"/>
      <c r="CT203" s="293"/>
      <c r="CU203" s="293"/>
      <c r="CV203" s="293"/>
      <c r="CW203" s="293"/>
      <c r="CX203" s="293"/>
      <c r="CY203" s="293"/>
      <c r="CZ203" s="293"/>
      <c r="DA203" s="293"/>
      <c r="DB203" s="293"/>
      <c r="DC203" s="293"/>
      <c r="DD203" s="293"/>
      <c r="DE203" s="293"/>
      <c r="DF203" s="293"/>
      <c r="DG203" s="288"/>
      <c r="DH203" s="288"/>
      <c r="DI203" s="288"/>
      <c r="DJ203" s="288"/>
      <c r="DK203" s="288"/>
      <c r="DL203" s="288"/>
      <c r="DM203" s="288"/>
      <c r="DN203" s="288"/>
      <c r="DO203" s="288"/>
      <c r="DP203" s="288"/>
      <c r="DQ203" s="288"/>
      <c r="DR203" s="288"/>
      <c r="DS203" s="288"/>
      <c r="DT203" s="288"/>
      <c r="DU203" s="288"/>
      <c r="DV203" s="288"/>
      <c r="DW203" s="288"/>
      <c r="DX203" s="288"/>
    </row>
    <row r="204" ht="14.25" customHeight="1">
      <c r="A204" s="293"/>
      <c r="B204" s="293"/>
      <c r="C204" s="293"/>
      <c r="D204" s="293"/>
      <c r="E204" s="293"/>
      <c r="F204" s="293"/>
      <c r="G204" s="293"/>
      <c r="H204" s="293"/>
      <c r="I204" s="293"/>
      <c r="J204" s="293"/>
      <c r="K204" s="293"/>
      <c r="L204" s="293"/>
      <c r="M204" s="293"/>
      <c r="N204" s="293"/>
      <c r="O204" s="293"/>
      <c r="P204" s="293"/>
      <c r="Q204" s="293"/>
      <c r="R204" s="293"/>
      <c r="S204" s="293"/>
      <c r="T204" s="293"/>
      <c r="U204" s="293"/>
      <c r="V204" s="293"/>
      <c r="W204" s="293"/>
      <c r="X204" s="293"/>
      <c r="Y204" s="293"/>
      <c r="Z204" s="293"/>
      <c r="AA204" s="293"/>
      <c r="AB204" s="293"/>
      <c r="AC204" s="293"/>
      <c r="AD204" s="293"/>
      <c r="AE204" s="293"/>
      <c r="AF204" s="293"/>
      <c r="AG204" s="293"/>
      <c r="AH204" s="293"/>
      <c r="AI204" s="293"/>
      <c r="AJ204" s="293"/>
      <c r="AK204" s="293"/>
      <c r="AL204" s="293"/>
      <c r="AM204" s="293"/>
      <c r="AN204" s="293"/>
      <c r="AO204" s="293"/>
      <c r="AP204" s="293"/>
      <c r="AQ204" s="293"/>
      <c r="AR204" s="293"/>
      <c r="AS204" s="293"/>
      <c r="AT204" s="293"/>
      <c r="AU204" s="293"/>
      <c r="AV204" s="293"/>
      <c r="AW204" s="293"/>
      <c r="AX204" s="293"/>
      <c r="AY204" s="293"/>
      <c r="AZ204" s="293"/>
      <c r="BA204" s="293"/>
      <c r="BB204" s="293"/>
      <c r="BC204" s="293"/>
      <c r="BD204" s="293"/>
      <c r="BE204" s="293"/>
      <c r="BF204" s="293"/>
      <c r="BG204" s="293"/>
      <c r="BH204" s="293"/>
      <c r="BI204" s="293"/>
      <c r="BJ204" s="293"/>
      <c r="BK204" s="293"/>
      <c r="BL204" s="293"/>
      <c r="BM204" s="293"/>
      <c r="BN204" s="293"/>
      <c r="BO204" s="293"/>
      <c r="BP204" s="293"/>
      <c r="BQ204" s="293"/>
      <c r="BR204" s="293"/>
      <c r="BS204" s="293"/>
      <c r="BT204" s="293"/>
      <c r="BU204" s="293"/>
      <c r="BV204" s="293"/>
      <c r="BW204" s="293"/>
      <c r="BX204" s="293"/>
      <c r="BY204" s="293"/>
      <c r="BZ204" s="293"/>
      <c r="CA204" s="293"/>
      <c r="CB204" s="293"/>
      <c r="CC204" s="293"/>
      <c r="CD204" s="293"/>
      <c r="CE204" s="293"/>
      <c r="CF204" s="293"/>
      <c r="CG204" s="293"/>
      <c r="CH204" s="293"/>
      <c r="CI204" s="293"/>
      <c r="CJ204" s="293"/>
      <c r="CK204" s="293"/>
      <c r="CL204" s="293"/>
      <c r="CM204" s="293"/>
      <c r="CN204" s="293"/>
      <c r="CO204" s="293"/>
      <c r="CP204" s="293"/>
      <c r="CQ204" s="293"/>
      <c r="CR204" s="293"/>
      <c r="CS204" s="293"/>
      <c r="CT204" s="293"/>
      <c r="CU204" s="293"/>
      <c r="CV204" s="293"/>
      <c r="CW204" s="293"/>
      <c r="CX204" s="293"/>
      <c r="CY204" s="293"/>
      <c r="CZ204" s="293"/>
      <c r="DA204" s="293"/>
      <c r="DB204" s="293"/>
      <c r="DC204" s="293"/>
      <c r="DD204" s="293"/>
      <c r="DE204" s="293"/>
      <c r="DF204" s="293"/>
      <c r="DG204" s="288"/>
      <c r="DH204" s="288"/>
      <c r="DI204" s="288"/>
      <c r="DJ204" s="288"/>
      <c r="DK204" s="288"/>
      <c r="DL204" s="288"/>
      <c r="DM204" s="288"/>
      <c r="DN204" s="288"/>
      <c r="DO204" s="288"/>
      <c r="DP204" s="288"/>
      <c r="DQ204" s="288"/>
      <c r="DR204" s="288"/>
      <c r="DS204" s="288"/>
      <c r="DT204" s="288"/>
      <c r="DU204" s="288"/>
      <c r="DV204" s="288"/>
      <c r="DW204" s="288"/>
      <c r="DX204" s="288"/>
    </row>
    <row r="205" ht="14.25" customHeight="1">
      <c r="A205" s="293"/>
      <c r="B205" s="293"/>
      <c r="C205" s="293"/>
      <c r="D205" s="293"/>
      <c r="E205" s="293"/>
      <c r="F205" s="293"/>
      <c r="G205" s="293"/>
      <c r="H205" s="293"/>
      <c r="I205" s="293"/>
      <c r="J205" s="293"/>
      <c r="K205" s="293"/>
      <c r="L205" s="293"/>
      <c r="M205" s="293"/>
      <c r="N205" s="293"/>
      <c r="O205" s="293"/>
      <c r="P205" s="293"/>
      <c r="Q205" s="293"/>
      <c r="R205" s="293"/>
      <c r="S205" s="293"/>
      <c r="T205" s="293"/>
      <c r="U205" s="293"/>
      <c r="V205" s="293"/>
      <c r="W205" s="293"/>
      <c r="X205" s="293"/>
      <c r="Y205" s="293"/>
      <c r="Z205" s="293"/>
      <c r="AA205" s="293"/>
      <c r="AB205" s="293"/>
      <c r="AC205" s="293"/>
      <c r="AD205" s="293"/>
      <c r="AE205" s="293"/>
      <c r="AF205" s="293"/>
      <c r="AG205" s="293"/>
      <c r="AH205" s="293"/>
      <c r="AI205" s="293"/>
      <c r="AJ205" s="293"/>
      <c r="AK205" s="293"/>
      <c r="AL205" s="293"/>
      <c r="AM205" s="293"/>
      <c r="AN205" s="293"/>
      <c r="AO205" s="293"/>
      <c r="AP205" s="293"/>
      <c r="AQ205" s="293"/>
      <c r="AR205" s="293"/>
      <c r="AS205" s="293"/>
      <c r="AT205" s="293"/>
      <c r="AU205" s="293"/>
      <c r="AV205" s="293"/>
      <c r="AW205" s="293"/>
      <c r="AX205" s="293"/>
      <c r="AY205" s="293"/>
      <c r="AZ205" s="293"/>
      <c r="BA205" s="293"/>
      <c r="BB205" s="293"/>
      <c r="BC205" s="293"/>
      <c r="BD205" s="293"/>
      <c r="BE205" s="293"/>
      <c r="BF205" s="293"/>
      <c r="BG205" s="293"/>
      <c r="BH205" s="293"/>
      <c r="BI205" s="293"/>
      <c r="BJ205" s="293"/>
      <c r="BK205" s="293"/>
      <c r="BL205" s="293"/>
      <c r="BM205" s="293"/>
      <c r="BN205" s="293"/>
      <c r="BO205" s="293"/>
      <c r="BP205" s="293"/>
      <c r="BQ205" s="293"/>
      <c r="BR205" s="293"/>
      <c r="BS205" s="293"/>
      <c r="BT205" s="293"/>
      <c r="BU205" s="293"/>
      <c r="BV205" s="293"/>
      <c r="BW205" s="293"/>
      <c r="BX205" s="293"/>
      <c r="BY205" s="293"/>
      <c r="BZ205" s="293"/>
      <c r="CA205" s="293"/>
      <c r="CB205" s="293"/>
      <c r="CC205" s="293"/>
      <c r="CD205" s="293"/>
      <c r="CE205" s="293"/>
      <c r="CF205" s="293"/>
      <c r="CG205" s="293"/>
      <c r="CH205" s="293"/>
      <c r="CI205" s="293"/>
      <c r="CJ205" s="293"/>
      <c r="CK205" s="293"/>
      <c r="CL205" s="293"/>
      <c r="CM205" s="293"/>
      <c r="CN205" s="293"/>
      <c r="CO205" s="293"/>
      <c r="CP205" s="293"/>
      <c r="CQ205" s="293"/>
      <c r="CR205" s="293"/>
      <c r="CS205" s="293"/>
      <c r="CT205" s="293"/>
      <c r="CU205" s="293"/>
      <c r="CV205" s="293"/>
      <c r="CW205" s="293"/>
      <c r="CX205" s="293"/>
      <c r="CY205" s="293"/>
      <c r="CZ205" s="293"/>
      <c r="DA205" s="293"/>
      <c r="DB205" s="293"/>
      <c r="DC205" s="293"/>
      <c r="DD205" s="293"/>
      <c r="DE205" s="293"/>
      <c r="DF205" s="293"/>
      <c r="DG205" s="288"/>
      <c r="DH205" s="288"/>
      <c r="DI205" s="288"/>
      <c r="DJ205" s="288"/>
      <c r="DK205" s="288"/>
      <c r="DL205" s="288"/>
      <c r="DM205" s="288"/>
      <c r="DN205" s="288"/>
      <c r="DO205" s="288"/>
      <c r="DP205" s="288"/>
      <c r="DQ205" s="288"/>
      <c r="DR205" s="288"/>
      <c r="DS205" s="288"/>
      <c r="DT205" s="288"/>
      <c r="DU205" s="288"/>
      <c r="DV205" s="288"/>
      <c r="DW205" s="288"/>
      <c r="DX205" s="288"/>
    </row>
    <row r="206" ht="14.25" customHeight="1">
      <c r="A206" s="293"/>
      <c r="B206" s="293"/>
      <c r="C206" s="293"/>
      <c r="D206" s="293"/>
      <c r="E206" s="293"/>
      <c r="F206" s="293"/>
      <c r="G206" s="293"/>
      <c r="H206" s="293"/>
      <c r="I206" s="293"/>
      <c r="J206" s="293"/>
      <c r="K206" s="293"/>
      <c r="L206" s="293"/>
      <c r="M206" s="293"/>
      <c r="N206" s="293"/>
      <c r="O206" s="293"/>
      <c r="P206" s="293"/>
      <c r="Q206" s="293"/>
      <c r="R206" s="293"/>
      <c r="S206" s="293"/>
      <c r="T206" s="293"/>
      <c r="U206" s="293"/>
      <c r="V206" s="293"/>
      <c r="W206" s="293"/>
      <c r="X206" s="293"/>
      <c r="Y206" s="293"/>
      <c r="Z206" s="293"/>
      <c r="AA206" s="293"/>
      <c r="AB206" s="293"/>
      <c r="AC206" s="293"/>
      <c r="AD206" s="293"/>
      <c r="AE206" s="293"/>
      <c r="AF206" s="293"/>
      <c r="AG206" s="293"/>
      <c r="AH206" s="293"/>
      <c r="AI206" s="293"/>
      <c r="AJ206" s="293"/>
      <c r="AK206" s="293"/>
      <c r="AL206" s="293"/>
      <c r="AM206" s="293"/>
      <c r="AN206" s="293"/>
      <c r="AO206" s="293"/>
      <c r="AP206" s="293"/>
      <c r="AQ206" s="293"/>
      <c r="AR206" s="293"/>
      <c r="AS206" s="293"/>
      <c r="AT206" s="293"/>
      <c r="AU206" s="293"/>
      <c r="AV206" s="293"/>
      <c r="AW206" s="293"/>
      <c r="AX206" s="293"/>
      <c r="AY206" s="293"/>
      <c r="AZ206" s="293"/>
      <c r="BA206" s="293"/>
      <c r="BB206" s="293"/>
      <c r="BC206" s="293"/>
      <c r="BD206" s="293"/>
      <c r="BE206" s="293"/>
      <c r="BF206" s="293"/>
      <c r="BG206" s="293"/>
      <c r="BH206" s="293"/>
      <c r="BI206" s="293"/>
      <c r="BJ206" s="293"/>
      <c r="BK206" s="293"/>
      <c r="BL206" s="293"/>
      <c r="BM206" s="293"/>
      <c r="BN206" s="293"/>
      <c r="BO206" s="293"/>
      <c r="BP206" s="293"/>
      <c r="BQ206" s="293"/>
      <c r="BR206" s="293"/>
      <c r="BS206" s="293"/>
      <c r="BT206" s="293"/>
      <c r="BU206" s="293"/>
      <c r="BV206" s="293"/>
      <c r="BW206" s="293"/>
      <c r="BX206" s="293"/>
      <c r="BY206" s="293"/>
      <c r="BZ206" s="293"/>
      <c r="CA206" s="293"/>
      <c r="CB206" s="293"/>
      <c r="CC206" s="293"/>
      <c r="CD206" s="293"/>
      <c r="CE206" s="293"/>
      <c r="CF206" s="293"/>
      <c r="CG206" s="293"/>
      <c r="CH206" s="293"/>
      <c r="CI206" s="293"/>
      <c r="CJ206" s="293"/>
      <c r="CK206" s="293"/>
      <c r="CL206" s="293"/>
      <c r="CM206" s="293"/>
      <c r="CN206" s="293"/>
      <c r="CO206" s="293"/>
      <c r="CP206" s="293"/>
      <c r="CQ206" s="293"/>
      <c r="CR206" s="293"/>
      <c r="CS206" s="293"/>
      <c r="CT206" s="293"/>
      <c r="CU206" s="293"/>
      <c r="CV206" s="293"/>
      <c r="CW206" s="293"/>
      <c r="CX206" s="293"/>
      <c r="CY206" s="293"/>
      <c r="CZ206" s="293"/>
      <c r="DA206" s="293"/>
      <c r="DB206" s="293"/>
      <c r="DC206" s="293"/>
      <c r="DD206" s="293"/>
      <c r="DE206" s="293"/>
      <c r="DF206" s="293"/>
      <c r="DG206" s="288"/>
      <c r="DH206" s="288"/>
      <c r="DI206" s="288"/>
      <c r="DJ206" s="288"/>
      <c r="DK206" s="288"/>
      <c r="DL206" s="288"/>
      <c r="DM206" s="288"/>
      <c r="DN206" s="288"/>
      <c r="DO206" s="288"/>
      <c r="DP206" s="288"/>
      <c r="DQ206" s="288"/>
      <c r="DR206" s="288"/>
      <c r="DS206" s="288"/>
      <c r="DT206" s="288"/>
      <c r="DU206" s="288"/>
      <c r="DV206" s="288"/>
      <c r="DW206" s="288"/>
      <c r="DX206" s="288"/>
    </row>
    <row r="207" ht="14.25" customHeight="1">
      <c r="A207" s="293"/>
      <c r="B207" s="293"/>
      <c r="C207" s="293"/>
      <c r="D207" s="293"/>
      <c r="E207" s="293"/>
      <c r="F207" s="293"/>
      <c r="G207" s="293"/>
      <c r="H207" s="293"/>
      <c r="I207" s="293"/>
      <c r="J207" s="293"/>
      <c r="K207" s="293"/>
      <c r="L207" s="293"/>
      <c r="M207" s="293"/>
      <c r="N207" s="293"/>
      <c r="O207" s="293"/>
      <c r="P207" s="293"/>
      <c r="Q207" s="293"/>
      <c r="R207" s="293"/>
      <c r="S207" s="293"/>
      <c r="T207" s="293"/>
      <c r="U207" s="293"/>
      <c r="V207" s="293"/>
      <c r="W207" s="293"/>
      <c r="X207" s="293"/>
      <c r="Y207" s="293"/>
      <c r="Z207" s="293"/>
      <c r="AA207" s="293"/>
      <c r="AB207" s="293"/>
      <c r="AC207" s="293"/>
      <c r="AD207" s="293"/>
      <c r="AE207" s="293"/>
      <c r="AF207" s="293"/>
      <c r="AG207" s="293"/>
      <c r="AH207" s="293"/>
      <c r="AI207" s="293"/>
      <c r="AJ207" s="293"/>
      <c r="AK207" s="293"/>
      <c r="AL207" s="293"/>
      <c r="AM207" s="293"/>
      <c r="AN207" s="293"/>
      <c r="AO207" s="293"/>
      <c r="AP207" s="293"/>
      <c r="AQ207" s="293"/>
      <c r="AR207" s="293"/>
      <c r="AS207" s="293"/>
      <c r="AT207" s="293"/>
      <c r="AU207" s="293"/>
      <c r="AV207" s="293"/>
      <c r="AW207" s="293"/>
      <c r="AX207" s="293"/>
      <c r="AY207" s="293"/>
      <c r="AZ207" s="293"/>
      <c r="BA207" s="293"/>
      <c r="BB207" s="293"/>
      <c r="BC207" s="293"/>
      <c r="BD207" s="293"/>
      <c r="BE207" s="293"/>
      <c r="BF207" s="293"/>
      <c r="BG207" s="293"/>
      <c r="BH207" s="293"/>
      <c r="BI207" s="293"/>
      <c r="BJ207" s="293"/>
      <c r="BK207" s="293"/>
      <c r="BL207" s="293"/>
      <c r="BM207" s="293"/>
      <c r="BN207" s="293"/>
      <c r="BO207" s="293"/>
      <c r="BP207" s="293"/>
      <c r="BQ207" s="293"/>
      <c r="BR207" s="293"/>
      <c r="BS207" s="293"/>
      <c r="BT207" s="293"/>
      <c r="BU207" s="293"/>
      <c r="BV207" s="293"/>
      <c r="BW207" s="293"/>
      <c r="BX207" s="293"/>
      <c r="BY207" s="293"/>
      <c r="BZ207" s="293"/>
      <c r="CA207" s="293"/>
      <c r="CB207" s="293"/>
      <c r="CC207" s="293"/>
      <c r="CD207" s="293"/>
      <c r="CE207" s="293"/>
      <c r="CF207" s="293"/>
      <c r="CG207" s="293"/>
      <c r="CH207" s="293"/>
      <c r="CI207" s="293"/>
      <c r="CJ207" s="293"/>
      <c r="CK207" s="293"/>
      <c r="CL207" s="293"/>
      <c r="CM207" s="293"/>
      <c r="CN207" s="293"/>
      <c r="CO207" s="293"/>
      <c r="CP207" s="293"/>
      <c r="CQ207" s="293"/>
      <c r="CR207" s="293"/>
      <c r="CS207" s="293"/>
      <c r="CT207" s="293"/>
      <c r="CU207" s="293"/>
      <c r="CV207" s="293"/>
      <c r="CW207" s="293"/>
      <c r="CX207" s="293"/>
      <c r="CY207" s="293"/>
      <c r="CZ207" s="293"/>
      <c r="DA207" s="293"/>
      <c r="DB207" s="293"/>
      <c r="DC207" s="293"/>
      <c r="DD207" s="293"/>
      <c r="DE207" s="293"/>
      <c r="DF207" s="293"/>
      <c r="DG207" s="288"/>
      <c r="DH207" s="288"/>
      <c r="DI207" s="288"/>
      <c r="DJ207" s="288"/>
      <c r="DK207" s="288"/>
      <c r="DL207" s="288"/>
      <c r="DM207" s="288"/>
      <c r="DN207" s="288"/>
      <c r="DO207" s="288"/>
      <c r="DP207" s="288"/>
      <c r="DQ207" s="288"/>
      <c r="DR207" s="288"/>
      <c r="DS207" s="288"/>
      <c r="DT207" s="288"/>
      <c r="DU207" s="288"/>
      <c r="DV207" s="288"/>
      <c r="DW207" s="288"/>
      <c r="DX207" s="288"/>
    </row>
    <row r="208" ht="14.25" customHeight="1">
      <c r="A208" s="293"/>
      <c r="B208" s="293"/>
      <c r="C208" s="293"/>
      <c r="D208" s="293"/>
      <c r="E208" s="293"/>
      <c r="F208" s="293"/>
      <c r="G208" s="293"/>
      <c r="H208" s="293"/>
      <c r="I208" s="293"/>
      <c r="J208" s="293"/>
      <c r="K208" s="293"/>
      <c r="L208" s="293"/>
      <c r="M208" s="293"/>
      <c r="N208" s="293"/>
      <c r="O208" s="293"/>
      <c r="P208" s="293"/>
      <c r="Q208" s="293"/>
      <c r="R208" s="293"/>
      <c r="S208" s="293"/>
      <c r="T208" s="293"/>
      <c r="U208" s="293"/>
      <c r="V208" s="293"/>
      <c r="W208" s="293"/>
      <c r="X208" s="293"/>
      <c r="Y208" s="293"/>
      <c r="Z208" s="293"/>
      <c r="AA208" s="293"/>
      <c r="AB208" s="293"/>
      <c r="AC208" s="293"/>
      <c r="AD208" s="293"/>
      <c r="AE208" s="293"/>
      <c r="AF208" s="293"/>
      <c r="AG208" s="293"/>
      <c r="AH208" s="293"/>
      <c r="AI208" s="293"/>
      <c r="AJ208" s="293"/>
      <c r="AK208" s="293"/>
      <c r="AL208" s="293"/>
      <c r="AM208" s="293"/>
      <c r="AN208" s="293"/>
      <c r="AO208" s="293"/>
      <c r="AP208" s="293"/>
      <c r="AQ208" s="293"/>
      <c r="AR208" s="293"/>
      <c r="AS208" s="293"/>
      <c r="AT208" s="293"/>
      <c r="AU208" s="293"/>
      <c r="AV208" s="293"/>
      <c r="AW208" s="293"/>
      <c r="AX208" s="293"/>
      <c r="AY208" s="293"/>
      <c r="AZ208" s="293"/>
      <c r="BA208" s="293"/>
      <c r="BB208" s="293"/>
      <c r="BC208" s="293"/>
      <c r="BD208" s="293"/>
      <c r="BE208" s="293"/>
      <c r="BF208" s="293"/>
      <c r="BG208" s="293"/>
      <c r="BH208" s="293"/>
      <c r="BI208" s="293"/>
      <c r="BJ208" s="293"/>
      <c r="BK208" s="293"/>
      <c r="BL208" s="293"/>
      <c r="BM208" s="293"/>
      <c r="BN208" s="293"/>
      <c r="BO208" s="293"/>
      <c r="BP208" s="293"/>
      <c r="BQ208" s="293"/>
      <c r="BR208" s="293"/>
      <c r="BS208" s="293"/>
      <c r="BT208" s="293"/>
      <c r="BU208" s="293"/>
      <c r="BV208" s="293"/>
      <c r="BW208" s="293"/>
      <c r="BX208" s="293"/>
      <c r="BY208" s="293"/>
      <c r="BZ208" s="293"/>
      <c r="CA208" s="293"/>
      <c r="CB208" s="293"/>
      <c r="CC208" s="293"/>
      <c r="CD208" s="293"/>
      <c r="CE208" s="293"/>
      <c r="CF208" s="293"/>
      <c r="CG208" s="293"/>
      <c r="CH208" s="293"/>
      <c r="CI208" s="293"/>
      <c r="CJ208" s="293"/>
      <c r="CK208" s="293"/>
      <c r="CL208" s="293"/>
      <c r="CM208" s="293"/>
      <c r="CN208" s="293"/>
      <c r="CO208" s="293"/>
      <c r="CP208" s="293"/>
      <c r="CQ208" s="293"/>
      <c r="CR208" s="293"/>
      <c r="CS208" s="293"/>
      <c r="CT208" s="293"/>
      <c r="CU208" s="293"/>
      <c r="CV208" s="293"/>
      <c r="CW208" s="293"/>
      <c r="CX208" s="293"/>
      <c r="CY208" s="293"/>
      <c r="CZ208" s="293"/>
      <c r="DA208" s="293"/>
      <c r="DB208" s="293"/>
      <c r="DC208" s="293"/>
      <c r="DD208" s="293"/>
      <c r="DE208" s="293"/>
      <c r="DF208" s="293"/>
      <c r="DG208" s="288"/>
      <c r="DH208" s="288"/>
      <c r="DI208" s="288"/>
      <c r="DJ208" s="288"/>
      <c r="DK208" s="288"/>
      <c r="DL208" s="288"/>
      <c r="DM208" s="288"/>
      <c r="DN208" s="288"/>
      <c r="DO208" s="288"/>
      <c r="DP208" s="288"/>
      <c r="DQ208" s="288"/>
      <c r="DR208" s="288"/>
      <c r="DS208" s="288"/>
      <c r="DT208" s="288"/>
      <c r="DU208" s="288"/>
      <c r="DV208" s="288"/>
      <c r="DW208" s="288"/>
      <c r="DX208" s="288"/>
    </row>
    <row r="209" ht="14.25" customHeight="1">
      <c r="A209" s="293"/>
      <c r="B209" s="293"/>
      <c r="C209" s="293"/>
      <c r="D209" s="293"/>
      <c r="E209" s="293"/>
      <c r="F209" s="293"/>
      <c r="G209" s="293"/>
      <c r="H209" s="293"/>
      <c r="I209" s="293"/>
      <c r="J209" s="293"/>
      <c r="K209" s="293"/>
      <c r="L209" s="293"/>
      <c r="M209" s="293"/>
      <c r="N209" s="293"/>
      <c r="O209" s="293"/>
      <c r="P209" s="293"/>
      <c r="Q209" s="293"/>
      <c r="R209" s="293"/>
      <c r="S209" s="293"/>
      <c r="T209" s="293"/>
      <c r="U209" s="293"/>
      <c r="V209" s="293"/>
      <c r="W209" s="293"/>
      <c r="X209" s="293"/>
      <c r="Y209" s="293"/>
      <c r="Z209" s="293"/>
      <c r="AA209" s="293"/>
      <c r="AB209" s="293"/>
      <c r="AC209" s="293"/>
      <c r="AD209" s="293"/>
      <c r="AE209" s="293"/>
      <c r="AF209" s="293"/>
      <c r="AG209" s="293"/>
      <c r="AH209" s="293"/>
      <c r="AI209" s="293"/>
      <c r="AJ209" s="293"/>
      <c r="AK209" s="293"/>
      <c r="AL209" s="293"/>
      <c r="AM209" s="293"/>
      <c r="AN209" s="293"/>
      <c r="AO209" s="293"/>
      <c r="AP209" s="293"/>
      <c r="AQ209" s="293"/>
      <c r="AR209" s="293"/>
      <c r="AS209" s="293"/>
      <c r="AT209" s="293"/>
      <c r="AU209" s="293"/>
      <c r="AV209" s="293"/>
      <c r="AW209" s="293"/>
      <c r="AX209" s="293"/>
      <c r="AY209" s="293"/>
      <c r="AZ209" s="293"/>
      <c r="BA209" s="293"/>
      <c r="BB209" s="293"/>
      <c r="BC209" s="293"/>
      <c r="BD209" s="293"/>
      <c r="BE209" s="293"/>
      <c r="BF209" s="293"/>
      <c r="BG209" s="293"/>
      <c r="BH209" s="293"/>
      <c r="BI209" s="293"/>
      <c r="BJ209" s="293"/>
      <c r="BK209" s="293"/>
      <c r="BL209" s="293"/>
      <c r="BM209" s="293"/>
      <c r="BN209" s="293"/>
      <c r="BO209" s="293"/>
      <c r="BP209" s="293"/>
      <c r="BQ209" s="293"/>
      <c r="BR209" s="293"/>
      <c r="BS209" s="293"/>
      <c r="BT209" s="293"/>
      <c r="BU209" s="293"/>
      <c r="BV209" s="293"/>
      <c r="BW209" s="293"/>
      <c r="BX209" s="293"/>
      <c r="BY209" s="293"/>
      <c r="BZ209" s="293"/>
      <c r="CA209" s="293"/>
      <c r="CB209" s="293"/>
      <c r="CC209" s="293"/>
      <c r="CD209" s="293"/>
      <c r="CE209" s="293"/>
      <c r="CF209" s="293"/>
      <c r="CG209" s="293"/>
      <c r="CH209" s="293"/>
      <c r="CI209" s="293"/>
      <c r="CJ209" s="293"/>
      <c r="CK209" s="293"/>
      <c r="CL209" s="293"/>
      <c r="CM209" s="293"/>
      <c r="CN209" s="293"/>
      <c r="CO209" s="293"/>
      <c r="CP209" s="293"/>
      <c r="CQ209" s="293"/>
      <c r="CR209" s="293"/>
      <c r="CS209" s="293"/>
      <c r="CT209" s="293"/>
      <c r="CU209" s="293"/>
      <c r="CV209" s="293"/>
      <c r="CW209" s="293"/>
      <c r="CX209" s="293"/>
      <c r="CY209" s="293"/>
      <c r="CZ209" s="293"/>
      <c r="DA209" s="293"/>
      <c r="DB209" s="293"/>
      <c r="DC209" s="293"/>
      <c r="DD209" s="293"/>
      <c r="DE209" s="293"/>
      <c r="DF209" s="293"/>
      <c r="DG209" s="288"/>
      <c r="DH209" s="288"/>
      <c r="DI209" s="288"/>
      <c r="DJ209" s="288"/>
      <c r="DK209" s="288"/>
      <c r="DL209" s="288"/>
      <c r="DM209" s="288"/>
      <c r="DN209" s="288"/>
      <c r="DO209" s="288"/>
      <c r="DP209" s="288"/>
      <c r="DQ209" s="288"/>
      <c r="DR209" s="288"/>
      <c r="DS209" s="288"/>
      <c r="DT209" s="288"/>
      <c r="DU209" s="288"/>
      <c r="DV209" s="288"/>
      <c r="DW209" s="288"/>
      <c r="DX209" s="288"/>
    </row>
    <row r="210" ht="14.25" customHeight="1">
      <c r="A210" s="293"/>
      <c r="B210" s="293"/>
      <c r="C210" s="293"/>
      <c r="D210" s="293"/>
      <c r="E210" s="293"/>
      <c r="F210" s="293"/>
      <c r="G210" s="293"/>
      <c r="H210" s="293"/>
      <c r="I210" s="293"/>
      <c r="J210" s="293"/>
      <c r="K210" s="293"/>
      <c r="L210" s="293"/>
      <c r="M210" s="293"/>
      <c r="N210" s="293"/>
      <c r="O210" s="293"/>
      <c r="P210" s="293"/>
      <c r="Q210" s="293"/>
      <c r="R210" s="293"/>
      <c r="S210" s="293"/>
      <c r="T210" s="293"/>
      <c r="U210" s="293"/>
      <c r="V210" s="293"/>
      <c r="W210" s="293"/>
      <c r="X210" s="293"/>
      <c r="Y210" s="293"/>
      <c r="Z210" s="293"/>
      <c r="AA210" s="293"/>
      <c r="AB210" s="293"/>
      <c r="AC210" s="293"/>
      <c r="AD210" s="293"/>
      <c r="AE210" s="293"/>
      <c r="AF210" s="293"/>
      <c r="AG210" s="293"/>
      <c r="AH210" s="293"/>
      <c r="AI210" s="293"/>
      <c r="AJ210" s="293"/>
      <c r="AK210" s="293"/>
      <c r="AL210" s="293"/>
      <c r="AM210" s="293"/>
      <c r="AN210" s="293"/>
      <c r="AO210" s="293"/>
      <c r="AP210" s="293"/>
      <c r="AQ210" s="293"/>
      <c r="AR210" s="293"/>
      <c r="AS210" s="293"/>
      <c r="AT210" s="293"/>
      <c r="AU210" s="293"/>
      <c r="AV210" s="293"/>
      <c r="AW210" s="293"/>
      <c r="AX210" s="293"/>
      <c r="AY210" s="293"/>
      <c r="AZ210" s="293"/>
      <c r="BA210" s="293"/>
      <c r="BB210" s="293"/>
      <c r="BC210" s="293"/>
      <c r="BD210" s="293"/>
      <c r="BE210" s="293"/>
      <c r="BF210" s="293"/>
      <c r="BG210" s="293"/>
      <c r="BH210" s="293"/>
      <c r="BI210" s="293"/>
      <c r="BJ210" s="293"/>
      <c r="BK210" s="293"/>
      <c r="BL210" s="293"/>
      <c r="BM210" s="293"/>
      <c r="BN210" s="293"/>
      <c r="BO210" s="293"/>
      <c r="BP210" s="293"/>
      <c r="BQ210" s="293"/>
      <c r="BR210" s="293"/>
      <c r="BS210" s="293"/>
      <c r="BT210" s="293"/>
      <c r="BU210" s="293"/>
      <c r="BV210" s="293"/>
      <c r="BW210" s="293"/>
      <c r="BX210" s="293"/>
      <c r="BY210" s="293"/>
      <c r="BZ210" s="293"/>
      <c r="CA210" s="293"/>
      <c r="CB210" s="293"/>
      <c r="CC210" s="293"/>
      <c r="CD210" s="293"/>
      <c r="CE210" s="293"/>
      <c r="CF210" s="293"/>
      <c r="CG210" s="293"/>
      <c r="CH210" s="293"/>
      <c r="CI210" s="293"/>
      <c r="CJ210" s="293"/>
      <c r="CK210" s="293"/>
      <c r="CL210" s="293"/>
      <c r="CM210" s="293"/>
      <c r="CN210" s="293"/>
      <c r="CO210" s="293"/>
      <c r="CP210" s="293"/>
      <c r="CQ210" s="293"/>
      <c r="CR210" s="293"/>
      <c r="CS210" s="293"/>
      <c r="CT210" s="293"/>
      <c r="CU210" s="293"/>
      <c r="CV210" s="293"/>
      <c r="CW210" s="293"/>
      <c r="CX210" s="293"/>
      <c r="CY210" s="293"/>
      <c r="CZ210" s="293"/>
      <c r="DA210" s="293"/>
      <c r="DB210" s="293"/>
      <c r="DC210" s="293"/>
      <c r="DD210" s="293"/>
      <c r="DE210" s="293"/>
      <c r="DF210" s="293"/>
      <c r="DG210" s="288"/>
      <c r="DH210" s="288"/>
      <c r="DI210" s="288"/>
      <c r="DJ210" s="288"/>
      <c r="DK210" s="288"/>
      <c r="DL210" s="288"/>
      <c r="DM210" s="288"/>
      <c r="DN210" s="288"/>
      <c r="DO210" s="288"/>
      <c r="DP210" s="288"/>
      <c r="DQ210" s="288"/>
      <c r="DR210" s="288"/>
      <c r="DS210" s="288"/>
      <c r="DT210" s="288"/>
      <c r="DU210" s="288"/>
      <c r="DV210" s="288"/>
      <c r="DW210" s="288"/>
      <c r="DX210" s="288"/>
    </row>
    <row r="211" ht="14.25" customHeight="1">
      <c r="A211" s="293"/>
      <c r="B211" s="293"/>
      <c r="C211" s="293"/>
      <c r="D211" s="293"/>
      <c r="E211" s="293"/>
      <c r="F211" s="293"/>
      <c r="G211" s="293"/>
      <c r="H211" s="293"/>
      <c r="I211" s="293"/>
      <c r="J211" s="293"/>
      <c r="K211" s="293"/>
      <c r="L211" s="293"/>
      <c r="M211" s="293"/>
      <c r="N211" s="293"/>
      <c r="O211" s="293"/>
      <c r="P211" s="293"/>
      <c r="Q211" s="293"/>
      <c r="R211" s="293"/>
      <c r="S211" s="293"/>
      <c r="T211" s="293"/>
      <c r="U211" s="293"/>
      <c r="V211" s="293"/>
      <c r="W211" s="293"/>
      <c r="X211" s="293"/>
      <c r="Y211" s="293"/>
      <c r="Z211" s="293"/>
      <c r="AA211" s="293"/>
      <c r="AB211" s="293"/>
      <c r="AC211" s="293"/>
      <c r="AD211" s="293"/>
      <c r="AE211" s="293"/>
      <c r="AF211" s="293"/>
      <c r="AG211" s="293"/>
      <c r="AH211" s="293"/>
      <c r="AI211" s="293"/>
      <c r="AJ211" s="293"/>
      <c r="AK211" s="293"/>
      <c r="AL211" s="293"/>
      <c r="AM211" s="293"/>
      <c r="AN211" s="293"/>
      <c r="AO211" s="293"/>
      <c r="AP211" s="293"/>
      <c r="AQ211" s="293"/>
      <c r="AR211" s="293"/>
      <c r="AS211" s="293"/>
      <c r="AT211" s="293"/>
      <c r="AU211" s="293"/>
      <c r="AV211" s="293"/>
      <c r="AW211" s="293"/>
      <c r="AX211" s="293"/>
      <c r="AY211" s="293"/>
      <c r="AZ211" s="293"/>
      <c r="BA211" s="293"/>
      <c r="BB211" s="293"/>
      <c r="BC211" s="293"/>
      <c r="BD211" s="293"/>
      <c r="BE211" s="293"/>
      <c r="BF211" s="293"/>
      <c r="BG211" s="293"/>
      <c r="BH211" s="293"/>
      <c r="BI211" s="293"/>
      <c r="BJ211" s="293"/>
      <c r="BK211" s="293"/>
      <c r="BL211" s="293"/>
      <c r="BM211" s="293"/>
      <c r="BN211" s="293"/>
      <c r="BO211" s="293"/>
      <c r="BP211" s="293"/>
      <c r="BQ211" s="293"/>
      <c r="BR211" s="293"/>
      <c r="BS211" s="293"/>
      <c r="BT211" s="293"/>
      <c r="BU211" s="293"/>
      <c r="BV211" s="293"/>
      <c r="BW211" s="293"/>
      <c r="BX211" s="293"/>
      <c r="BY211" s="293"/>
      <c r="BZ211" s="293"/>
      <c r="CA211" s="293"/>
      <c r="CB211" s="293"/>
      <c r="CC211" s="293"/>
      <c r="CD211" s="293"/>
      <c r="CE211" s="293"/>
      <c r="CF211" s="293"/>
      <c r="CG211" s="293"/>
      <c r="CH211" s="293"/>
      <c r="CI211" s="293"/>
      <c r="CJ211" s="293"/>
      <c r="CK211" s="293"/>
      <c r="CL211" s="293"/>
      <c r="CM211" s="293"/>
      <c r="CN211" s="293"/>
      <c r="CO211" s="293"/>
      <c r="CP211" s="293"/>
      <c r="CQ211" s="293"/>
      <c r="CR211" s="293"/>
      <c r="CS211" s="293"/>
      <c r="CT211" s="293"/>
      <c r="CU211" s="293"/>
      <c r="CV211" s="293"/>
      <c r="CW211" s="293"/>
      <c r="CX211" s="293"/>
      <c r="CY211" s="293"/>
      <c r="CZ211" s="293"/>
      <c r="DA211" s="293"/>
      <c r="DB211" s="293"/>
      <c r="DC211" s="293"/>
      <c r="DD211" s="293"/>
      <c r="DE211" s="293"/>
      <c r="DF211" s="293"/>
      <c r="DG211" s="288"/>
      <c r="DH211" s="288"/>
      <c r="DI211" s="288"/>
      <c r="DJ211" s="288"/>
      <c r="DK211" s="288"/>
      <c r="DL211" s="288"/>
      <c r="DM211" s="288"/>
      <c r="DN211" s="288"/>
      <c r="DO211" s="288"/>
      <c r="DP211" s="288"/>
      <c r="DQ211" s="288"/>
      <c r="DR211" s="288"/>
      <c r="DS211" s="288"/>
      <c r="DT211" s="288"/>
      <c r="DU211" s="288"/>
      <c r="DV211" s="288"/>
      <c r="DW211" s="288"/>
      <c r="DX211" s="288"/>
    </row>
    <row r="212" ht="14.25" customHeight="1">
      <c r="A212" s="293"/>
      <c r="B212" s="293"/>
      <c r="C212" s="293"/>
      <c r="D212" s="293"/>
      <c r="E212" s="293"/>
      <c r="F212" s="293"/>
      <c r="G212" s="293"/>
      <c r="H212" s="293"/>
      <c r="I212" s="293"/>
      <c r="J212" s="293"/>
      <c r="K212" s="293"/>
      <c r="L212" s="293"/>
      <c r="M212" s="293"/>
      <c r="N212" s="293"/>
      <c r="O212" s="293"/>
      <c r="P212" s="293"/>
      <c r="Q212" s="293"/>
      <c r="R212" s="293"/>
      <c r="S212" s="293"/>
      <c r="T212" s="293"/>
      <c r="U212" s="293"/>
      <c r="V212" s="293"/>
      <c r="W212" s="293"/>
      <c r="X212" s="293"/>
      <c r="Y212" s="293"/>
      <c r="Z212" s="293"/>
      <c r="AA212" s="293"/>
      <c r="AB212" s="293"/>
      <c r="AC212" s="293"/>
      <c r="AD212" s="293"/>
      <c r="AE212" s="293"/>
      <c r="AF212" s="293"/>
      <c r="AG212" s="293"/>
      <c r="AH212" s="293"/>
      <c r="AI212" s="293"/>
      <c r="AJ212" s="293"/>
      <c r="AK212" s="293"/>
      <c r="AL212" s="293"/>
      <c r="AM212" s="293"/>
      <c r="AN212" s="293"/>
      <c r="AO212" s="293"/>
      <c r="AP212" s="293"/>
      <c r="AQ212" s="293"/>
      <c r="AR212" s="293"/>
      <c r="AS212" s="293"/>
      <c r="AT212" s="293"/>
      <c r="AU212" s="293"/>
      <c r="AV212" s="293"/>
      <c r="AW212" s="293"/>
      <c r="AX212" s="293"/>
      <c r="AY212" s="293"/>
      <c r="AZ212" s="293"/>
      <c r="BA212" s="293"/>
      <c r="BB212" s="293"/>
      <c r="BC212" s="293"/>
      <c r="BD212" s="293"/>
      <c r="BE212" s="293"/>
      <c r="BF212" s="293"/>
      <c r="BG212" s="293"/>
      <c r="BH212" s="293"/>
      <c r="BI212" s="293"/>
      <c r="BJ212" s="293"/>
      <c r="BK212" s="293"/>
      <c r="BL212" s="293"/>
      <c r="BM212" s="293"/>
      <c r="BN212" s="293"/>
      <c r="BO212" s="293"/>
      <c r="BP212" s="293"/>
      <c r="BQ212" s="293"/>
      <c r="BR212" s="293"/>
      <c r="BS212" s="293"/>
      <c r="BT212" s="293"/>
      <c r="BU212" s="293"/>
      <c r="BV212" s="293"/>
      <c r="BW212" s="293"/>
      <c r="BX212" s="293"/>
      <c r="BY212" s="293"/>
      <c r="BZ212" s="293"/>
      <c r="CA212" s="293"/>
      <c r="CB212" s="293"/>
      <c r="CC212" s="293"/>
      <c r="CD212" s="293"/>
      <c r="CE212" s="293"/>
      <c r="CF212" s="293"/>
      <c r="CG212" s="293"/>
      <c r="CH212" s="293"/>
      <c r="CI212" s="293"/>
      <c r="CJ212" s="293"/>
      <c r="CK212" s="293"/>
      <c r="CL212" s="293"/>
      <c r="CM212" s="293"/>
      <c r="CN212" s="293"/>
      <c r="CO212" s="293"/>
      <c r="CP212" s="293"/>
      <c r="CQ212" s="293"/>
      <c r="CR212" s="293"/>
      <c r="CS212" s="293"/>
      <c r="CT212" s="293"/>
      <c r="CU212" s="293"/>
      <c r="CV212" s="293"/>
      <c r="CW212" s="293"/>
      <c r="CX212" s="293"/>
      <c r="CY212" s="293"/>
      <c r="CZ212" s="293"/>
      <c r="DA212" s="293"/>
      <c r="DB212" s="293"/>
      <c r="DC212" s="293"/>
      <c r="DD212" s="293"/>
      <c r="DE212" s="293"/>
      <c r="DF212" s="293"/>
      <c r="DG212" s="288"/>
      <c r="DH212" s="288"/>
      <c r="DI212" s="288"/>
      <c r="DJ212" s="288"/>
      <c r="DK212" s="288"/>
      <c r="DL212" s="288"/>
      <c r="DM212" s="288"/>
      <c r="DN212" s="288"/>
      <c r="DO212" s="288"/>
      <c r="DP212" s="288"/>
      <c r="DQ212" s="288"/>
      <c r="DR212" s="288"/>
      <c r="DS212" s="288"/>
      <c r="DT212" s="288"/>
      <c r="DU212" s="288"/>
      <c r="DV212" s="288"/>
      <c r="DW212" s="288"/>
      <c r="DX212" s="288"/>
    </row>
    <row r="213" ht="14.25" customHeight="1">
      <c r="A213" s="293"/>
      <c r="B213" s="293"/>
      <c r="C213" s="293"/>
      <c r="D213" s="293"/>
      <c r="E213" s="293"/>
      <c r="F213" s="293"/>
      <c r="G213" s="293"/>
      <c r="H213" s="293"/>
      <c r="I213" s="293"/>
      <c r="J213" s="293"/>
      <c r="K213" s="293"/>
      <c r="L213" s="293"/>
      <c r="M213" s="293"/>
      <c r="N213" s="293"/>
      <c r="O213" s="293"/>
      <c r="P213" s="293"/>
      <c r="Q213" s="293"/>
      <c r="R213" s="293"/>
      <c r="S213" s="293"/>
      <c r="T213" s="293"/>
      <c r="U213" s="293"/>
      <c r="V213" s="293"/>
      <c r="W213" s="293"/>
      <c r="X213" s="293"/>
      <c r="Y213" s="293"/>
      <c r="Z213" s="293"/>
      <c r="AA213" s="293"/>
      <c r="AB213" s="293"/>
      <c r="AC213" s="293"/>
      <c r="AD213" s="293"/>
      <c r="AE213" s="293"/>
      <c r="AF213" s="293"/>
      <c r="AG213" s="293"/>
      <c r="AH213" s="293"/>
      <c r="AI213" s="293"/>
      <c r="AJ213" s="293"/>
      <c r="AK213" s="293"/>
      <c r="AL213" s="293"/>
      <c r="AM213" s="293"/>
      <c r="AN213" s="293"/>
      <c r="AO213" s="293"/>
      <c r="AP213" s="293"/>
      <c r="AQ213" s="293"/>
      <c r="AR213" s="293"/>
      <c r="AS213" s="293"/>
      <c r="AT213" s="293"/>
      <c r="AU213" s="293"/>
      <c r="AV213" s="293"/>
      <c r="AW213" s="293"/>
      <c r="AX213" s="293"/>
      <c r="AY213" s="293"/>
      <c r="AZ213" s="293"/>
      <c r="BA213" s="293"/>
      <c r="BB213" s="293"/>
      <c r="BC213" s="293"/>
      <c r="BD213" s="293"/>
      <c r="BE213" s="293"/>
      <c r="BF213" s="293"/>
      <c r="BG213" s="293"/>
      <c r="BH213" s="293"/>
      <c r="BI213" s="293"/>
      <c r="BJ213" s="293"/>
      <c r="BK213" s="293"/>
      <c r="BL213" s="293"/>
      <c r="BM213" s="293"/>
      <c r="BN213" s="293"/>
      <c r="BO213" s="293"/>
      <c r="BP213" s="293"/>
      <c r="BQ213" s="293"/>
      <c r="BR213" s="293"/>
      <c r="BS213" s="293"/>
      <c r="BT213" s="293"/>
      <c r="BU213" s="293"/>
      <c r="BV213" s="293"/>
      <c r="BW213" s="293"/>
      <c r="BX213" s="293"/>
      <c r="BY213" s="293"/>
      <c r="BZ213" s="293"/>
      <c r="CA213" s="293"/>
      <c r="CB213" s="293"/>
      <c r="CC213" s="293"/>
      <c r="CD213" s="293"/>
      <c r="CE213" s="293"/>
      <c r="CF213" s="293"/>
      <c r="CG213" s="293"/>
      <c r="CH213" s="293"/>
      <c r="CI213" s="293"/>
      <c r="CJ213" s="293"/>
      <c r="CK213" s="293"/>
      <c r="CL213" s="293"/>
      <c r="CM213" s="293"/>
      <c r="CN213" s="293"/>
      <c r="CO213" s="293"/>
      <c r="CP213" s="293"/>
      <c r="CQ213" s="293"/>
      <c r="CR213" s="293"/>
      <c r="CS213" s="293"/>
      <c r="CT213" s="293"/>
      <c r="CU213" s="293"/>
      <c r="CV213" s="293"/>
      <c r="CW213" s="293"/>
      <c r="CX213" s="293"/>
      <c r="CY213" s="293"/>
      <c r="CZ213" s="293"/>
      <c r="DA213" s="293"/>
      <c r="DB213" s="293"/>
      <c r="DC213" s="293"/>
      <c r="DD213" s="293"/>
      <c r="DE213" s="293"/>
      <c r="DF213" s="293"/>
      <c r="DG213" s="288"/>
      <c r="DH213" s="288"/>
      <c r="DI213" s="288"/>
      <c r="DJ213" s="288"/>
      <c r="DK213" s="288"/>
      <c r="DL213" s="288"/>
      <c r="DM213" s="288"/>
      <c r="DN213" s="288"/>
      <c r="DO213" s="288"/>
      <c r="DP213" s="288"/>
      <c r="DQ213" s="288"/>
      <c r="DR213" s="288"/>
      <c r="DS213" s="288"/>
      <c r="DT213" s="288"/>
      <c r="DU213" s="288"/>
      <c r="DV213" s="288"/>
      <c r="DW213" s="288"/>
      <c r="DX213" s="288"/>
    </row>
    <row r="214" ht="14.25" customHeight="1">
      <c r="A214" s="293"/>
      <c r="B214" s="293"/>
      <c r="C214" s="293"/>
      <c r="D214" s="293"/>
      <c r="E214" s="293"/>
      <c r="F214" s="293"/>
      <c r="G214" s="293"/>
      <c r="H214" s="293"/>
      <c r="I214" s="293"/>
      <c r="J214" s="293"/>
      <c r="K214" s="293"/>
      <c r="L214" s="293"/>
      <c r="M214" s="293"/>
      <c r="N214" s="293"/>
      <c r="O214" s="293"/>
      <c r="P214" s="293"/>
      <c r="Q214" s="293"/>
      <c r="R214" s="293"/>
      <c r="S214" s="293"/>
      <c r="T214" s="293"/>
      <c r="U214" s="293"/>
      <c r="V214" s="293"/>
      <c r="W214" s="293"/>
      <c r="X214" s="293"/>
      <c r="Y214" s="293"/>
      <c r="Z214" s="293"/>
      <c r="AA214" s="293"/>
      <c r="AB214" s="293"/>
      <c r="AC214" s="293"/>
      <c r="AD214" s="293"/>
      <c r="AE214" s="293"/>
      <c r="AF214" s="293"/>
      <c r="AG214" s="293"/>
      <c r="AH214" s="293"/>
      <c r="AI214" s="293"/>
      <c r="AJ214" s="293"/>
      <c r="AK214" s="293"/>
      <c r="AL214" s="293"/>
      <c r="AM214" s="293"/>
      <c r="AN214" s="293"/>
      <c r="AO214" s="293"/>
      <c r="AP214" s="293"/>
      <c r="AQ214" s="293"/>
      <c r="AR214" s="293"/>
      <c r="AS214" s="293"/>
      <c r="AT214" s="293"/>
      <c r="AU214" s="293"/>
      <c r="AV214" s="293"/>
      <c r="AW214" s="293"/>
      <c r="AX214" s="293"/>
      <c r="AY214" s="293"/>
      <c r="AZ214" s="293"/>
      <c r="BA214" s="293"/>
      <c r="BB214" s="293"/>
      <c r="BC214" s="293"/>
      <c r="BD214" s="293"/>
      <c r="BE214" s="293"/>
      <c r="BF214" s="293"/>
      <c r="BG214" s="293"/>
      <c r="BH214" s="293"/>
      <c r="BI214" s="293"/>
      <c r="BJ214" s="293"/>
      <c r="BK214" s="293"/>
      <c r="BL214" s="293"/>
      <c r="BM214" s="293"/>
      <c r="BN214" s="293"/>
      <c r="BO214" s="293"/>
      <c r="BP214" s="293"/>
      <c r="BQ214" s="293"/>
      <c r="BR214" s="293"/>
      <c r="BS214" s="293"/>
      <c r="BT214" s="293"/>
      <c r="BU214" s="293"/>
      <c r="BV214" s="293"/>
      <c r="BW214" s="293"/>
      <c r="BX214" s="293"/>
      <c r="BY214" s="293"/>
      <c r="BZ214" s="293"/>
      <c r="CA214" s="293"/>
      <c r="CB214" s="293"/>
      <c r="CC214" s="293"/>
      <c r="CD214" s="293"/>
      <c r="CE214" s="293"/>
      <c r="CF214" s="293"/>
      <c r="CG214" s="293"/>
      <c r="CH214" s="293"/>
      <c r="CI214" s="293"/>
      <c r="CJ214" s="293"/>
      <c r="CK214" s="293"/>
      <c r="CL214" s="293"/>
      <c r="CM214" s="293"/>
      <c r="CN214" s="293"/>
      <c r="CO214" s="293"/>
      <c r="CP214" s="293"/>
      <c r="CQ214" s="293"/>
      <c r="CR214" s="293"/>
      <c r="CS214" s="293"/>
      <c r="CT214" s="293"/>
      <c r="CU214" s="293"/>
      <c r="CV214" s="293"/>
      <c r="CW214" s="293"/>
      <c r="CX214" s="293"/>
      <c r="CY214" s="293"/>
      <c r="CZ214" s="293"/>
      <c r="DA214" s="293"/>
      <c r="DB214" s="293"/>
      <c r="DC214" s="293"/>
      <c r="DD214" s="293"/>
      <c r="DE214" s="293"/>
      <c r="DF214" s="293"/>
      <c r="DG214" s="288"/>
      <c r="DH214" s="288"/>
      <c r="DI214" s="288"/>
      <c r="DJ214" s="288"/>
      <c r="DK214" s="288"/>
      <c r="DL214" s="288"/>
      <c r="DM214" s="288"/>
      <c r="DN214" s="288"/>
      <c r="DO214" s="288"/>
      <c r="DP214" s="288"/>
      <c r="DQ214" s="288"/>
      <c r="DR214" s="288"/>
      <c r="DS214" s="288"/>
      <c r="DT214" s="288"/>
      <c r="DU214" s="288"/>
      <c r="DV214" s="288"/>
      <c r="DW214" s="288"/>
      <c r="DX214" s="288"/>
    </row>
    <row r="215" ht="14.25" customHeight="1">
      <c r="A215" s="293"/>
      <c r="B215" s="293"/>
      <c r="C215" s="293"/>
      <c r="D215" s="293"/>
      <c r="E215" s="293"/>
      <c r="F215" s="293"/>
      <c r="G215" s="293"/>
      <c r="H215" s="293"/>
      <c r="I215" s="293"/>
      <c r="J215" s="293"/>
      <c r="K215" s="293"/>
      <c r="L215" s="293"/>
      <c r="M215" s="293"/>
      <c r="N215" s="293"/>
      <c r="O215" s="293"/>
      <c r="P215" s="293"/>
      <c r="Q215" s="293"/>
      <c r="R215" s="293"/>
      <c r="S215" s="293"/>
      <c r="T215" s="293"/>
      <c r="U215" s="293"/>
      <c r="V215" s="293"/>
      <c r="W215" s="293"/>
      <c r="X215" s="293"/>
      <c r="Y215" s="293"/>
      <c r="Z215" s="293"/>
      <c r="AA215" s="293"/>
      <c r="AB215" s="293"/>
      <c r="AC215" s="293"/>
      <c r="AD215" s="293"/>
      <c r="AE215" s="293"/>
      <c r="AF215" s="293"/>
      <c r="AG215" s="293"/>
      <c r="AH215" s="293"/>
      <c r="AI215" s="293"/>
      <c r="AJ215" s="293"/>
      <c r="AK215" s="293"/>
      <c r="AL215" s="293"/>
      <c r="AM215" s="293"/>
      <c r="AN215" s="293"/>
      <c r="AO215" s="293"/>
      <c r="AP215" s="293"/>
      <c r="AQ215" s="293"/>
      <c r="AR215" s="293"/>
      <c r="AS215" s="293"/>
      <c r="AT215" s="293"/>
      <c r="AU215" s="293"/>
      <c r="AV215" s="293"/>
      <c r="AW215" s="293"/>
      <c r="AX215" s="293"/>
      <c r="AY215" s="293"/>
      <c r="AZ215" s="293"/>
      <c r="BA215" s="293"/>
      <c r="BB215" s="293"/>
      <c r="BC215" s="293"/>
      <c r="BD215" s="293"/>
      <c r="BE215" s="293"/>
      <c r="BF215" s="293"/>
      <c r="BG215" s="293"/>
      <c r="BH215" s="293"/>
      <c r="BI215" s="293"/>
      <c r="BJ215" s="293"/>
      <c r="BK215" s="293"/>
      <c r="BL215" s="293"/>
      <c r="BM215" s="293"/>
      <c r="BN215" s="293"/>
      <c r="BO215" s="293"/>
      <c r="BP215" s="293"/>
      <c r="BQ215" s="293"/>
      <c r="BR215" s="293"/>
      <c r="BS215" s="293"/>
      <c r="BT215" s="293"/>
      <c r="BU215" s="293"/>
      <c r="BV215" s="293"/>
      <c r="BW215" s="293"/>
      <c r="BX215" s="293"/>
      <c r="BY215" s="293"/>
      <c r="BZ215" s="293"/>
      <c r="CA215" s="293"/>
      <c r="CB215" s="293"/>
      <c r="CC215" s="293"/>
      <c r="CD215" s="293"/>
      <c r="CE215" s="293"/>
      <c r="CF215" s="293"/>
      <c r="CG215" s="293"/>
      <c r="CH215" s="293"/>
      <c r="CI215" s="293"/>
      <c r="CJ215" s="293"/>
      <c r="CK215" s="293"/>
      <c r="CL215" s="293"/>
      <c r="CM215" s="293"/>
      <c r="CN215" s="293"/>
      <c r="CO215" s="293"/>
      <c r="CP215" s="293"/>
      <c r="CQ215" s="293"/>
      <c r="CR215" s="293"/>
      <c r="CS215" s="293"/>
      <c r="CT215" s="293"/>
      <c r="CU215" s="293"/>
      <c r="CV215" s="293"/>
      <c r="CW215" s="293"/>
      <c r="CX215" s="293"/>
      <c r="CY215" s="293"/>
      <c r="CZ215" s="293"/>
      <c r="DA215" s="293"/>
      <c r="DB215" s="293"/>
      <c r="DC215" s="293"/>
      <c r="DD215" s="293"/>
      <c r="DE215" s="293"/>
      <c r="DF215" s="293"/>
      <c r="DG215" s="288"/>
      <c r="DH215" s="288"/>
      <c r="DI215" s="288"/>
      <c r="DJ215" s="288"/>
      <c r="DK215" s="288"/>
      <c r="DL215" s="288"/>
      <c r="DM215" s="288"/>
      <c r="DN215" s="288"/>
      <c r="DO215" s="288"/>
      <c r="DP215" s="288"/>
      <c r="DQ215" s="288"/>
      <c r="DR215" s="288"/>
      <c r="DS215" s="288"/>
      <c r="DT215" s="288"/>
      <c r="DU215" s="288"/>
      <c r="DV215" s="288"/>
      <c r="DW215" s="288"/>
      <c r="DX215" s="288"/>
    </row>
    <row r="216" ht="14.25" customHeight="1">
      <c r="A216" s="293"/>
      <c r="B216" s="293"/>
      <c r="C216" s="293"/>
      <c r="D216" s="293"/>
      <c r="E216" s="293"/>
      <c r="F216" s="293"/>
      <c r="G216" s="293"/>
      <c r="H216" s="293"/>
      <c r="I216" s="293"/>
      <c r="J216" s="293"/>
      <c r="K216" s="293"/>
      <c r="L216" s="293"/>
      <c r="M216" s="293"/>
      <c r="N216" s="293"/>
      <c r="O216" s="293"/>
      <c r="P216" s="293"/>
      <c r="Q216" s="293"/>
      <c r="R216" s="293"/>
      <c r="S216" s="293"/>
      <c r="T216" s="293"/>
      <c r="U216" s="293"/>
      <c r="V216" s="293"/>
      <c r="W216" s="293"/>
      <c r="X216" s="293"/>
      <c r="Y216" s="293"/>
      <c r="Z216" s="293"/>
      <c r="AA216" s="293"/>
      <c r="AB216" s="293"/>
      <c r="AC216" s="293"/>
      <c r="AD216" s="293"/>
      <c r="AE216" s="293"/>
      <c r="AF216" s="293"/>
      <c r="AG216" s="293"/>
      <c r="AH216" s="293"/>
      <c r="AI216" s="293"/>
      <c r="AJ216" s="293"/>
      <c r="AK216" s="293"/>
      <c r="AL216" s="293"/>
      <c r="AM216" s="293"/>
      <c r="AN216" s="293"/>
      <c r="AO216" s="293"/>
      <c r="AP216" s="293"/>
      <c r="AQ216" s="293"/>
      <c r="AR216" s="293"/>
      <c r="AS216" s="293"/>
      <c r="AT216" s="293"/>
      <c r="AU216" s="293"/>
      <c r="AV216" s="293"/>
      <c r="AW216" s="293"/>
      <c r="AX216" s="293"/>
      <c r="AY216" s="293"/>
      <c r="AZ216" s="293"/>
      <c r="BA216" s="293"/>
      <c r="BB216" s="293"/>
      <c r="BC216" s="293"/>
      <c r="BD216" s="293"/>
      <c r="BE216" s="293"/>
      <c r="BF216" s="293"/>
      <c r="BG216" s="293"/>
      <c r="BH216" s="293"/>
      <c r="BI216" s="293"/>
      <c r="BJ216" s="293"/>
      <c r="BK216" s="293"/>
      <c r="BL216" s="293"/>
      <c r="BM216" s="293"/>
      <c r="BN216" s="293"/>
      <c r="BO216" s="293"/>
      <c r="BP216" s="293"/>
      <c r="BQ216" s="293"/>
      <c r="BR216" s="293"/>
      <c r="BS216" s="293"/>
      <c r="BT216" s="293"/>
      <c r="BU216" s="293"/>
      <c r="BV216" s="293"/>
      <c r="BW216" s="293"/>
      <c r="BX216" s="293"/>
      <c r="BY216" s="293"/>
      <c r="BZ216" s="293"/>
      <c r="CA216" s="293"/>
      <c r="CB216" s="293"/>
      <c r="CC216" s="293"/>
      <c r="CD216" s="293"/>
      <c r="CE216" s="293"/>
      <c r="CF216" s="293"/>
      <c r="CG216" s="293"/>
      <c r="CH216" s="293"/>
      <c r="CI216" s="293"/>
      <c r="CJ216" s="293"/>
      <c r="CK216" s="293"/>
      <c r="CL216" s="293"/>
      <c r="CM216" s="293"/>
      <c r="CN216" s="293"/>
      <c r="CO216" s="293"/>
      <c r="CP216" s="293"/>
      <c r="CQ216" s="293"/>
      <c r="CR216" s="293"/>
      <c r="CS216" s="293"/>
      <c r="CT216" s="293"/>
      <c r="CU216" s="293"/>
      <c r="CV216" s="293"/>
      <c r="CW216" s="293"/>
      <c r="CX216" s="293"/>
      <c r="CY216" s="293"/>
      <c r="CZ216" s="293"/>
      <c r="DA216" s="293"/>
      <c r="DB216" s="293"/>
      <c r="DC216" s="293"/>
      <c r="DD216" s="293"/>
      <c r="DE216" s="293"/>
      <c r="DF216" s="293"/>
      <c r="DG216" s="288"/>
      <c r="DH216" s="288"/>
      <c r="DI216" s="288"/>
      <c r="DJ216" s="288"/>
      <c r="DK216" s="288"/>
      <c r="DL216" s="288"/>
      <c r="DM216" s="288"/>
      <c r="DN216" s="288"/>
      <c r="DO216" s="288"/>
      <c r="DP216" s="288"/>
      <c r="DQ216" s="288"/>
      <c r="DR216" s="288"/>
      <c r="DS216" s="288"/>
      <c r="DT216" s="288"/>
      <c r="DU216" s="288"/>
      <c r="DV216" s="288"/>
      <c r="DW216" s="288"/>
      <c r="DX216" s="288"/>
    </row>
    <row r="217" ht="14.25" customHeight="1">
      <c r="A217" s="293"/>
      <c r="B217" s="293"/>
      <c r="C217" s="293"/>
      <c r="D217" s="293"/>
      <c r="E217" s="293"/>
      <c r="F217" s="293"/>
      <c r="G217" s="293"/>
      <c r="H217" s="293"/>
      <c r="I217" s="293"/>
      <c r="J217" s="293"/>
      <c r="K217" s="293"/>
      <c r="L217" s="293"/>
      <c r="M217" s="293"/>
      <c r="N217" s="293"/>
      <c r="O217" s="293"/>
      <c r="P217" s="293"/>
      <c r="Q217" s="293"/>
      <c r="R217" s="293"/>
      <c r="S217" s="293"/>
      <c r="T217" s="293"/>
      <c r="U217" s="293"/>
      <c r="V217" s="293"/>
      <c r="W217" s="293"/>
      <c r="X217" s="293"/>
      <c r="Y217" s="293"/>
      <c r="Z217" s="293"/>
      <c r="AA217" s="293"/>
      <c r="AB217" s="293"/>
      <c r="AC217" s="293"/>
      <c r="AD217" s="293"/>
      <c r="AE217" s="293"/>
      <c r="AF217" s="293"/>
      <c r="AG217" s="293"/>
      <c r="AH217" s="293"/>
      <c r="AI217" s="293"/>
      <c r="AJ217" s="293"/>
      <c r="AK217" s="293"/>
      <c r="AL217" s="293"/>
      <c r="AM217" s="293"/>
      <c r="AN217" s="293"/>
      <c r="AO217" s="293"/>
      <c r="AP217" s="293"/>
      <c r="AQ217" s="293"/>
      <c r="AR217" s="293"/>
      <c r="AS217" s="293"/>
      <c r="AT217" s="293"/>
      <c r="AU217" s="293"/>
      <c r="AV217" s="293"/>
      <c r="AW217" s="293"/>
      <c r="AX217" s="293"/>
      <c r="AY217" s="293"/>
      <c r="AZ217" s="293"/>
      <c r="BA217" s="293"/>
      <c r="BB217" s="293"/>
      <c r="BC217" s="293"/>
      <c r="BD217" s="293"/>
      <c r="BE217" s="293"/>
      <c r="BF217" s="293"/>
      <c r="BG217" s="293"/>
      <c r="BH217" s="293"/>
      <c r="BI217" s="293"/>
      <c r="BJ217" s="293"/>
      <c r="BK217" s="293"/>
      <c r="BL217" s="293"/>
      <c r="BM217" s="293"/>
      <c r="BN217" s="293"/>
      <c r="BO217" s="293"/>
      <c r="BP217" s="293"/>
      <c r="BQ217" s="293"/>
      <c r="BR217" s="293"/>
      <c r="BS217" s="293"/>
      <c r="BT217" s="293"/>
      <c r="BU217" s="293"/>
      <c r="BV217" s="293"/>
      <c r="BW217" s="293"/>
      <c r="BX217" s="293"/>
      <c r="BY217" s="293"/>
      <c r="BZ217" s="293"/>
      <c r="CA217" s="293"/>
      <c r="CB217" s="293"/>
      <c r="CC217" s="293"/>
      <c r="CD217" s="293"/>
      <c r="CE217" s="293"/>
      <c r="CF217" s="293"/>
      <c r="CG217" s="293"/>
      <c r="CH217" s="293"/>
      <c r="CI217" s="293"/>
      <c r="CJ217" s="293"/>
      <c r="CK217" s="293"/>
      <c r="CL217" s="293"/>
      <c r="CM217" s="293"/>
      <c r="CN217" s="293"/>
      <c r="CO217" s="293"/>
      <c r="CP217" s="293"/>
      <c r="CQ217" s="293"/>
      <c r="CR217" s="293"/>
      <c r="CS217" s="293"/>
      <c r="CT217" s="293"/>
      <c r="CU217" s="293"/>
      <c r="CV217" s="293"/>
      <c r="CW217" s="293"/>
      <c r="CX217" s="293"/>
      <c r="CY217" s="293"/>
      <c r="CZ217" s="293"/>
      <c r="DA217" s="293"/>
      <c r="DB217" s="293"/>
      <c r="DC217" s="293"/>
      <c r="DD217" s="293"/>
      <c r="DE217" s="293"/>
      <c r="DF217" s="293"/>
      <c r="DG217" s="288"/>
      <c r="DH217" s="288"/>
      <c r="DI217" s="288"/>
      <c r="DJ217" s="288"/>
      <c r="DK217" s="288"/>
      <c r="DL217" s="288"/>
      <c r="DM217" s="288"/>
      <c r="DN217" s="288"/>
      <c r="DO217" s="288"/>
      <c r="DP217" s="288"/>
      <c r="DQ217" s="288"/>
      <c r="DR217" s="288"/>
      <c r="DS217" s="288"/>
      <c r="DT217" s="288"/>
      <c r="DU217" s="288"/>
      <c r="DV217" s="288"/>
      <c r="DW217" s="288"/>
      <c r="DX217" s="288"/>
    </row>
    <row r="218" ht="14.25" customHeight="1">
      <c r="A218" s="293"/>
      <c r="B218" s="293"/>
      <c r="C218" s="293"/>
      <c r="D218" s="293"/>
      <c r="E218" s="293"/>
      <c r="F218" s="293"/>
      <c r="G218" s="293"/>
      <c r="H218" s="293"/>
      <c r="I218" s="293"/>
      <c r="J218" s="293"/>
      <c r="K218" s="293"/>
      <c r="L218" s="293"/>
      <c r="M218" s="293"/>
      <c r="N218" s="293"/>
      <c r="O218" s="293"/>
      <c r="P218" s="293"/>
      <c r="Q218" s="293"/>
      <c r="R218" s="293"/>
      <c r="S218" s="293"/>
      <c r="T218" s="293"/>
      <c r="U218" s="293"/>
      <c r="V218" s="293"/>
      <c r="W218" s="293"/>
      <c r="X218" s="293"/>
      <c r="Y218" s="293"/>
      <c r="Z218" s="293"/>
      <c r="AA218" s="293"/>
      <c r="AB218" s="293"/>
      <c r="AC218" s="293"/>
      <c r="AD218" s="293"/>
      <c r="AE218" s="293"/>
      <c r="AF218" s="293"/>
      <c r="AG218" s="293"/>
      <c r="AH218" s="293"/>
      <c r="AI218" s="293"/>
      <c r="AJ218" s="293"/>
      <c r="AK218" s="293"/>
      <c r="AL218" s="293"/>
      <c r="AM218" s="293"/>
      <c r="AN218" s="293"/>
      <c r="AO218" s="293"/>
      <c r="AP218" s="293"/>
      <c r="AQ218" s="293"/>
      <c r="AR218" s="293"/>
      <c r="AS218" s="293"/>
      <c r="AT218" s="293"/>
      <c r="AU218" s="293"/>
      <c r="AV218" s="293"/>
      <c r="AW218" s="293"/>
      <c r="AX218" s="293"/>
      <c r="AY218" s="293"/>
      <c r="AZ218" s="293"/>
      <c r="BA218" s="293"/>
      <c r="BB218" s="293"/>
      <c r="BC218" s="293"/>
      <c r="BD218" s="293"/>
      <c r="BE218" s="293"/>
      <c r="BF218" s="293"/>
      <c r="BG218" s="293"/>
      <c r="BH218" s="293"/>
      <c r="BI218" s="293"/>
      <c r="BJ218" s="293"/>
      <c r="BK218" s="293"/>
      <c r="BL218" s="293"/>
      <c r="BM218" s="293"/>
      <c r="BN218" s="293"/>
      <c r="BO218" s="293"/>
      <c r="BP218" s="293"/>
      <c r="BQ218" s="293"/>
      <c r="BR218" s="293"/>
      <c r="BS218" s="293"/>
      <c r="BT218" s="293"/>
      <c r="BU218" s="293"/>
      <c r="BV218" s="293"/>
      <c r="BW218" s="293"/>
      <c r="BX218" s="293"/>
      <c r="BY218" s="293"/>
      <c r="BZ218" s="293"/>
      <c r="CA218" s="293"/>
      <c r="CB218" s="293"/>
      <c r="CC218" s="293"/>
      <c r="CD218" s="293"/>
      <c r="CE218" s="293"/>
      <c r="CF218" s="293"/>
      <c r="CG218" s="293"/>
      <c r="CH218" s="293"/>
      <c r="CI218" s="293"/>
      <c r="CJ218" s="293"/>
      <c r="CK218" s="293"/>
      <c r="CL218" s="293"/>
      <c r="CM218" s="293"/>
      <c r="CN218" s="293"/>
      <c r="CO218" s="293"/>
      <c r="CP218" s="293"/>
      <c r="CQ218" s="293"/>
      <c r="CR218" s="293"/>
      <c r="CS218" s="293"/>
      <c r="CT218" s="293"/>
      <c r="CU218" s="293"/>
      <c r="CV218" s="293"/>
      <c r="CW218" s="293"/>
      <c r="CX218" s="293"/>
      <c r="CY218" s="293"/>
      <c r="CZ218" s="293"/>
      <c r="DA218" s="293"/>
      <c r="DB218" s="293"/>
      <c r="DC218" s="293"/>
      <c r="DD218" s="293"/>
      <c r="DE218" s="293"/>
      <c r="DF218" s="293"/>
      <c r="DG218" s="288"/>
      <c r="DH218" s="288"/>
      <c r="DI218" s="288"/>
      <c r="DJ218" s="288"/>
      <c r="DK218" s="288"/>
      <c r="DL218" s="288"/>
      <c r="DM218" s="288"/>
      <c r="DN218" s="288"/>
      <c r="DO218" s="288"/>
      <c r="DP218" s="288"/>
      <c r="DQ218" s="288"/>
      <c r="DR218" s="288"/>
      <c r="DS218" s="288"/>
      <c r="DT218" s="288"/>
      <c r="DU218" s="288"/>
      <c r="DV218" s="288"/>
      <c r="DW218" s="288"/>
      <c r="DX218" s="288"/>
    </row>
    <row r="219" ht="14.25" customHeight="1">
      <c r="A219" s="293"/>
      <c r="B219" s="293"/>
      <c r="C219" s="293"/>
      <c r="D219" s="293"/>
      <c r="E219" s="293"/>
      <c r="F219" s="293"/>
      <c r="G219" s="293"/>
      <c r="H219" s="293"/>
      <c r="I219" s="293"/>
      <c r="J219" s="293"/>
      <c r="K219" s="293"/>
      <c r="L219" s="293"/>
      <c r="M219" s="293"/>
      <c r="N219" s="293"/>
      <c r="O219" s="293"/>
      <c r="P219" s="293"/>
      <c r="Q219" s="293"/>
      <c r="R219" s="293"/>
      <c r="S219" s="293"/>
      <c r="T219" s="293"/>
      <c r="U219" s="293"/>
      <c r="V219" s="293"/>
      <c r="W219" s="293"/>
      <c r="X219" s="293"/>
      <c r="Y219" s="293"/>
      <c r="Z219" s="293"/>
      <c r="AA219" s="293"/>
      <c r="AB219" s="293"/>
      <c r="AC219" s="293"/>
      <c r="AD219" s="293"/>
      <c r="AE219" s="293"/>
      <c r="AF219" s="293"/>
      <c r="AG219" s="293"/>
      <c r="AH219" s="293"/>
      <c r="AI219" s="293"/>
      <c r="AJ219" s="293"/>
      <c r="AK219" s="293"/>
      <c r="AL219" s="293"/>
      <c r="AM219" s="293"/>
      <c r="AN219" s="293"/>
      <c r="AO219" s="293"/>
      <c r="AP219" s="293"/>
      <c r="AQ219" s="293"/>
      <c r="AR219" s="293"/>
      <c r="AS219" s="293"/>
      <c r="AT219" s="293"/>
      <c r="AU219" s="293"/>
      <c r="AV219" s="293"/>
      <c r="AW219" s="293"/>
      <c r="AX219" s="293"/>
      <c r="AY219" s="293"/>
      <c r="AZ219" s="293"/>
      <c r="BA219" s="293"/>
      <c r="BB219" s="293"/>
      <c r="BC219" s="293"/>
      <c r="BD219" s="293"/>
      <c r="BE219" s="293"/>
      <c r="BF219" s="293"/>
      <c r="BG219" s="293"/>
      <c r="BH219" s="293"/>
      <c r="BI219" s="293"/>
      <c r="BJ219" s="293"/>
      <c r="BK219" s="293"/>
      <c r="BL219" s="293"/>
      <c r="BM219" s="293"/>
      <c r="BN219" s="293"/>
      <c r="BO219" s="293"/>
      <c r="BP219" s="293"/>
      <c r="BQ219" s="293"/>
      <c r="BR219" s="293"/>
      <c r="BS219" s="293"/>
      <c r="BT219" s="293"/>
      <c r="BU219" s="293"/>
      <c r="BV219" s="293"/>
      <c r="BW219" s="293"/>
      <c r="BX219" s="293"/>
      <c r="BY219" s="293"/>
      <c r="BZ219" s="293"/>
      <c r="CA219" s="293"/>
      <c r="CB219" s="293"/>
      <c r="CC219" s="293"/>
      <c r="CD219" s="293"/>
      <c r="CE219" s="293"/>
      <c r="CF219" s="293"/>
      <c r="CG219" s="293"/>
      <c r="CH219" s="293"/>
      <c r="CI219" s="293"/>
      <c r="CJ219" s="293"/>
      <c r="CK219" s="293"/>
      <c r="CL219" s="293"/>
      <c r="CM219" s="293"/>
      <c r="CN219" s="293"/>
      <c r="CO219" s="293"/>
      <c r="CP219" s="293"/>
      <c r="CQ219" s="293"/>
      <c r="CR219" s="293"/>
      <c r="CS219" s="293"/>
      <c r="CT219" s="293"/>
      <c r="CU219" s="293"/>
      <c r="CV219" s="293"/>
      <c r="CW219" s="293"/>
      <c r="CX219" s="293"/>
      <c r="CY219" s="293"/>
      <c r="CZ219" s="293"/>
      <c r="DA219" s="293"/>
      <c r="DB219" s="293"/>
      <c r="DC219" s="293"/>
      <c r="DD219" s="293"/>
      <c r="DE219" s="293"/>
      <c r="DF219" s="293"/>
      <c r="DG219" s="288"/>
      <c r="DH219" s="288"/>
      <c r="DI219" s="288"/>
      <c r="DJ219" s="288"/>
      <c r="DK219" s="288"/>
      <c r="DL219" s="288"/>
      <c r="DM219" s="288"/>
      <c r="DN219" s="288"/>
      <c r="DO219" s="288"/>
      <c r="DP219" s="288"/>
      <c r="DQ219" s="288"/>
      <c r="DR219" s="288"/>
      <c r="DS219" s="288"/>
      <c r="DT219" s="288"/>
      <c r="DU219" s="288"/>
      <c r="DV219" s="288"/>
      <c r="DW219" s="288"/>
      <c r="DX219" s="288"/>
    </row>
    <row r="220" ht="14.25" customHeight="1">
      <c r="A220" s="293"/>
      <c r="B220" s="293"/>
      <c r="C220" s="293"/>
      <c r="D220" s="293"/>
      <c r="E220" s="293"/>
      <c r="F220" s="293"/>
      <c r="G220" s="293"/>
      <c r="H220" s="293"/>
      <c r="I220" s="293"/>
      <c r="J220" s="293"/>
      <c r="K220" s="293"/>
      <c r="L220" s="293"/>
      <c r="M220" s="293"/>
      <c r="N220" s="293"/>
      <c r="O220" s="293"/>
      <c r="P220" s="293"/>
      <c r="Q220" s="293"/>
      <c r="R220" s="293"/>
      <c r="S220" s="293"/>
      <c r="T220" s="293"/>
      <c r="U220" s="293"/>
      <c r="V220" s="293"/>
      <c r="W220" s="293"/>
      <c r="X220" s="293"/>
      <c r="Y220" s="293"/>
      <c r="Z220" s="293"/>
      <c r="AA220" s="293"/>
      <c r="AB220" s="293"/>
      <c r="AC220" s="293"/>
      <c r="AD220" s="293"/>
      <c r="AE220" s="293"/>
      <c r="AF220" s="293"/>
      <c r="AG220" s="293"/>
      <c r="AH220" s="293"/>
      <c r="AI220" s="293"/>
      <c r="AJ220" s="293"/>
      <c r="AK220" s="293"/>
      <c r="AL220" s="293"/>
      <c r="AM220" s="293"/>
      <c r="AN220" s="293"/>
      <c r="AO220" s="293"/>
      <c r="AP220" s="293"/>
      <c r="AQ220" s="293"/>
      <c r="AR220" s="293"/>
      <c r="AS220" s="293"/>
      <c r="AT220" s="293"/>
      <c r="AU220" s="293"/>
      <c r="AV220" s="293"/>
      <c r="AW220" s="293"/>
      <c r="AX220" s="293"/>
      <c r="AY220" s="293"/>
      <c r="AZ220" s="293"/>
      <c r="BA220" s="293"/>
      <c r="BB220" s="293"/>
      <c r="BC220" s="293"/>
      <c r="BD220" s="293"/>
      <c r="BE220" s="293"/>
      <c r="BF220" s="293"/>
      <c r="BG220" s="293"/>
      <c r="BH220" s="293"/>
      <c r="BI220" s="293"/>
      <c r="BJ220" s="293"/>
      <c r="BK220" s="293"/>
      <c r="BL220" s="293"/>
      <c r="BM220" s="293"/>
      <c r="BN220" s="293"/>
      <c r="BO220" s="293"/>
      <c r="BP220" s="293"/>
      <c r="BQ220" s="293"/>
      <c r="BR220" s="293"/>
      <c r="BS220" s="293"/>
      <c r="BT220" s="293"/>
      <c r="BU220" s="293"/>
      <c r="BV220" s="293"/>
      <c r="BW220" s="293"/>
      <c r="BX220" s="293"/>
      <c r="BY220" s="293"/>
      <c r="BZ220" s="293"/>
      <c r="CA220" s="293"/>
      <c r="CB220" s="293"/>
      <c r="CC220" s="293"/>
      <c r="CD220" s="293"/>
      <c r="CE220" s="293"/>
      <c r="CF220" s="293"/>
      <c r="CG220" s="293"/>
      <c r="CH220" s="293"/>
      <c r="CI220" s="293"/>
      <c r="CJ220" s="293"/>
      <c r="CK220" s="293"/>
      <c r="CL220" s="293"/>
      <c r="CM220" s="293"/>
      <c r="CN220" s="293"/>
      <c r="CO220" s="293"/>
      <c r="CP220" s="293"/>
      <c r="CQ220" s="293"/>
      <c r="CR220" s="293"/>
      <c r="CS220" s="293"/>
      <c r="CT220" s="293"/>
      <c r="CU220" s="293"/>
      <c r="CV220" s="293"/>
      <c r="CW220" s="293"/>
      <c r="CX220" s="293"/>
      <c r="CY220" s="293"/>
      <c r="CZ220" s="293"/>
      <c r="DA220" s="293"/>
      <c r="DB220" s="293"/>
      <c r="DC220" s="293"/>
      <c r="DD220" s="293"/>
      <c r="DE220" s="293"/>
      <c r="DF220" s="293"/>
      <c r="DG220" s="288"/>
      <c r="DH220" s="288"/>
      <c r="DI220" s="288"/>
      <c r="DJ220" s="288"/>
      <c r="DK220" s="288"/>
      <c r="DL220" s="288"/>
      <c r="DM220" s="288"/>
      <c r="DN220" s="288"/>
      <c r="DO220" s="288"/>
      <c r="DP220" s="288"/>
      <c r="DQ220" s="288"/>
      <c r="DR220" s="288"/>
      <c r="DS220" s="288"/>
      <c r="DT220" s="288"/>
      <c r="DU220" s="288"/>
      <c r="DV220" s="288"/>
      <c r="DW220" s="288"/>
      <c r="DX220" s="288"/>
    </row>
    <row r="221" ht="14.25" customHeight="1">
      <c r="A221" s="293"/>
      <c r="B221" s="293"/>
      <c r="C221" s="293"/>
      <c r="D221" s="293"/>
      <c r="E221" s="293"/>
      <c r="F221" s="293"/>
      <c r="G221" s="293"/>
      <c r="H221" s="293"/>
      <c r="I221" s="293"/>
      <c r="J221" s="293"/>
      <c r="K221" s="293"/>
      <c r="L221" s="293"/>
      <c r="M221" s="293"/>
      <c r="N221" s="293"/>
      <c r="O221" s="293"/>
      <c r="P221" s="293"/>
      <c r="Q221" s="293"/>
      <c r="R221" s="293"/>
      <c r="S221" s="293"/>
      <c r="T221" s="293"/>
      <c r="U221" s="293"/>
      <c r="V221" s="293"/>
      <c r="W221" s="293"/>
      <c r="X221" s="293"/>
      <c r="Y221" s="293"/>
      <c r="Z221" s="293"/>
      <c r="AA221" s="293"/>
      <c r="AB221" s="293"/>
      <c r="AC221" s="293"/>
      <c r="AD221" s="293"/>
      <c r="AE221" s="293"/>
      <c r="AF221" s="293"/>
      <c r="AG221" s="293"/>
      <c r="AH221" s="293"/>
      <c r="AI221" s="293"/>
      <c r="AJ221" s="293"/>
      <c r="AK221" s="293"/>
      <c r="AL221" s="293"/>
      <c r="AM221" s="293"/>
      <c r="AN221" s="293"/>
      <c r="AO221" s="293"/>
      <c r="AP221" s="293"/>
      <c r="AQ221" s="293"/>
      <c r="AR221" s="293"/>
      <c r="AS221" s="293"/>
      <c r="AT221" s="293"/>
      <c r="AU221" s="293"/>
      <c r="AV221" s="293"/>
      <c r="AW221" s="293"/>
      <c r="AX221" s="293"/>
      <c r="AY221" s="293"/>
      <c r="AZ221" s="293"/>
      <c r="BA221" s="293"/>
      <c r="BB221" s="293"/>
      <c r="BC221" s="293"/>
      <c r="BD221" s="293"/>
      <c r="BE221" s="293"/>
      <c r="BF221" s="293"/>
      <c r="BG221" s="293"/>
      <c r="BH221" s="293"/>
      <c r="BI221" s="293"/>
      <c r="BJ221" s="293"/>
      <c r="BK221" s="293"/>
      <c r="BL221" s="293"/>
      <c r="BM221" s="293"/>
      <c r="BN221" s="293"/>
      <c r="BO221" s="293"/>
      <c r="BP221" s="293"/>
      <c r="BQ221" s="293"/>
      <c r="BR221" s="293"/>
      <c r="BS221" s="293"/>
      <c r="BT221" s="293"/>
      <c r="BU221" s="293"/>
      <c r="BV221" s="293"/>
      <c r="BW221" s="293"/>
      <c r="BX221" s="293"/>
      <c r="BY221" s="293"/>
      <c r="BZ221" s="293"/>
      <c r="CA221" s="293"/>
      <c r="CB221" s="293"/>
      <c r="CC221" s="293"/>
      <c r="CD221" s="293"/>
      <c r="CE221" s="293"/>
      <c r="CF221" s="293"/>
      <c r="CG221" s="293"/>
      <c r="CH221" s="293"/>
      <c r="CI221" s="293"/>
      <c r="CJ221" s="293"/>
      <c r="CK221" s="293"/>
      <c r="CL221" s="293"/>
      <c r="CM221" s="293"/>
      <c r="CN221" s="293"/>
      <c r="CO221" s="293"/>
      <c r="CP221" s="293"/>
      <c r="CQ221" s="293"/>
      <c r="CR221" s="293"/>
      <c r="CS221" s="293"/>
      <c r="CT221" s="293"/>
      <c r="CU221" s="293"/>
      <c r="CV221" s="293"/>
      <c r="CW221" s="293"/>
      <c r="CX221" s="293"/>
      <c r="CY221" s="293"/>
      <c r="CZ221" s="293"/>
      <c r="DA221" s="293"/>
      <c r="DB221" s="293"/>
      <c r="DC221" s="293"/>
      <c r="DD221" s="293"/>
      <c r="DE221" s="293"/>
      <c r="DF221" s="293"/>
      <c r="DG221" s="288"/>
      <c r="DH221" s="288"/>
      <c r="DI221" s="288"/>
      <c r="DJ221" s="288"/>
      <c r="DK221" s="288"/>
      <c r="DL221" s="288"/>
      <c r="DM221" s="288"/>
      <c r="DN221" s="288"/>
      <c r="DO221" s="288"/>
      <c r="DP221" s="288"/>
      <c r="DQ221" s="288"/>
      <c r="DR221" s="288"/>
      <c r="DS221" s="288"/>
      <c r="DT221" s="288"/>
      <c r="DU221" s="288"/>
      <c r="DV221" s="288"/>
      <c r="DW221" s="288"/>
      <c r="DX221" s="288"/>
    </row>
    <row r="222" ht="14.25" customHeight="1">
      <c r="A222" s="293"/>
      <c r="B222" s="293"/>
      <c r="C222" s="293"/>
      <c r="D222" s="293"/>
      <c r="E222" s="293"/>
      <c r="F222" s="293"/>
      <c r="G222" s="293"/>
      <c r="H222" s="293"/>
      <c r="I222" s="293"/>
      <c r="J222" s="293"/>
      <c r="K222" s="293"/>
      <c r="L222" s="293"/>
      <c r="M222" s="293"/>
      <c r="N222" s="293"/>
      <c r="O222" s="293"/>
      <c r="P222" s="293"/>
      <c r="Q222" s="293"/>
      <c r="R222" s="293"/>
      <c r="S222" s="293"/>
      <c r="T222" s="293"/>
      <c r="U222" s="293"/>
      <c r="V222" s="293"/>
      <c r="W222" s="293"/>
      <c r="X222" s="293"/>
      <c r="Y222" s="293"/>
      <c r="Z222" s="293"/>
      <c r="AA222" s="293"/>
      <c r="AB222" s="293"/>
      <c r="AC222" s="293"/>
      <c r="AD222" s="293"/>
      <c r="AE222" s="293"/>
      <c r="AF222" s="293"/>
      <c r="AG222" s="293"/>
      <c r="AH222" s="293"/>
      <c r="AI222" s="293"/>
      <c r="AJ222" s="293"/>
      <c r="AK222" s="293"/>
      <c r="AL222" s="293"/>
      <c r="AM222" s="293"/>
      <c r="AN222" s="293"/>
      <c r="AO222" s="293"/>
      <c r="AP222" s="293"/>
      <c r="AQ222" s="293"/>
      <c r="AR222" s="293"/>
      <c r="AS222" s="293"/>
      <c r="AT222" s="293"/>
      <c r="AU222" s="293"/>
      <c r="AV222" s="293"/>
      <c r="AW222" s="293"/>
      <c r="AX222" s="293"/>
      <c r="AY222" s="293"/>
      <c r="AZ222" s="293"/>
      <c r="BA222" s="293"/>
      <c r="BB222" s="293"/>
      <c r="BC222" s="293"/>
      <c r="BD222" s="293"/>
      <c r="BE222" s="293"/>
      <c r="BF222" s="293"/>
      <c r="BG222" s="293"/>
      <c r="BH222" s="293"/>
      <c r="BI222" s="293"/>
      <c r="BJ222" s="293"/>
      <c r="BK222" s="293"/>
      <c r="BL222" s="293"/>
      <c r="BM222" s="293"/>
      <c r="BN222" s="293"/>
      <c r="BO222" s="293"/>
      <c r="BP222" s="293"/>
      <c r="BQ222" s="293"/>
      <c r="BR222" s="293"/>
      <c r="BS222" s="293"/>
      <c r="BT222" s="293"/>
      <c r="BU222" s="293"/>
      <c r="BV222" s="293"/>
      <c r="BW222" s="293"/>
      <c r="BX222" s="293"/>
      <c r="BY222" s="293"/>
      <c r="BZ222" s="293"/>
      <c r="CA222" s="293"/>
      <c r="CB222" s="293"/>
      <c r="CC222" s="293"/>
      <c r="CD222" s="293"/>
      <c r="CE222" s="293"/>
      <c r="CF222" s="293"/>
      <c r="CG222" s="293"/>
      <c r="CH222" s="293"/>
      <c r="CI222" s="293"/>
      <c r="CJ222" s="293"/>
      <c r="CK222" s="293"/>
      <c r="CL222" s="293"/>
      <c r="CM222" s="293"/>
      <c r="CN222" s="293"/>
      <c r="CO222" s="293"/>
      <c r="CP222" s="293"/>
      <c r="CQ222" s="293"/>
      <c r="CR222" s="293"/>
      <c r="CS222" s="293"/>
      <c r="CT222" s="293"/>
      <c r="CU222" s="293"/>
      <c r="CV222" s="293"/>
      <c r="CW222" s="293"/>
      <c r="CX222" s="293"/>
      <c r="CY222" s="293"/>
      <c r="CZ222" s="293"/>
      <c r="DA222" s="293"/>
      <c r="DB222" s="293"/>
      <c r="DC222" s="293"/>
      <c r="DD222" s="293"/>
      <c r="DE222" s="293"/>
      <c r="DF222" s="293"/>
      <c r="DG222" s="288"/>
      <c r="DH222" s="288"/>
      <c r="DI222" s="288"/>
      <c r="DJ222" s="288"/>
      <c r="DK222" s="288"/>
      <c r="DL222" s="288"/>
      <c r="DM222" s="288"/>
      <c r="DN222" s="288"/>
      <c r="DO222" s="288"/>
      <c r="DP222" s="288"/>
      <c r="DQ222" s="288"/>
      <c r="DR222" s="288"/>
      <c r="DS222" s="288"/>
      <c r="DT222" s="288"/>
      <c r="DU222" s="288"/>
      <c r="DV222" s="288"/>
      <c r="DW222" s="288"/>
      <c r="DX222" s="288"/>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AS1:AX1"/>
    <mergeCell ref="AY1:BD1"/>
    <mergeCell ref="BE1:BJ1"/>
    <mergeCell ref="BK1:BO1"/>
    <mergeCell ref="BP1:BT1"/>
    <mergeCell ref="C1:H1"/>
    <mergeCell ref="I1:N1"/>
    <mergeCell ref="O1:T1"/>
    <mergeCell ref="U1:Z1"/>
    <mergeCell ref="AA1:AF1"/>
    <mergeCell ref="AG1:AL1"/>
    <mergeCell ref="AM1:AR1"/>
    <mergeCell ref="M13:N13"/>
    <mergeCell ref="O13:P13"/>
    <mergeCell ref="Q13:R13"/>
    <mergeCell ref="S13:T13"/>
    <mergeCell ref="U13:V13"/>
    <mergeCell ref="W13:X13"/>
    <mergeCell ref="Y13:Z13"/>
    <mergeCell ref="B2:B3"/>
    <mergeCell ref="B13:B14"/>
    <mergeCell ref="C13:D13"/>
    <mergeCell ref="E13:F13"/>
    <mergeCell ref="G13:H13"/>
    <mergeCell ref="I13:J13"/>
    <mergeCell ref="K13:L13"/>
  </mergeCells>
  <printOptions/>
  <pageMargins bottom="0.75" footer="0.0" header="0.0" left="0.7" right="0.7" top="0.75"/>
  <pageSetup orientation="portrait"/>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47" t="s">
        <v>10</v>
      </c>
      <c r="B1" s="147" t="s">
        <v>83</v>
      </c>
      <c r="C1" s="147" t="s">
        <v>84</v>
      </c>
      <c r="D1" s="147" t="s">
        <v>85</v>
      </c>
      <c r="E1" s="147" t="s">
        <v>86</v>
      </c>
      <c r="F1" s="147" t="s">
        <v>87</v>
      </c>
      <c r="G1" s="147" t="s">
        <v>88</v>
      </c>
      <c r="H1" s="147" t="s">
        <v>89</v>
      </c>
      <c r="I1" s="147" t="s">
        <v>90</v>
      </c>
      <c r="J1" s="147" t="s">
        <v>91</v>
      </c>
      <c r="K1" s="147" t="s">
        <v>92</v>
      </c>
      <c r="L1" s="147" t="s">
        <v>93</v>
      </c>
      <c r="M1" s="147" t="s">
        <v>384</v>
      </c>
    </row>
    <row r="2">
      <c r="A2" s="147" t="s">
        <v>21</v>
      </c>
      <c r="B2" s="159">
        <v>2571.3538991582627</v>
      </c>
      <c r="C2" s="159">
        <v>2210.108940679715</v>
      </c>
      <c r="D2" s="159">
        <v>2257.6955549902486</v>
      </c>
      <c r="E2" s="159">
        <v>2126.6093879143264</v>
      </c>
      <c r="F2" s="159">
        <v>2078.3823776776917</v>
      </c>
      <c r="G2" s="159">
        <v>1922.729409014446</v>
      </c>
      <c r="H2" s="159">
        <v>1947.6963920656412</v>
      </c>
      <c r="I2" s="159">
        <v>1949.8681926918052</v>
      </c>
      <c r="J2" s="159">
        <v>1839.015234471719</v>
      </c>
      <c r="K2" s="159">
        <v>1862.720914710319</v>
      </c>
      <c r="L2" s="159">
        <v>2060.3901859016173</v>
      </c>
      <c r="M2" s="159">
        <v>62.41300624908345</v>
      </c>
    </row>
    <row r="3">
      <c r="A3" s="147" t="s">
        <v>23</v>
      </c>
      <c r="B3" s="159">
        <v>2675.7461436019053</v>
      </c>
      <c r="C3" s="159">
        <v>2908.581726877284</v>
      </c>
      <c r="D3" s="159">
        <v>3621.7494634572877</v>
      </c>
      <c r="E3" s="159">
        <v>3504.00174623257</v>
      </c>
      <c r="F3" s="159">
        <v>3846.306948328065</v>
      </c>
      <c r="G3" s="159">
        <v>3498.9683710950385</v>
      </c>
      <c r="H3" s="159">
        <v>3613.8463698392993</v>
      </c>
      <c r="I3" s="159">
        <v>3973.599728978138</v>
      </c>
      <c r="J3" s="159">
        <v>3439.4402910661215</v>
      </c>
      <c r="K3" s="159">
        <v>2410.4372189717196</v>
      </c>
      <c r="L3" s="159">
        <v>3457.222318463086</v>
      </c>
      <c r="M3" s="159">
        <v>136.16692794878696</v>
      </c>
    </row>
    <row r="4">
      <c r="A4" s="147" t="s">
        <v>25</v>
      </c>
      <c r="B4" s="159">
        <v>5342.354910366588</v>
      </c>
      <c r="C4" s="159">
        <v>10.543458082967149</v>
      </c>
      <c r="D4" s="159">
        <v>9.561877098515762</v>
      </c>
      <c r="E4" s="159">
        <v>10.378236726310796</v>
      </c>
      <c r="F4" s="159">
        <v>11.1330972557073</v>
      </c>
      <c r="G4" s="159">
        <v>29.78466640918586</v>
      </c>
      <c r="H4" s="159">
        <v>41.1416418284997</v>
      </c>
      <c r="I4" s="159">
        <v>9.120852828784422</v>
      </c>
      <c r="J4" s="159">
        <v>6.18056455050758</v>
      </c>
      <c r="K4" s="159">
        <v>39.86509521727016</v>
      </c>
      <c r="L4" s="159">
        <v>9.807835377334985</v>
      </c>
      <c r="M4" s="159">
        <v>2.0401912792588752</v>
      </c>
    </row>
    <row r="5">
      <c r="A5" s="147" t="s">
        <v>27</v>
      </c>
      <c r="B5" s="159">
        <v>4.4876651935319405</v>
      </c>
      <c r="C5" s="159">
        <v>4966.1091374143</v>
      </c>
      <c r="D5" s="159">
        <v>7047.358605601252</v>
      </c>
      <c r="E5" s="159">
        <v>7177.0910136430575</v>
      </c>
      <c r="F5" s="159">
        <v>8197.913264883371</v>
      </c>
      <c r="G5" s="159">
        <v>4349.038714005309</v>
      </c>
      <c r="H5" s="159">
        <v>5938.679762441108</v>
      </c>
      <c r="I5" s="159">
        <v>6807.918703170999</v>
      </c>
      <c r="J5" s="159">
        <v>6758.416757089432</v>
      </c>
      <c r="K5" s="159">
        <v>0.0</v>
      </c>
      <c r="L5" s="159">
        <v>0.0</v>
      </c>
      <c r="M5" s="159">
        <v>0.0</v>
      </c>
    </row>
    <row r="6">
      <c r="A6" s="147" t="s">
        <v>29</v>
      </c>
      <c r="B6" s="159">
        <v>3720.3507110498867</v>
      </c>
      <c r="C6" s="159">
        <v>430.5000477516163</v>
      </c>
      <c r="D6" s="159">
        <v>0.0</v>
      </c>
      <c r="E6" s="159">
        <v>0.0</v>
      </c>
      <c r="F6" s="159">
        <v>0.0</v>
      </c>
      <c r="G6" s="159">
        <v>809.7289465226977</v>
      </c>
      <c r="H6" s="159">
        <v>580.2337060896891</v>
      </c>
      <c r="I6" s="159">
        <v>909.8938023695589</v>
      </c>
      <c r="J6" s="159">
        <v>829.8197068192953</v>
      </c>
      <c r="K6" s="159">
        <v>880.7479190061164</v>
      </c>
      <c r="L6" s="159">
        <v>908.0972566176243</v>
      </c>
      <c r="M6" s="159">
        <v>66.54832778440851</v>
      </c>
    </row>
    <row r="7">
      <c r="A7" s="147" t="s">
        <v>31</v>
      </c>
      <c r="B7" s="159">
        <v>908.0407156150632</v>
      </c>
      <c r="C7" s="159">
        <v>13124.31433242895</v>
      </c>
      <c r="D7" s="159">
        <v>6206.9545799315565</v>
      </c>
      <c r="E7" s="159">
        <v>5708.670760788656</v>
      </c>
      <c r="F7" s="159">
        <v>6091.9790891247585</v>
      </c>
      <c r="G7" s="159">
        <v>6950.341983311564</v>
      </c>
      <c r="H7" s="159">
        <v>1706.9932347541219</v>
      </c>
      <c r="I7" s="159">
        <v>6064.029019763454</v>
      </c>
      <c r="J7" s="159">
        <v>5625.511481847672</v>
      </c>
      <c r="K7" s="159">
        <v>19210.856756975554</v>
      </c>
      <c r="L7" s="159">
        <v>4501.910629480924</v>
      </c>
      <c r="M7" s="159">
        <v>1234.5155211719778</v>
      </c>
    </row>
    <row r="8">
      <c r="A8" s="147" t="s">
        <v>33</v>
      </c>
      <c r="B8" s="159">
        <v>12713.221721105943</v>
      </c>
      <c r="C8" s="159">
        <v>0.0</v>
      </c>
      <c r="D8" s="159">
        <v>0.0</v>
      </c>
      <c r="E8" s="159">
        <v>0.5563207963805203</v>
      </c>
      <c r="F8" s="159">
        <v>0.3211919615460804</v>
      </c>
      <c r="G8" s="159">
        <v>0.0</v>
      </c>
      <c r="H8" s="159">
        <v>0.0</v>
      </c>
      <c r="I8" s="159">
        <v>0.908468056287369</v>
      </c>
      <c r="J8" s="159">
        <v>4.024523742929783</v>
      </c>
      <c r="K8" s="159">
        <v>6.694439946763634</v>
      </c>
      <c r="L8" s="159">
        <v>8.649767074976879</v>
      </c>
      <c r="M8" s="159">
        <v>3.4380192330996167</v>
      </c>
    </row>
    <row r="9">
      <c r="A9" s="147" t="s">
        <v>35</v>
      </c>
      <c r="B9" s="159">
        <v>1.4632509709417196</v>
      </c>
      <c r="C9" s="159">
        <v>215730.02000625688</v>
      </c>
      <c r="D9" s="159">
        <v>98321.90834071519</v>
      </c>
      <c r="E9" s="159">
        <v>93544.00376453852</v>
      </c>
      <c r="F9" s="159">
        <v>237410.51292341706</v>
      </c>
      <c r="G9" s="159">
        <v>238967.7712009299</v>
      </c>
      <c r="H9" s="159">
        <v>25497.562112173513</v>
      </c>
      <c r="I9" s="159">
        <v>93893.86568237563</v>
      </c>
      <c r="J9" s="159">
        <v>202267.35588314786</v>
      </c>
      <c r="K9" s="159">
        <v>175933.09759633063</v>
      </c>
      <c r="L9" s="159">
        <v>70404.99733883241</v>
      </c>
      <c r="M9" s="159">
        <v>18839.43108314432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topLeftCell="C1" activePane="topRight" state="frozen"/>
      <selection activeCell="D2" sqref="D2" pane="topRight"/>
    </sheetView>
  </sheetViews>
  <sheetFormatPr customHeight="1" defaultColWidth="14.43" defaultRowHeight="15.0"/>
  <cols>
    <col customWidth="1" min="1" max="1" width="17.43"/>
    <col customWidth="1" min="2" max="2" width="16.57"/>
    <col customWidth="1" min="3" max="4" width="12.71"/>
    <col customWidth="1" min="5" max="5" width="19.57"/>
    <col customWidth="1" min="7" max="7" width="12.71"/>
    <col customWidth="1" min="8" max="8" width="23.0"/>
    <col customWidth="1" min="9" max="11" width="12.71"/>
    <col customWidth="1" min="12" max="110" width="11.43"/>
  </cols>
  <sheetData>
    <row r="1" ht="14.25" customHeight="1">
      <c r="A1" s="227"/>
      <c r="B1" s="228"/>
      <c r="C1" s="229" t="s">
        <v>83</v>
      </c>
      <c r="D1" s="51"/>
      <c r="E1" s="229" t="s">
        <v>84</v>
      </c>
      <c r="F1" s="51"/>
      <c r="G1" s="229" t="s">
        <v>85</v>
      </c>
      <c r="H1" s="51"/>
      <c r="I1" s="229" t="s">
        <v>86</v>
      </c>
      <c r="J1" s="51"/>
      <c r="K1" s="229" t="s">
        <v>87</v>
      </c>
      <c r="L1" s="51"/>
      <c r="M1" s="229" t="s">
        <v>88</v>
      </c>
      <c r="N1" s="51"/>
      <c r="O1" s="229" t="s">
        <v>89</v>
      </c>
      <c r="P1" s="51"/>
      <c r="Q1" s="229" t="s">
        <v>90</v>
      </c>
      <c r="R1" s="51"/>
      <c r="S1" s="229" t="s">
        <v>91</v>
      </c>
      <c r="T1" s="51"/>
      <c r="U1" s="229" t="s">
        <v>92</v>
      </c>
      <c r="V1" s="50"/>
      <c r="W1" s="229" t="s">
        <v>93</v>
      </c>
      <c r="X1" s="51"/>
      <c r="Y1" s="229" t="s">
        <v>94</v>
      </c>
      <c r="Z1" s="51"/>
    </row>
    <row r="2" ht="14.25" customHeight="1">
      <c r="A2" s="231"/>
      <c r="B2" s="232" t="s">
        <v>10</v>
      </c>
      <c r="C2" s="233" t="s">
        <v>371</v>
      </c>
      <c r="D2" s="239" t="s">
        <v>372</v>
      </c>
      <c r="E2" s="233" t="s">
        <v>371</v>
      </c>
      <c r="F2" s="239" t="s">
        <v>372</v>
      </c>
      <c r="G2" s="233" t="s">
        <v>371</v>
      </c>
      <c r="H2" s="239" t="s">
        <v>372</v>
      </c>
      <c r="I2" s="233" t="s">
        <v>371</v>
      </c>
      <c r="J2" s="239" t="s">
        <v>372</v>
      </c>
      <c r="K2" s="233" t="s">
        <v>371</v>
      </c>
      <c r="L2" s="239" t="s">
        <v>372</v>
      </c>
      <c r="M2" s="233" t="s">
        <v>371</v>
      </c>
      <c r="N2" s="239" t="s">
        <v>372</v>
      </c>
      <c r="O2" s="233" t="s">
        <v>371</v>
      </c>
      <c r="P2" s="239" t="s">
        <v>372</v>
      </c>
      <c r="Q2" s="233" t="s">
        <v>371</v>
      </c>
      <c r="R2" s="239" t="s">
        <v>372</v>
      </c>
      <c r="S2" s="233" t="s">
        <v>371</v>
      </c>
      <c r="T2" s="239" t="s">
        <v>372</v>
      </c>
      <c r="U2" s="233" t="s">
        <v>371</v>
      </c>
      <c r="V2" s="236" t="s">
        <v>372</v>
      </c>
      <c r="W2" s="233" t="s">
        <v>371</v>
      </c>
      <c r="X2" s="239" t="s">
        <v>372</v>
      </c>
      <c r="Y2" s="233" t="s">
        <v>371</v>
      </c>
      <c r="Z2" s="239" t="s">
        <v>372</v>
      </c>
    </row>
    <row r="3" ht="14.25" customHeight="1">
      <c r="A3" s="77"/>
      <c r="B3" s="242"/>
      <c r="C3" s="243"/>
      <c r="D3" s="245"/>
      <c r="E3" s="243"/>
      <c r="F3" s="245"/>
      <c r="G3" s="243"/>
      <c r="H3" s="245"/>
      <c r="I3" s="243"/>
      <c r="J3" s="245"/>
      <c r="K3" s="243"/>
      <c r="L3" s="245"/>
      <c r="M3" s="243"/>
      <c r="N3" s="245"/>
      <c r="O3" s="243"/>
      <c r="P3" s="245"/>
      <c r="Q3" s="243"/>
      <c r="R3" s="245"/>
      <c r="S3" s="243"/>
      <c r="T3" s="245"/>
      <c r="U3" s="243"/>
      <c r="V3" s="366"/>
      <c r="W3" s="243"/>
      <c r="X3" s="245"/>
      <c r="Y3" s="243"/>
      <c r="Z3" s="245"/>
    </row>
    <row r="4" ht="14.25" customHeight="1">
      <c r="A4" s="77">
        <v>1.0</v>
      </c>
      <c r="B4" s="248" t="s">
        <v>21</v>
      </c>
      <c r="C4" s="367">
        <v>6.5171</v>
      </c>
      <c r="D4" s="368">
        <v>6.5171</v>
      </c>
      <c r="E4" s="367">
        <v>5.087</v>
      </c>
      <c r="F4" s="369">
        <v>2.262041334724014</v>
      </c>
      <c r="G4" s="367">
        <v>5.3105</v>
      </c>
      <c r="H4" s="369">
        <v>2.299541204240533</v>
      </c>
      <c r="I4" s="367">
        <v>4.7078</v>
      </c>
      <c r="J4" s="369">
        <v>2.176515370954223</v>
      </c>
      <c r="K4" s="367">
        <v>4.4974</v>
      </c>
      <c r="L4" s="369">
        <v>2.121318750211764</v>
      </c>
      <c r="M4" s="367">
        <v>3.8482</v>
      </c>
      <c r="N4" s="369">
        <v>1.992424844253855</v>
      </c>
      <c r="O4" s="367">
        <v>3.9442</v>
      </c>
      <c r="P4" s="369">
        <v>2.010295092766234</v>
      </c>
      <c r="Q4" s="367">
        <v>3.9548</v>
      </c>
      <c r="R4" s="369">
        <v>1.99302708461275</v>
      </c>
      <c r="S4" s="367">
        <v>3.3699</v>
      </c>
      <c r="T4" s="369">
        <v>1.821613018728182</v>
      </c>
      <c r="U4" s="370">
        <v>3.6064</v>
      </c>
      <c r="V4" s="371">
        <v>1.878584318043776</v>
      </c>
      <c r="W4" s="367">
        <v>4.4126</v>
      </c>
      <c r="X4" s="369">
        <v>2.085799904113527</v>
      </c>
      <c r="Y4" s="367">
        <v>4.3404</v>
      </c>
      <c r="Z4" s="369">
        <v>2.098124838993142</v>
      </c>
    </row>
    <row r="5" ht="14.25" customHeight="1">
      <c r="A5" s="77">
        <v>2.0</v>
      </c>
      <c r="B5" s="260" t="s">
        <v>23</v>
      </c>
      <c r="C5" s="367">
        <v>2.6223</v>
      </c>
      <c r="D5" s="369">
        <v>1.623958961919913</v>
      </c>
      <c r="E5" s="367">
        <v>2.3516</v>
      </c>
      <c r="F5" s="369">
        <v>1.536221806901594</v>
      </c>
      <c r="G5" s="367">
        <v>3.0929</v>
      </c>
      <c r="H5" s="369">
        <v>1.758200668296995</v>
      </c>
      <c r="I5" s="367">
        <v>2.9467</v>
      </c>
      <c r="J5" s="369">
        <v>1.716933053441514</v>
      </c>
      <c r="K5" s="367">
        <v>3.4112</v>
      </c>
      <c r="L5" s="369">
        <v>1.826558118429304</v>
      </c>
      <c r="M5" s="367">
        <v>2.8245</v>
      </c>
      <c r="N5" s="369">
        <v>1.680624809408691</v>
      </c>
      <c r="O5" s="367">
        <v>2.3023</v>
      </c>
      <c r="P5" s="369">
        <v>1.508414634641285</v>
      </c>
      <c r="Q5" s="367">
        <v>3.5505</v>
      </c>
      <c r="R5" s="369">
        <v>1.914954242273167</v>
      </c>
      <c r="S5" s="367">
        <v>2.8716</v>
      </c>
      <c r="T5" s="369">
        <v>1.716308084231966</v>
      </c>
      <c r="U5" s="370">
        <v>2.7458</v>
      </c>
      <c r="V5" s="371">
        <v>1.660295865199935</v>
      </c>
      <c r="W5" s="367">
        <v>2.784</v>
      </c>
      <c r="X5" s="369">
        <v>1.684560476800996</v>
      </c>
      <c r="Y5" s="367">
        <v>3.2124</v>
      </c>
      <c r="Z5" s="369">
        <v>1.782830962261986</v>
      </c>
    </row>
    <row r="6" ht="14.25" customHeight="1">
      <c r="A6" s="77">
        <v>3.0</v>
      </c>
      <c r="B6" s="260" t="s">
        <v>25</v>
      </c>
      <c r="C6" s="367">
        <v>0.3157</v>
      </c>
      <c r="D6" s="369">
        <v>0.5548274596665166</v>
      </c>
      <c r="E6" s="367">
        <v>0.2478</v>
      </c>
      <c r="F6" s="369">
        <v>0.4939586622380459</v>
      </c>
      <c r="G6" s="367">
        <v>0.3647</v>
      </c>
      <c r="H6" s="369">
        <v>0.61114148116455</v>
      </c>
      <c r="I6" s="367">
        <v>0.3975</v>
      </c>
      <c r="J6" s="369">
        <v>0.6318969457118779</v>
      </c>
      <c r="K6" s="367">
        <v>0.4685</v>
      </c>
      <c r="L6" s="369">
        <v>0.6802997501101996</v>
      </c>
      <c r="M6" s="367">
        <v>0.4514</v>
      </c>
      <c r="N6" s="369">
        <v>0.6766373031395772</v>
      </c>
      <c r="O6" s="367">
        <v>0.4704</v>
      </c>
      <c r="P6" s="369">
        <v>0.6918987209122445</v>
      </c>
      <c r="Q6" s="367">
        <v>0.4154</v>
      </c>
      <c r="R6" s="369">
        <v>0.6386257432957116</v>
      </c>
      <c r="S6" s="367">
        <v>0.3579</v>
      </c>
      <c r="T6" s="369">
        <v>0.6029988308446378</v>
      </c>
      <c r="U6" s="370">
        <v>0.48</v>
      </c>
      <c r="V6" s="371">
        <v>0.7011419257183242</v>
      </c>
      <c r="W6" s="367">
        <v>0.4541</v>
      </c>
      <c r="X6" s="369">
        <v>0.6713368677497163</v>
      </c>
      <c r="Y6" s="367">
        <v>0.3849</v>
      </c>
      <c r="Z6" s="369">
        <v>0.6191542538011024</v>
      </c>
    </row>
    <row r="7" ht="14.25" customHeight="1">
      <c r="A7" s="77">
        <v>4.0</v>
      </c>
      <c r="B7" s="260" t="s">
        <v>27</v>
      </c>
      <c r="C7" s="367">
        <v>1.0587</v>
      </c>
      <c r="D7" s="369">
        <v>1.034627619001155</v>
      </c>
      <c r="E7" s="367">
        <v>0.7933</v>
      </c>
      <c r="F7" s="369">
        <v>0.8909405760206457</v>
      </c>
      <c r="G7" s="367">
        <v>1.0358</v>
      </c>
      <c r="H7" s="369">
        <v>1.027384231921047</v>
      </c>
      <c r="I7" s="367">
        <v>1.1135</v>
      </c>
      <c r="J7" s="369">
        <v>1.064620941931916</v>
      </c>
      <c r="K7" s="367">
        <v>1.2078</v>
      </c>
      <c r="L7" s="369">
        <v>1.105178338549937</v>
      </c>
      <c r="M7" s="367">
        <v>1.1376</v>
      </c>
      <c r="N7" s="369">
        <v>1.067083052062959</v>
      </c>
      <c r="O7" s="367">
        <v>1.1432</v>
      </c>
      <c r="P7" s="369">
        <v>1.067095946951351</v>
      </c>
      <c r="Q7" s="367">
        <v>1.1827</v>
      </c>
      <c r="R7" s="369">
        <v>1.081721179417321</v>
      </c>
      <c r="S7" s="367">
        <v>0.9257</v>
      </c>
      <c r="T7" s="369">
        <v>0.9635245248565291</v>
      </c>
      <c r="U7" s="370">
        <v>1.085</v>
      </c>
      <c r="V7" s="371">
        <v>1.031103777512234</v>
      </c>
      <c r="W7" s="367">
        <v>1.1175</v>
      </c>
      <c r="X7" s="369">
        <v>1.054937794374626</v>
      </c>
      <c r="Y7" s="367">
        <v>0.9623</v>
      </c>
      <c r="Z7" s="369">
        <v>0.9737960310044399</v>
      </c>
    </row>
    <row r="8" ht="14.25" customHeight="1">
      <c r="A8" s="77">
        <v>5.0</v>
      </c>
      <c r="B8" s="260" t="s">
        <v>29</v>
      </c>
      <c r="C8" s="367">
        <v>0.7683</v>
      </c>
      <c r="D8" s="369">
        <v>0.8887154268943461</v>
      </c>
      <c r="E8" s="367">
        <v>0.5571</v>
      </c>
      <c r="F8" s="369">
        <v>0.7532194832849187</v>
      </c>
      <c r="G8" s="367">
        <v>0.7882</v>
      </c>
      <c r="H8" s="369">
        <v>0.8859688256366586</v>
      </c>
      <c r="I8" s="367">
        <v>0.6777</v>
      </c>
      <c r="J8" s="369">
        <v>0.8251198155419611</v>
      </c>
      <c r="K8" s="367">
        <v>0.6993</v>
      </c>
      <c r="L8" s="369">
        <v>0.838259810559948</v>
      </c>
      <c r="M8" s="367">
        <v>0.603</v>
      </c>
      <c r="N8" s="369">
        <v>0.7763961617627949</v>
      </c>
      <c r="O8" s="367">
        <v>0.6071</v>
      </c>
      <c r="P8" s="369">
        <v>0.7825149135959008</v>
      </c>
      <c r="Q8" s="367">
        <v>0.6382</v>
      </c>
      <c r="R8" s="369">
        <v>0.7990624255963986</v>
      </c>
      <c r="S8" s="367">
        <v>0.5522</v>
      </c>
      <c r="T8" s="369">
        <v>0.7485153037847656</v>
      </c>
      <c r="U8" s="370">
        <v>0.6312</v>
      </c>
      <c r="V8" s="371">
        <v>0.7943466245915569</v>
      </c>
      <c r="W8" s="367">
        <v>0.6008</v>
      </c>
      <c r="X8" s="369">
        <v>0.7690509475971017</v>
      </c>
      <c r="Y8" s="367">
        <v>0.5979</v>
      </c>
      <c r="Z8" s="369">
        <v>0.780009993525724</v>
      </c>
    </row>
    <row r="9" ht="14.25" customHeight="1">
      <c r="A9" s="77">
        <v>6.0</v>
      </c>
      <c r="B9" s="260" t="s">
        <v>31</v>
      </c>
      <c r="C9" s="367">
        <v>0.1455</v>
      </c>
      <c r="D9" s="369">
        <v>0.3827920453718964</v>
      </c>
      <c r="E9" s="367">
        <v>0.1234</v>
      </c>
      <c r="F9" s="369">
        <v>0.3492455296779045</v>
      </c>
      <c r="G9" s="367">
        <v>0.1664</v>
      </c>
      <c r="H9" s="369">
        <v>0.4102572851272723</v>
      </c>
      <c r="I9" s="367">
        <v>0.1829</v>
      </c>
      <c r="J9" s="369">
        <v>0.4254968742540889</v>
      </c>
      <c r="K9" s="367">
        <v>0.2252</v>
      </c>
      <c r="L9" s="369">
        <v>0.4759043601397239</v>
      </c>
      <c r="M9" s="367">
        <v>0.2013</v>
      </c>
      <c r="N9" s="369">
        <v>0.4440476438401628</v>
      </c>
      <c r="O9" s="367">
        <v>0.2447</v>
      </c>
      <c r="P9" s="369">
        <v>0.4966104207525251</v>
      </c>
      <c r="Q9" s="367">
        <v>0.2113</v>
      </c>
      <c r="R9" s="369">
        <v>0.4639529178699062</v>
      </c>
      <c r="S9" s="367">
        <v>0.1866</v>
      </c>
      <c r="T9" s="369">
        <v>0.4291624867110359</v>
      </c>
      <c r="U9" s="370">
        <v>2.7458</v>
      </c>
      <c r="V9" s="371">
        <v>1.660295865199935</v>
      </c>
      <c r="W9" s="367">
        <v>0.2214</v>
      </c>
      <c r="X9" s="369">
        <v>0.4696616228733193</v>
      </c>
      <c r="Y9" s="367">
        <v>0.1714</v>
      </c>
      <c r="Z9" s="369">
        <v>0.4154780860647165</v>
      </c>
    </row>
    <row r="10" ht="14.25" customHeight="1">
      <c r="A10" s="77">
        <v>7.0</v>
      </c>
      <c r="B10" s="260" t="s">
        <v>33</v>
      </c>
      <c r="C10" s="367">
        <v>1.0E-4</v>
      </c>
      <c r="D10" s="369">
        <v>0.009999499987499378</v>
      </c>
      <c r="E10" s="367">
        <v>0.0</v>
      </c>
      <c r="F10" s="369">
        <v>0.0</v>
      </c>
      <c r="G10" s="367">
        <v>0.0</v>
      </c>
      <c r="H10" s="369">
        <v>0.0</v>
      </c>
      <c r="I10" s="367">
        <v>3.0E-4</v>
      </c>
      <c r="J10" s="369">
        <v>0.01731790980459247</v>
      </c>
      <c r="K10" s="367">
        <v>1.0E-4</v>
      </c>
      <c r="L10" s="369">
        <v>0.009999499987499378</v>
      </c>
      <c r="M10" s="367">
        <v>0.0</v>
      </c>
      <c r="N10" s="369">
        <v>0.0</v>
      </c>
      <c r="O10" s="367">
        <v>0.0</v>
      </c>
      <c r="P10" s="369">
        <v>0.0</v>
      </c>
      <c r="Q10" s="367">
        <v>8.0E-4</v>
      </c>
      <c r="R10" s="369">
        <v>0.02827295527531567</v>
      </c>
      <c r="S10" s="367">
        <v>0.0157</v>
      </c>
      <c r="T10" s="369">
        <v>0.1259107223392829</v>
      </c>
      <c r="U10" s="370">
        <v>0.0735</v>
      </c>
      <c r="V10" s="371">
        <v>0.2714732951875746</v>
      </c>
      <c r="W10" s="367">
        <v>0.0624</v>
      </c>
      <c r="X10" s="369">
        <v>0.2467918961392371</v>
      </c>
      <c r="Y10" s="367">
        <v>0.0187</v>
      </c>
      <c r="Z10" s="369">
        <v>0.1354633160674874</v>
      </c>
    </row>
    <row r="11" ht="14.25" customHeight="1">
      <c r="A11" s="79">
        <v>8.0</v>
      </c>
      <c r="B11" s="269" t="s">
        <v>35</v>
      </c>
      <c r="C11" s="372">
        <v>1.1599</v>
      </c>
      <c r="D11" s="373">
        <v>1.084496191786767</v>
      </c>
      <c r="E11" s="372">
        <v>1.1355</v>
      </c>
      <c r="F11" s="373">
        <v>1.066648840996886</v>
      </c>
      <c r="G11" s="372">
        <v>1.4152</v>
      </c>
      <c r="H11" s="373">
        <v>1.192228568689746</v>
      </c>
      <c r="I11" s="372">
        <v>1.281</v>
      </c>
      <c r="J11" s="373">
        <v>1.124028024561666</v>
      </c>
      <c r="K11" s="372">
        <v>1.3752</v>
      </c>
      <c r="L11" s="373">
        <v>1.168513996492982</v>
      </c>
      <c r="M11" s="372">
        <v>1.3933</v>
      </c>
      <c r="N11" s="373">
        <v>1.194242483752776</v>
      </c>
      <c r="O11" s="372">
        <v>1.3007</v>
      </c>
      <c r="P11" s="373">
        <v>1.126978043264375</v>
      </c>
      <c r="Q11" s="372">
        <v>1.2906</v>
      </c>
      <c r="R11" s="373">
        <v>1.124967395083075</v>
      </c>
      <c r="S11" s="372">
        <v>0.9982</v>
      </c>
      <c r="T11" s="373">
        <v>0.9865073542554055</v>
      </c>
      <c r="U11" s="374">
        <v>0.9419</v>
      </c>
      <c r="V11" s="375">
        <v>0.977099989765633</v>
      </c>
      <c r="W11" s="372">
        <v>1.0237</v>
      </c>
      <c r="X11" s="373">
        <v>0.9992688877374297</v>
      </c>
      <c r="Y11" s="372">
        <v>0.9385</v>
      </c>
      <c r="Z11" s="373">
        <v>0.9708335336194358</v>
      </c>
    </row>
    <row r="12" ht="14.25" customHeight="1">
      <c r="A12" s="293"/>
      <c r="B12" s="303"/>
      <c r="C12" s="287"/>
      <c r="D12" s="287"/>
      <c r="E12" s="287"/>
      <c r="F12" s="287"/>
      <c r="G12" s="287"/>
      <c r="H12" s="287"/>
      <c r="I12" s="287"/>
      <c r="J12" s="287"/>
      <c r="K12" s="287"/>
      <c r="L12" s="287"/>
      <c r="M12" s="287"/>
      <c r="N12" s="287"/>
      <c r="O12" s="287"/>
      <c r="P12" s="287"/>
      <c r="Q12" s="287"/>
      <c r="R12" s="287"/>
      <c r="S12" s="287"/>
      <c r="T12" s="287"/>
      <c r="U12" s="287"/>
      <c r="V12" s="287"/>
      <c r="W12" s="287"/>
      <c r="X12" s="287"/>
      <c r="Y12" s="287"/>
      <c r="Z12" s="287"/>
      <c r="AA12" s="293"/>
      <c r="AB12" s="293"/>
      <c r="AC12" s="293"/>
      <c r="AD12" s="286"/>
      <c r="AE12" s="286"/>
      <c r="AF12" s="293"/>
      <c r="AG12" s="293"/>
      <c r="AH12" s="293"/>
      <c r="AI12" s="293"/>
      <c r="AJ12" s="293"/>
      <c r="AK12" s="293"/>
      <c r="AL12" s="293"/>
      <c r="AM12" s="286"/>
      <c r="AN12" s="286"/>
      <c r="AO12" s="293"/>
      <c r="AP12" s="293"/>
      <c r="AQ12" s="293"/>
      <c r="AR12" s="293"/>
      <c r="AS12" s="293"/>
      <c r="AT12" s="293"/>
      <c r="AU12" s="293"/>
      <c r="AV12" s="286"/>
      <c r="AW12" s="286"/>
      <c r="AX12" s="293"/>
      <c r="AY12" s="293"/>
      <c r="AZ12" s="293"/>
      <c r="BA12" s="293"/>
      <c r="BB12" s="293"/>
      <c r="BC12" s="293"/>
      <c r="BD12" s="293"/>
      <c r="BE12" s="286"/>
      <c r="BF12" s="286"/>
      <c r="BG12" s="293"/>
      <c r="BH12" s="293"/>
      <c r="BI12" s="293"/>
      <c r="BJ12" s="293"/>
      <c r="BK12" s="293"/>
      <c r="BL12" s="293"/>
      <c r="BM12" s="293"/>
      <c r="BN12" s="286"/>
      <c r="BO12" s="286"/>
      <c r="BP12" s="293"/>
      <c r="BQ12" s="293"/>
      <c r="BR12" s="293"/>
      <c r="BS12" s="293"/>
      <c r="BT12" s="293"/>
      <c r="BU12" s="293"/>
      <c r="BV12" s="293"/>
      <c r="BW12" s="286"/>
      <c r="BX12" s="286"/>
      <c r="BY12" s="293"/>
      <c r="BZ12" s="293"/>
      <c r="CA12" s="293"/>
      <c r="CB12" s="293"/>
      <c r="CC12" s="293"/>
      <c r="CD12" s="293"/>
      <c r="CE12" s="293"/>
      <c r="CF12" s="286"/>
      <c r="CG12" s="286"/>
      <c r="CH12" s="293"/>
      <c r="CI12" s="293"/>
      <c r="CJ12" s="293"/>
      <c r="CK12" s="293"/>
      <c r="CL12" s="293"/>
      <c r="CM12" s="293"/>
      <c r="CN12" s="293"/>
      <c r="CO12" s="286"/>
      <c r="CP12" s="286"/>
      <c r="CQ12" s="293"/>
      <c r="CR12" s="293"/>
      <c r="CS12" s="293"/>
      <c r="CT12" s="293"/>
      <c r="CU12" s="293"/>
      <c r="CV12" s="293"/>
      <c r="CW12" s="293"/>
      <c r="CX12" s="286"/>
      <c r="CY12" s="286"/>
      <c r="CZ12" s="293"/>
      <c r="DA12" s="293"/>
      <c r="DB12" s="293"/>
      <c r="DC12" s="293"/>
      <c r="DD12" s="293"/>
      <c r="DE12" s="293"/>
      <c r="DF12" s="293"/>
    </row>
    <row r="13" ht="14.25" customHeight="1">
      <c r="A13" s="293"/>
      <c r="B13" s="293"/>
      <c r="C13" s="293"/>
      <c r="D13" s="293"/>
      <c r="E13" s="293"/>
      <c r="F13" s="293"/>
      <c r="G13" s="293"/>
      <c r="H13" s="293"/>
      <c r="I13" s="293"/>
      <c r="J13" s="293"/>
      <c r="K13" s="293"/>
      <c r="L13" s="293"/>
      <c r="M13" s="293"/>
      <c r="N13" s="293"/>
      <c r="O13" s="293"/>
      <c r="P13" s="293"/>
      <c r="Q13" s="293"/>
      <c r="R13" s="293"/>
      <c r="S13" s="293"/>
      <c r="T13" s="293"/>
      <c r="U13" s="293"/>
      <c r="V13" s="293"/>
      <c r="W13" s="293"/>
      <c r="X13" s="293"/>
      <c r="Y13" s="293"/>
      <c r="Z13" s="293"/>
      <c r="AA13" s="293"/>
      <c r="AB13" s="293"/>
      <c r="AC13" s="293"/>
      <c r="AD13" s="293"/>
      <c r="AE13" s="293"/>
      <c r="AF13" s="293"/>
      <c r="AG13" s="293"/>
      <c r="AH13" s="293"/>
      <c r="AI13" s="293"/>
      <c r="AJ13" s="293"/>
      <c r="AK13" s="293"/>
      <c r="AL13" s="293"/>
      <c r="AM13" s="293"/>
      <c r="AN13" s="293"/>
      <c r="AO13" s="293"/>
      <c r="AP13" s="293"/>
      <c r="AQ13" s="293"/>
      <c r="AR13" s="293"/>
      <c r="AS13" s="293"/>
      <c r="AT13" s="293"/>
      <c r="AU13" s="293"/>
      <c r="AV13" s="293"/>
      <c r="AW13" s="293"/>
      <c r="AX13" s="293"/>
      <c r="AY13" s="293"/>
      <c r="AZ13" s="293"/>
      <c r="BA13" s="293"/>
      <c r="BB13" s="293"/>
      <c r="BC13" s="293"/>
      <c r="BD13" s="293"/>
      <c r="BE13" s="293"/>
      <c r="BF13" s="293"/>
      <c r="BG13" s="293"/>
      <c r="BH13" s="293"/>
      <c r="BI13" s="293"/>
      <c r="BJ13" s="293"/>
      <c r="BK13" s="293"/>
      <c r="BL13" s="293"/>
      <c r="BM13" s="293"/>
      <c r="BN13" s="293"/>
      <c r="BO13" s="293"/>
      <c r="BP13" s="293"/>
      <c r="BQ13" s="293"/>
      <c r="BR13" s="293"/>
      <c r="BS13" s="293"/>
      <c r="BT13" s="293"/>
      <c r="BU13" s="293"/>
      <c r="BV13" s="293"/>
      <c r="BW13" s="293"/>
      <c r="BX13" s="293"/>
      <c r="BY13" s="293"/>
      <c r="BZ13" s="293"/>
      <c r="CA13" s="293"/>
      <c r="CB13" s="293"/>
      <c r="CC13" s="293"/>
      <c r="CD13" s="293"/>
      <c r="CE13" s="293"/>
    </row>
    <row r="14" ht="14.25" customHeight="1">
      <c r="A14" s="293"/>
      <c r="B14" s="293"/>
      <c r="C14" s="293"/>
      <c r="D14" s="293"/>
      <c r="E14" s="293"/>
      <c r="F14" s="293"/>
      <c r="G14" s="293"/>
      <c r="H14" s="293"/>
      <c r="I14" s="293"/>
      <c r="J14" s="293"/>
      <c r="K14" s="293"/>
      <c r="L14" s="293"/>
      <c r="M14" s="293"/>
      <c r="N14" s="293"/>
      <c r="O14" s="293"/>
      <c r="P14" s="293"/>
      <c r="Q14" s="293"/>
      <c r="R14" s="293"/>
      <c r="S14" s="293"/>
      <c r="T14" s="293"/>
      <c r="U14" s="293"/>
      <c r="V14" s="293"/>
      <c r="W14" s="293"/>
      <c r="X14" s="293"/>
      <c r="Y14" s="293"/>
      <c r="Z14" s="293"/>
      <c r="AA14" s="293"/>
      <c r="AB14" s="293"/>
      <c r="AC14" s="293"/>
      <c r="AD14" s="293"/>
      <c r="AE14" s="293"/>
      <c r="AF14" s="293"/>
      <c r="AG14" s="293"/>
      <c r="AH14" s="293"/>
      <c r="AI14" s="293"/>
      <c r="AJ14" s="293"/>
      <c r="AK14" s="293"/>
      <c r="AL14" s="293"/>
      <c r="AM14" s="293"/>
      <c r="AN14" s="293"/>
      <c r="AO14" s="293"/>
      <c r="AP14" s="293"/>
      <c r="AQ14" s="293"/>
      <c r="AR14" s="293"/>
      <c r="AS14" s="293"/>
      <c r="AT14" s="293"/>
      <c r="AU14" s="293"/>
      <c r="AV14" s="293"/>
      <c r="AW14" s="293"/>
      <c r="AX14" s="293"/>
      <c r="AY14" s="293"/>
      <c r="AZ14" s="293"/>
      <c r="BA14" s="293"/>
      <c r="BB14" s="293"/>
      <c r="BC14" s="293"/>
      <c r="BD14" s="293"/>
      <c r="BE14" s="293"/>
      <c r="BF14" s="293"/>
      <c r="BG14" s="293"/>
      <c r="BH14" s="293"/>
      <c r="BI14" s="293"/>
      <c r="BJ14" s="293"/>
      <c r="BK14" s="293"/>
      <c r="BL14" s="293"/>
      <c r="BM14" s="293"/>
      <c r="BN14" s="293"/>
      <c r="BO14" s="293"/>
      <c r="BP14" s="293"/>
      <c r="BQ14" s="293"/>
      <c r="BR14" s="293"/>
      <c r="BS14" s="293"/>
      <c r="BT14" s="293"/>
      <c r="BU14" s="293"/>
      <c r="BV14" s="293"/>
      <c r="BW14" s="293"/>
      <c r="BX14" s="293"/>
      <c r="BY14" s="293"/>
      <c r="BZ14" s="293"/>
      <c r="CA14" s="293"/>
      <c r="CB14" s="293"/>
      <c r="CC14" s="293"/>
      <c r="CD14" s="293"/>
      <c r="CE14" s="293"/>
    </row>
    <row r="15" ht="14.25" customHeight="1">
      <c r="A15" s="293"/>
      <c r="B15" s="293"/>
      <c r="C15" s="293"/>
      <c r="D15" s="293"/>
      <c r="E15" s="293"/>
      <c r="F15" s="293"/>
      <c r="G15" s="293"/>
      <c r="H15" s="293"/>
      <c r="I15" s="293"/>
      <c r="J15" s="293"/>
      <c r="K15" s="293"/>
      <c r="L15" s="293"/>
      <c r="M15" s="293"/>
      <c r="N15" s="293"/>
      <c r="O15" s="293"/>
      <c r="P15" s="293"/>
      <c r="Q15" s="293"/>
      <c r="R15" s="293"/>
      <c r="S15" s="293"/>
      <c r="T15" s="293"/>
      <c r="U15" s="293"/>
      <c r="V15" s="293"/>
      <c r="W15" s="293"/>
      <c r="X15" s="293"/>
      <c r="Y15" s="293"/>
      <c r="Z15" s="293"/>
      <c r="AA15" s="293"/>
      <c r="AB15" s="293"/>
      <c r="AC15" s="293"/>
      <c r="AD15" s="376"/>
      <c r="AE15" s="376"/>
      <c r="AF15" s="377"/>
      <c r="AG15" s="376"/>
      <c r="AH15" s="376"/>
      <c r="AI15" s="376"/>
      <c r="AJ15" s="376"/>
      <c r="AK15" s="377"/>
      <c r="AL15" s="293"/>
      <c r="AM15" s="293"/>
      <c r="AN15" s="293"/>
      <c r="AO15" s="293"/>
      <c r="AP15" s="293"/>
      <c r="AQ15" s="293"/>
      <c r="AR15" s="293"/>
      <c r="AS15" s="293"/>
      <c r="AT15" s="293"/>
      <c r="AU15" s="293"/>
      <c r="AV15" s="293"/>
      <c r="AW15" s="293"/>
      <c r="AX15" s="293"/>
      <c r="AY15" s="293"/>
      <c r="AZ15" s="293"/>
      <c r="BA15" s="293"/>
      <c r="BB15" s="293"/>
      <c r="BC15" s="293"/>
      <c r="BD15" s="293"/>
      <c r="BE15" s="293"/>
      <c r="BF15" s="293"/>
      <c r="BG15" s="293"/>
      <c r="BH15" s="293"/>
      <c r="BI15" s="293"/>
      <c r="BJ15" s="293"/>
      <c r="BK15" s="293"/>
      <c r="BL15" s="293"/>
      <c r="BM15" s="293"/>
      <c r="BN15" s="376" t="s">
        <v>140</v>
      </c>
      <c r="BO15" s="376" t="s">
        <v>141</v>
      </c>
      <c r="BP15" s="377"/>
      <c r="BQ15" s="376" t="s">
        <v>142</v>
      </c>
      <c r="BR15" s="376" t="s">
        <v>143</v>
      </c>
      <c r="BS15" s="376" t="s">
        <v>144</v>
      </c>
      <c r="BT15" s="376" t="s">
        <v>417</v>
      </c>
      <c r="BU15" s="377"/>
      <c r="BV15" s="293"/>
      <c r="BW15" s="293"/>
      <c r="BX15" s="293"/>
      <c r="BY15" s="293"/>
      <c r="BZ15" s="293"/>
      <c r="CA15" s="293"/>
      <c r="CB15" s="293"/>
      <c r="CC15" s="293"/>
      <c r="CD15" s="293"/>
      <c r="CE15" s="293"/>
    </row>
    <row r="16" ht="14.25" customHeight="1">
      <c r="A16" s="293"/>
      <c r="B16" s="293"/>
      <c r="C16" s="293"/>
      <c r="D16" s="293"/>
      <c r="E16" s="293"/>
      <c r="F16" s="293"/>
      <c r="G16" s="293"/>
      <c r="H16" s="293"/>
      <c r="I16" s="293"/>
      <c r="J16" s="293"/>
      <c r="K16" s="293"/>
      <c r="L16" s="293"/>
      <c r="M16" s="293"/>
      <c r="N16" s="293"/>
      <c r="O16" s="293"/>
      <c r="P16" s="293"/>
      <c r="Q16" s="293"/>
      <c r="R16" s="293"/>
      <c r="S16" s="293"/>
      <c r="T16" s="293"/>
      <c r="U16" s="293"/>
      <c r="V16" s="293"/>
      <c r="W16" s="293"/>
      <c r="X16" s="293"/>
      <c r="Y16" s="293"/>
      <c r="Z16" s="293"/>
      <c r="AA16" s="293"/>
      <c r="AB16" s="293"/>
      <c r="AC16" s="293"/>
      <c r="AD16" s="376"/>
      <c r="AE16" s="376"/>
      <c r="AF16" s="376"/>
      <c r="AG16" s="378"/>
      <c r="AH16" s="379"/>
      <c r="AI16" s="379"/>
      <c r="AJ16" s="380"/>
      <c r="AK16" s="376"/>
      <c r="AL16" s="293"/>
      <c r="AM16" s="293"/>
      <c r="AN16" s="293"/>
      <c r="AO16" s="293"/>
      <c r="AP16" s="293"/>
      <c r="AQ16" s="293"/>
      <c r="AR16" s="293"/>
      <c r="AS16" s="293"/>
      <c r="AT16" s="293"/>
      <c r="AU16" s="293"/>
      <c r="AV16" s="293"/>
      <c r="AW16" s="293"/>
      <c r="AX16" s="293"/>
      <c r="AY16" s="293"/>
      <c r="AZ16" s="293"/>
      <c r="BA16" s="293"/>
      <c r="BB16" s="293"/>
      <c r="BC16" s="293"/>
      <c r="BD16" s="293"/>
      <c r="BE16" s="293"/>
      <c r="BF16" s="293"/>
      <c r="BG16" s="293"/>
      <c r="BH16" s="293"/>
      <c r="BI16" s="293"/>
      <c r="BJ16" s="293"/>
      <c r="BK16" s="293"/>
      <c r="BL16" s="293"/>
      <c r="BM16" s="293"/>
      <c r="BN16" s="376" t="s">
        <v>147</v>
      </c>
      <c r="BO16" s="376" t="s">
        <v>181</v>
      </c>
      <c r="BP16" s="376" t="s">
        <v>148</v>
      </c>
      <c r="BQ16" s="378">
        <v>24.0</v>
      </c>
      <c r="BR16" s="379">
        <v>0.020833333333333332</v>
      </c>
      <c r="BS16" s="379">
        <v>0.5</v>
      </c>
      <c r="BT16" s="380">
        <v>47856.0</v>
      </c>
      <c r="BU16" s="376" t="s">
        <v>149</v>
      </c>
      <c r="BV16" s="293"/>
      <c r="BW16" s="293"/>
      <c r="BX16" s="293"/>
      <c r="BY16" s="293"/>
      <c r="BZ16" s="293"/>
      <c r="CA16" s="293"/>
      <c r="CB16" s="293"/>
      <c r="CC16" s="293"/>
      <c r="CD16" s="293"/>
      <c r="CE16" s="293"/>
    </row>
    <row r="17" ht="14.25" customHeight="1">
      <c r="A17" s="293"/>
      <c r="B17" s="293"/>
      <c r="C17" s="293"/>
      <c r="D17" s="293"/>
      <c r="E17" s="293"/>
      <c r="F17" s="293"/>
      <c r="G17" s="293"/>
      <c r="H17" s="293"/>
      <c r="I17" s="293"/>
      <c r="J17" s="293"/>
      <c r="K17" s="293"/>
      <c r="L17" s="293"/>
      <c r="M17" s="293"/>
      <c r="N17" s="293"/>
      <c r="O17" s="293"/>
      <c r="P17" s="293"/>
      <c r="Q17" s="293"/>
      <c r="R17" s="293"/>
      <c r="S17" s="293"/>
      <c r="T17" s="293"/>
      <c r="U17" s="293"/>
      <c r="V17" s="293"/>
      <c r="W17" s="293"/>
      <c r="X17" s="293"/>
      <c r="Y17" s="293"/>
      <c r="Z17" s="293"/>
      <c r="AA17" s="293"/>
      <c r="AB17" s="293"/>
      <c r="AC17" s="293"/>
      <c r="AD17" s="376"/>
      <c r="AE17" s="376"/>
      <c r="AF17" s="376"/>
      <c r="AG17" s="378"/>
      <c r="AH17" s="379"/>
      <c r="AI17" s="378"/>
      <c r="AJ17" s="380"/>
      <c r="AK17" s="377"/>
      <c r="AL17" s="293"/>
      <c r="AM17" s="293"/>
      <c r="AN17" s="293"/>
      <c r="AO17" s="293"/>
      <c r="AP17" s="293"/>
      <c r="AQ17" s="293"/>
      <c r="AR17" s="293"/>
      <c r="AS17" s="293"/>
      <c r="AT17" s="293"/>
      <c r="AU17" s="293"/>
      <c r="AV17" s="293"/>
      <c r="AW17" s="293"/>
      <c r="AX17" s="293"/>
      <c r="AY17" s="293"/>
      <c r="AZ17" s="293"/>
      <c r="BA17" s="293"/>
      <c r="BB17" s="293"/>
      <c r="BC17" s="293"/>
      <c r="BD17" s="293"/>
      <c r="BE17" s="293"/>
      <c r="BF17" s="293"/>
      <c r="BG17" s="293"/>
      <c r="BH17" s="293"/>
      <c r="BI17" s="293"/>
      <c r="BJ17" s="293"/>
      <c r="BK17" s="293"/>
      <c r="BL17" s="293"/>
      <c r="BM17" s="293"/>
      <c r="BN17" s="376" t="s">
        <v>150</v>
      </c>
      <c r="BO17" s="376" t="s">
        <v>183</v>
      </c>
      <c r="BP17" s="376" t="s">
        <v>151</v>
      </c>
      <c r="BQ17" s="378">
        <v>270.0</v>
      </c>
      <c r="BR17" s="379">
        <v>0.125</v>
      </c>
      <c r="BS17" s="378">
        <v>3.0</v>
      </c>
      <c r="BT17" s="380">
        <v>538380.0</v>
      </c>
      <c r="BU17" s="377"/>
      <c r="BV17" s="293"/>
      <c r="BW17" s="293"/>
      <c r="BX17" s="293"/>
      <c r="BY17" s="293"/>
      <c r="BZ17" s="293"/>
      <c r="CA17" s="293"/>
      <c r="CB17" s="293"/>
      <c r="CC17" s="293"/>
      <c r="CD17" s="293"/>
      <c r="CE17" s="293"/>
    </row>
    <row r="18" ht="14.25" customHeight="1">
      <c r="A18" s="293"/>
      <c r="B18" s="293"/>
      <c r="C18" s="293"/>
      <c r="D18" s="293"/>
      <c r="E18" s="293"/>
      <c r="F18" s="381"/>
      <c r="G18" s="299"/>
      <c r="H18" s="299"/>
      <c r="I18" s="382"/>
      <c r="J18" s="293"/>
      <c r="K18" s="293"/>
      <c r="L18" s="293"/>
      <c r="M18" s="293"/>
      <c r="N18" s="293"/>
      <c r="O18" s="293"/>
      <c r="P18" s="293"/>
      <c r="Q18" s="293"/>
      <c r="R18" s="293"/>
      <c r="S18" s="293"/>
      <c r="T18" s="293"/>
      <c r="U18" s="293"/>
      <c r="V18" s="293"/>
      <c r="W18" s="293"/>
      <c r="X18" s="293"/>
      <c r="Y18" s="293"/>
      <c r="Z18" s="293"/>
      <c r="AA18" s="293"/>
      <c r="AB18" s="293"/>
      <c r="AC18" s="293"/>
      <c r="AD18" s="376"/>
      <c r="AE18" s="376"/>
      <c r="AF18" s="376"/>
      <c r="AG18" s="378"/>
      <c r="AH18" s="379"/>
      <c r="AI18" s="378"/>
      <c r="AJ18" s="380"/>
      <c r="AK18" s="377"/>
      <c r="AL18" s="293"/>
      <c r="AM18" s="293"/>
      <c r="AN18" s="293"/>
      <c r="AO18" s="293"/>
      <c r="AP18" s="293"/>
      <c r="AQ18" s="293"/>
      <c r="AR18" s="293"/>
      <c r="AS18" s="293"/>
      <c r="AT18" s="293"/>
      <c r="AU18" s="293"/>
      <c r="AV18" s="293"/>
      <c r="AW18" s="293"/>
      <c r="AX18" s="293"/>
      <c r="AY18" s="293"/>
      <c r="AZ18" s="293"/>
      <c r="BA18" s="293"/>
      <c r="BB18" s="293"/>
      <c r="BC18" s="293"/>
      <c r="BD18" s="293"/>
      <c r="BE18" s="293"/>
      <c r="BF18" s="293"/>
      <c r="BG18" s="293"/>
      <c r="BH18" s="293"/>
      <c r="BI18" s="293"/>
      <c r="BJ18" s="293"/>
      <c r="BK18" s="293"/>
      <c r="BL18" s="293"/>
      <c r="BM18" s="293"/>
      <c r="BN18" s="376" t="s">
        <v>152</v>
      </c>
      <c r="BO18" s="376" t="s">
        <v>182</v>
      </c>
      <c r="BP18" s="376" t="s">
        <v>153</v>
      </c>
      <c r="BQ18" s="378">
        <v>110.0</v>
      </c>
      <c r="BR18" s="379">
        <v>0.05694444444444444</v>
      </c>
      <c r="BS18" s="378">
        <v>1.3666666666666667</v>
      </c>
      <c r="BT18" s="380">
        <v>219340.0</v>
      </c>
      <c r="BU18" s="377"/>
      <c r="BV18" s="293"/>
      <c r="BW18" s="293"/>
      <c r="BX18" s="293"/>
      <c r="BY18" s="293"/>
      <c r="BZ18" s="293"/>
      <c r="CA18" s="293"/>
      <c r="CB18" s="293"/>
      <c r="CC18" s="293"/>
      <c r="CD18" s="293"/>
      <c r="CE18" s="293"/>
    </row>
    <row r="19" ht="14.25" customHeight="1">
      <c r="A19" s="293"/>
      <c r="B19" s="293"/>
      <c r="C19" s="293"/>
      <c r="D19" s="293"/>
      <c r="E19" s="293"/>
      <c r="F19" s="381"/>
      <c r="G19" s="299"/>
      <c r="H19" s="381"/>
      <c r="I19" s="382"/>
      <c r="J19" s="293"/>
      <c r="K19" s="293"/>
      <c r="L19" s="293"/>
      <c r="M19" s="293"/>
      <c r="N19" s="293"/>
      <c r="O19" s="293"/>
      <c r="P19" s="293"/>
      <c r="Q19" s="293"/>
      <c r="R19" s="293"/>
      <c r="S19" s="293"/>
      <c r="T19" s="293"/>
      <c r="U19" s="293"/>
      <c r="V19" s="293"/>
      <c r="W19" s="293"/>
      <c r="X19" s="293"/>
      <c r="Y19" s="293"/>
      <c r="Z19" s="293"/>
      <c r="AA19" s="293"/>
      <c r="AB19" s="293"/>
      <c r="AC19" s="293"/>
      <c r="AD19" s="376"/>
      <c r="AE19" s="376"/>
      <c r="AF19" s="376"/>
      <c r="AG19" s="378"/>
      <c r="AH19" s="379"/>
      <c r="AI19" s="378"/>
      <c r="AJ19" s="380"/>
      <c r="AK19" s="377"/>
      <c r="AL19" s="293"/>
      <c r="AM19" s="293"/>
      <c r="AN19" s="293"/>
      <c r="AO19" s="293"/>
      <c r="AP19" s="293"/>
      <c r="AQ19" s="293"/>
      <c r="AR19" s="293"/>
      <c r="AS19" s="293"/>
      <c r="AT19" s="293"/>
      <c r="AU19" s="293"/>
      <c r="AV19" s="293"/>
      <c r="AW19" s="293"/>
      <c r="AX19" s="293"/>
      <c r="AY19" s="293"/>
      <c r="AZ19" s="293"/>
      <c r="BA19" s="293"/>
      <c r="BB19" s="293"/>
      <c r="BC19" s="293"/>
      <c r="BD19" s="293"/>
      <c r="BE19" s="293"/>
      <c r="BF19" s="293"/>
      <c r="BG19" s="293"/>
      <c r="BH19" s="293"/>
      <c r="BI19" s="293"/>
      <c r="BJ19" s="293"/>
      <c r="BK19" s="293"/>
      <c r="BL19" s="293"/>
      <c r="BM19" s="293"/>
      <c r="BN19" s="376" t="s">
        <v>154</v>
      </c>
      <c r="BO19" s="376" t="s">
        <v>184</v>
      </c>
      <c r="BP19" s="376" t="s">
        <v>155</v>
      </c>
      <c r="BQ19" s="378">
        <v>471.0</v>
      </c>
      <c r="BR19" s="379">
        <v>0.2138888888888889</v>
      </c>
      <c r="BS19" s="378">
        <v>5.133333333333334</v>
      </c>
      <c r="BT19" s="380">
        <v>939174.0</v>
      </c>
      <c r="BU19" s="377"/>
      <c r="BV19" s="293"/>
      <c r="BW19" s="293"/>
      <c r="BX19" s="293"/>
      <c r="BY19" s="293"/>
      <c r="BZ19" s="293"/>
      <c r="CA19" s="293"/>
      <c r="CB19" s="293"/>
      <c r="CC19" s="293"/>
      <c r="CD19" s="293"/>
      <c r="CE19" s="293"/>
    </row>
    <row r="20" ht="14.25" customHeight="1">
      <c r="A20" s="293"/>
      <c r="B20" s="293"/>
      <c r="C20" s="293"/>
      <c r="D20" s="293"/>
      <c r="E20" s="293"/>
      <c r="F20" s="381"/>
      <c r="G20" s="299"/>
      <c r="H20" s="381"/>
      <c r="I20" s="382"/>
      <c r="J20" s="293"/>
      <c r="K20" s="293"/>
      <c r="L20" s="293"/>
      <c r="M20" s="293"/>
      <c r="N20" s="293"/>
      <c r="O20" s="293"/>
      <c r="P20" s="293"/>
      <c r="Q20" s="293"/>
      <c r="R20" s="293"/>
      <c r="S20" s="293"/>
      <c r="T20" s="293"/>
      <c r="U20" s="293"/>
      <c r="V20" s="293"/>
      <c r="W20" s="293"/>
      <c r="X20" s="293"/>
      <c r="Y20" s="293"/>
      <c r="Z20" s="293"/>
      <c r="AA20" s="293"/>
      <c r="AB20" s="293"/>
      <c r="AC20" s="293"/>
      <c r="AD20" s="376"/>
      <c r="AE20" s="376"/>
      <c r="AF20" s="376"/>
      <c r="AG20" s="378"/>
      <c r="AH20" s="379"/>
      <c r="AI20" s="378"/>
      <c r="AJ20" s="380"/>
      <c r="AK20" s="376"/>
      <c r="AL20" s="293"/>
      <c r="AM20" s="293"/>
      <c r="AN20" s="293"/>
      <c r="AO20" s="293"/>
      <c r="AP20" s="293"/>
      <c r="AQ20" s="293"/>
      <c r="AR20" s="293"/>
      <c r="AS20" s="293"/>
      <c r="AT20" s="293"/>
      <c r="AU20" s="293"/>
      <c r="AV20" s="293"/>
      <c r="AW20" s="293"/>
      <c r="AX20" s="293"/>
      <c r="AY20" s="293"/>
      <c r="AZ20" s="293"/>
      <c r="BA20" s="293"/>
      <c r="BB20" s="293"/>
      <c r="BC20" s="293"/>
      <c r="BD20" s="293"/>
      <c r="BE20" s="293"/>
      <c r="BF20" s="293"/>
      <c r="BG20" s="293"/>
      <c r="BH20" s="293"/>
      <c r="BI20" s="293"/>
      <c r="BJ20" s="293"/>
      <c r="BK20" s="293"/>
      <c r="BL20" s="293"/>
      <c r="BM20" s="293"/>
      <c r="BN20" s="376" t="s">
        <v>160</v>
      </c>
      <c r="BO20" s="376" t="s">
        <v>192</v>
      </c>
      <c r="BP20" s="376" t="s">
        <v>161</v>
      </c>
      <c r="BQ20" s="378">
        <v>1332.0</v>
      </c>
      <c r="BR20" s="379">
        <v>0.625</v>
      </c>
      <c r="BS20" s="378">
        <v>15.0</v>
      </c>
      <c r="BT20" s="380">
        <v>2558772.0</v>
      </c>
      <c r="BU20" s="376" t="s">
        <v>159</v>
      </c>
      <c r="BV20" s="293"/>
      <c r="BW20" s="293"/>
      <c r="BX20" s="293"/>
      <c r="BY20" s="293"/>
      <c r="BZ20" s="293"/>
      <c r="CA20" s="293"/>
      <c r="CB20" s="293"/>
      <c r="CC20" s="293"/>
      <c r="CD20" s="293"/>
      <c r="CE20" s="293"/>
    </row>
    <row r="21" ht="14.25" customHeight="1">
      <c r="A21" s="293"/>
      <c r="B21" s="293"/>
      <c r="C21" s="293"/>
      <c r="D21" s="293"/>
      <c r="E21" s="293"/>
      <c r="F21" s="381"/>
      <c r="G21" s="299"/>
      <c r="H21" s="381"/>
      <c r="I21" s="382"/>
      <c r="J21" s="293"/>
      <c r="K21" s="293"/>
      <c r="L21" s="293"/>
      <c r="M21" s="293"/>
      <c r="N21" s="293"/>
      <c r="O21" s="293"/>
      <c r="P21" s="293"/>
      <c r="Q21" s="293"/>
      <c r="R21" s="293"/>
      <c r="S21" s="293"/>
      <c r="T21" s="293"/>
      <c r="U21" s="293"/>
      <c r="V21" s="293"/>
      <c r="W21" s="293"/>
      <c r="X21" s="293"/>
      <c r="Y21" s="293"/>
      <c r="Z21" s="293"/>
      <c r="AA21" s="293"/>
      <c r="AB21" s="293"/>
      <c r="AC21" s="293"/>
      <c r="AD21" s="376"/>
      <c r="AE21" s="376"/>
      <c r="AF21" s="376"/>
      <c r="AG21" s="378"/>
      <c r="AH21" s="379"/>
      <c r="AI21" s="378"/>
      <c r="AJ21" s="380"/>
      <c r="AK21" s="377"/>
      <c r="AL21" s="293"/>
      <c r="AM21" s="293"/>
      <c r="AN21" s="293"/>
      <c r="AO21" s="293"/>
      <c r="AP21" s="293"/>
      <c r="AQ21" s="293"/>
      <c r="AR21" s="293"/>
      <c r="AS21" s="293"/>
      <c r="AT21" s="293"/>
      <c r="AU21" s="293"/>
      <c r="AV21" s="293"/>
      <c r="AW21" s="293"/>
      <c r="AX21" s="293"/>
      <c r="AY21" s="293"/>
      <c r="AZ21" s="293"/>
      <c r="BA21" s="293"/>
      <c r="BB21" s="293"/>
      <c r="BC21" s="293"/>
      <c r="BD21" s="293"/>
      <c r="BE21" s="293"/>
      <c r="BF21" s="293"/>
      <c r="BG21" s="293"/>
      <c r="BH21" s="293"/>
      <c r="BI21" s="293"/>
      <c r="BJ21" s="293"/>
      <c r="BK21" s="293"/>
      <c r="BL21" s="293"/>
      <c r="BM21" s="293"/>
      <c r="BN21" s="376" t="s">
        <v>162</v>
      </c>
      <c r="BO21" s="376" t="s">
        <v>188</v>
      </c>
      <c r="BP21" s="376" t="s">
        <v>163</v>
      </c>
      <c r="BQ21" s="378">
        <v>2035.0</v>
      </c>
      <c r="BR21" s="379">
        <v>0.625</v>
      </c>
      <c r="BS21" s="378">
        <v>15.0</v>
      </c>
      <c r="BT21" s="380">
        <v>3909235.0</v>
      </c>
      <c r="BU21" s="377"/>
      <c r="BV21" s="293"/>
      <c r="BW21" s="293"/>
      <c r="BX21" s="293"/>
      <c r="BY21" s="293"/>
      <c r="BZ21" s="293"/>
      <c r="CA21" s="293"/>
      <c r="CB21" s="293"/>
      <c r="CC21" s="293"/>
      <c r="CD21" s="293"/>
      <c r="CE21" s="293"/>
    </row>
    <row r="22" ht="14.25" customHeight="1">
      <c r="A22" s="293"/>
      <c r="B22" s="293"/>
      <c r="C22" s="293"/>
      <c r="D22" s="293"/>
      <c r="E22" s="293"/>
      <c r="F22" s="381"/>
      <c r="G22" s="299"/>
      <c r="H22" s="381"/>
      <c r="I22" s="382"/>
      <c r="J22" s="293"/>
      <c r="K22" s="293"/>
      <c r="L22" s="293"/>
      <c r="M22" s="293"/>
      <c r="N22" s="293"/>
      <c r="O22" s="293"/>
      <c r="P22" s="293"/>
      <c r="Q22" s="293"/>
      <c r="R22" s="293"/>
      <c r="S22" s="293"/>
      <c r="T22" s="293"/>
      <c r="U22" s="293"/>
      <c r="V22" s="293"/>
      <c r="W22" s="293"/>
      <c r="X22" s="293"/>
      <c r="Y22" s="293"/>
      <c r="Z22" s="293"/>
      <c r="AA22" s="293"/>
      <c r="AB22" s="293"/>
      <c r="AC22" s="293"/>
      <c r="AD22" s="376"/>
      <c r="AE22" s="376"/>
      <c r="AF22" s="376"/>
      <c r="AG22" s="378"/>
      <c r="AH22" s="379"/>
      <c r="AI22" s="378"/>
      <c r="AJ22" s="380"/>
      <c r="AK22" s="377"/>
      <c r="AL22" s="293"/>
      <c r="AM22" s="293"/>
      <c r="AN22" s="293"/>
      <c r="AO22" s="293"/>
      <c r="AP22" s="293"/>
      <c r="AQ22" s="293"/>
      <c r="AR22" s="293"/>
      <c r="AS22" s="293"/>
      <c r="AT22" s="293"/>
      <c r="AU22" s="293"/>
      <c r="AV22" s="293"/>
      <c r="AW22" s="293"/>
      <c r="AX22" s="293"/>
      <c r="AY22" s="293"/>
      <c r="AZ22" s="293"/>
      <c r="BA22" s="293"/>
      <c r="BB22" s="293"/>
      <c r="BC22" s="293"/>
      <c r="BD22" s="293"/>
      <c r="BE22" s="293"/>
      <c r="BF22" s="293"/>
      <c r="BG22" s="293"/>
      <c r="BH22" s="293"/>
      <c r="BI22" s="293"/>
      <c r="BJ22" s="293"/>
      <c r="BK22" s="293"/>
      <c r="BL22" s="293"/>
      <c r="BM22" s="293"/>
      <c r="BN22" s="376" t="s">
        <v>164</v>
      </c>
      <c r="BO22" s="376" t="s">
        <v>187</v>
      </c>
      <c r="BP22" s="376" t="s">
        <v>165</v>
      </c>
      <c r="BQ22" s="378">
        <v>131.0</v>
      </c>
      <c r="BR22" s="379">
        <v>0.08333333333333333</v>
      </c>
      <c r="BS22" s="378">
        <v>2.0</v>
      </c>
      <c r="BT22" s="380">
        <v>251651.0</v>
      </c>
      <c r="BU22" s="377"/>
      <c r="BV22" s="293"/>
      <c r="BW22" s="293"/>
      <c r="BX22" s="293"/>
      <c r="BY22" s="293"/>
      <c r="BZ22" s="293"/>
      <c r="CA22" s="293"/>
      <c r="CB22" s="293"/>
      <c r="CC22" s="293"/>
      <c r="CD22" s="293"/>
      <c r="CE22" s="293"/>
    </row>
    <row r="23" ht="15.0" customHeight="1">
      <c r="A23" s="293"/>
      <c r="B23" s="293"/>
      <c r="C23" s="293"/>
      <c r="D23" s="293"/>
      <c r="E23" s="293"/>
      <c r="F23" s="381"/>
      <c r="G23" s="299"/>
      <c r="H23" s="381"/>
      <c r="I23" s="382"/>
      <c r="J23" s="293"/>
      <c r="K23" s="293"/>
      <c r="L23" s="293"/>
      <c r="M23" s="293"/>
      <c r="N23" s="293"/>
      <c r="O23" s="293"/>
      <c r="P23" s="293"/>
      <c r="Q23" s="293"/>
      <c r="R23" s="293"/>
      <c r="S23" s="293"/>
      <c r="T23" s="293"/>
      <c r="U23" s="293"/>
      <c r="V23" s="293"/>
      <c r="W23" s="293"/>
      <c r="X23" s="293"/>
      <c r="Y23" s="293"/>
      <c r="Z23" s="293"/>
      <c r="AA23" s="293"/>
      <c r="AB23" s="293"/>
      <c r="AC23" s="293"/>
      <c r="AD23" s="376"/>
      <c r="AE23" s="376"/>
      <c r="AF23" s="376"/>
      <c r="AG23" s="378"/>
      <c r="AH23" s="379"/>
      <c r="AI23" s="378"/>
      <c r="AJ23" s="380"/>
      <c r="AK23" s="377"/>
      <c r="AL23" s="293"/>
      <c r="AM23" s="293"/>
      <c r="AN23" s="293"/>
      <c r="AO23" s="293"/>
      <c r="AP23" s="293"/>
      <c r="AQ23" s="293"/>
      <c r="AR23" s="293"/>
      <c r="AS23" s="293"/>
      <c r="AT23" s="293"/>
      <c r="AU23" s="293"/>
      <c r="AV23" s="293"/>
      <c r="AW23" s="293"/>
      <c r="AX23" s="293"/>
      <c r="AY23" s="293"/>
      <c r="AZ23" s="293"/>
      <c r="BA23" s="293"/>
      <c r="BB23" s="293"/>
      <c r="BC23" s="293"/>
      <c r="BD23" s="293"/>
      <c r="BE23" s="293"/>
      <c r="BF23" s="293"/>
      <c r="BG23" s="293"/>
      <c r="BH23" s="293"/>
      <c r="BI23" s="293"/>
      <c r="BJ23" s="293"/>
      <c r="BK23" s="293"/>
      <c r="BL23" s="293"/>
      <c r="BM23" s="293"/>
      <c r="BN23" s="376" t="s">
        <v>166</v>
      </c>
      <c r="BO23" s="376" t="s">
        <v>189</v>
      </c>
      <c r="BP23" s="376" t="s">
        <v>167</v>
      </c>
      <c r="BQ23" s="378">
        <v>130.0</v>
      </c>
      <c r="BR23" s="379">
        <v>0.08333333333333333</v>
      </c>
      <c r="BS23" s="378">
        <v>2.0</v>
      </c>
      <c r="BT23" s="380">
        <v>249730.0</v>
      </c>
      <c r="BU23" s="377"/>
      <c r="BV23" s="293"/>
      <c r="BW23" s="293"/>
      <c r="BX23" s="293"/>
      <c r="BY23" s="293"/>
      <c r="BZ23" s="293"/>
      <c r="CA23" s="293"/>
      <c r="CB23" s="293"/>
      <c r="CC23" s="293"/>
      <c r="CD23" s="293"/>
      <c r="CE23" s="293"/>
    </row>
    <row r="24" ht="14.25" customHeight="1">
      <c r="A24" s="293"/>
      <c r="B24" s="293"/>
      <c r="C24" s="293"/>
      <c r="D24" s="293"/>
      <c r="E24" s="293"/>
      <c r="F24" s="381"/>
      <c r="G24" s="299"/>
      <c r="H24" s="381"/>
      <c r="I24" s="382"/>
      <c r="J24" s="293"/>
      <c r="K24" s="293"/>
      <c r="L24" s="293"/>
      <c r="M24" s="293"/>
      <c r="N24" s="293"/>
      <c r="O24" s="293"/>
      <c r="P24" s="293"/>
      <c r="Q24" s="293"/>
      <c r="R24" s="293"/>
      <c r="S24" s="293"/>
      <c r="T24" s="293"/>
      <c r="U24" s="293"/>
      <c r="V24" s="293"/>
      <c r="W24" s="293"/>
      <c r="X24" s="293"/>
      <c r="Y24" s="293"/>
      <c r="Z24" s="293"/>
      <c r="AA24" s="293"/>
      <c r="AB24" s="293"/>
      <c r="AC24" s="293"/>
      <c r="AD24" s="376"/>
      <c r="AE24" s="376"/>
      <c r="AF24" s="376"/>
      <c r="AG24" s="378"/>
      <c r="AH24" s="379"/>
      <c r="AI24" s="378"/>
      <c r="AJ24" s="380"/>
      <c r="AK24" s="377"/>
      <c r="AL24" s="293"/>
      <c r="AM24" s="293"/>
      <c r="AN24" s="293"/>
      <c r="AO24" s="293"/>
      <c r="AP24" s="293"/>
      <c r="AQ24" s="293"/>
      <c r="AR24" s="293"/>
      <c r="AS24" s="293"/>
      <c r="AT24" s="293"/>
      <c r="AU24" s="293"/>
      <c r="AV24" s="293"/>
      <c r="AW24" s="293"/>
      <c r="AX24" s="293"/>
      <c r="AY24" s="293"/>
      <c r="AZ24" s="293"/>
      <c r="BA24" s="293"/>
      <c r="BB24" s="293"/>
      <c r="BC24" s="293"/>
      <c r="BD24" s="293"/>
      <c r="BE24" s="293"/>
      <c r="BF24" s="293"/>
      <c r="BG24" s="293"/>
      <c r="BH24" s="293"/>
      <c r="BI24" s="293"/>
      <c r="BJ24" s="293"/>
      <c r="BK24" s="293"/>
      <c r="BL24" s="293"/>
      <c r="BM24" s="293"/>
      <c r="BN24" s="376" t="s">
        <v>168</v>
      </c>
      <c r="BO24" s="376" t="s">
        <v>186</v>
      </c>
      <c r="BP24" s="376" t="s">
        <v>169</v>
      </c>
      <c r="BQ24" s="378">
        <v>2054.0</v>
      </c>
      <c r="BR24" s="379">
        <v>0.9583333333333334</v>
      </c>
      <c r="BS24" s="378">
        <v>23.0</v>
      </c>
      <c r="BT24" s="380">
        <v>3945734.0</v>
      </c>
      <c r="BU24" s="377"/>
      <c r="BV24" s="293"/>
      <c r="BW24" s="293"/>
      <c r="BX24" s="293"/>
      <c r="BY24" s="293"/>
      <c r="BZ24" s="293"/>
      <c r="CA24" s="293"/>
      <c r="CB24" s="293"/>
      <c r="CC24" s="293"/>
      <c r="CD24" s="293"/>
      <c r="CE24" s="293"/>
    </row>
    <row r="25" ht="14.25" customHeight="1">
      <c r="A25" s="293"/>
      <c r="B25" s="293"/>
      <c r="C25" s="293"/>
      <c r="D25" s="293"/>
      <c r="E25" s="293"/>
      <c r="F25" s="381"/>
      <c r="G25" s="299"/>
      <c r="H25" s="381"/>
      <c r="I25" s="382"/>
      <c r="J25" s="293"/>
      <c r="K25" s="293"/>
      <c r="L25" s="293"/>
      <c r="M25" s="293"/>
      <c r="N25" s="293"/>
      <c r="O25" s="293"/>
      <c r="P25" s="293"/>
      <c r="Q25" s="293"/>
      <c r="R25" s="293"/>
      <c r="S25" s="293"/>
      <c r="T25" s="293"/>
      <c r="U25" s="293"/>
      <c r="V25" s="293"/>
      <c r="W25" s="293"/>
      <c r="X25" s="293"/>
      <c r="Y25" s="293"/>
      <c r="Z25" s="293"/>
      <c r="AA25" s="293"/>
      <c r="AB25" s="293"/>
      <c r="AC25" s="293"/>
      <c r="AD25" s="376"/>
      <c r="AE25" s="376"/>
      <c r="AF25" s="376"/>
      <c r="AG25" s="378"/>
      <c r="AH25" s="379"/>
      <c r="AI25" s="378"/>
      <c r="AJ25" s="380"/>
      <c r="AK25" s="377"/>
      <c r="AL25" s="293"/>
      <c r="AM25" s="293"/>
      <c r="AN25" s="293"/>
      <c r="AO25" s="293"/>
      <c r="AP25" s="293"/>
      <c r="AQ25" s="293"/>
      <c r="AR25" s="293"/>
      <c r="AS25" s="293"/>
      <c r="AT25" s="293"/>
      <c r="AU25" s="293"/>
      <c r="AV25" s="293"/>
      <c r="AW25" s="293"/>
      <c r="AX25" s="293"/>
      <c r="AY25" s="293"/>
      <c r="AZ25" s="293"/>
      <c r="BA25" s="293"/>
      <c r="BB25" s="293"/>
      <c r="BC25" s="293"/>
      <c r="BD25" s="293"/>
      <c r="BE25" s="293"/>
      <c r="BF25" s="293"/>
      <c r="BG25" s="293"/>
      <c r="BH25" s="293"/>
      <c r="BI25" s="293"/>
      <c r="BJ25" s="293"/>
      <c r="BK25" s="293"/>
      <c r="BL25" s="293"/>
      <c r="BM25" s="293"/>
      <c r="BN25" s="376" t="s">
        <v>170</v>
      </c>
      <c r="BO25" s="376" t="s">
        <v>187</v>
      </c>
      <c r="BP25" s="376" t="s">
        <v>165</v>
      </c>
      <c r="BQ25" s="378">
        <v>131.0</v>
      </c>
      <c r="BR25" s="379">
        <v>0.08333333333333333</v>
      </c>
      <c r="BS25" s="378">
        <v>2.0</v>
      </c>
      <c r="BT25" s="380">
        <v>251651.0</v>
      </c>
      <c r="BU25" s="377"/>
      <c r="BV25" s="293"/>
      <c r="BW25" s="293"/>
      <c r="BX25" s="293"/>
      <c r="BY25" s="293"/>
      <c r="BZ25" s="293"/>
      <c r="CA25" s="293"/>
      <c r="CB25" s="293"/>
      <c r="CC25" s="293"/>
      <c r="CD25" s="293"/>
      <c r="CE25" s="293"/>
    </row>
    <row r="26" ht="14.25" customHeight="1">
      <c r="A26" s="293"/>
      <c r="B26" s="293"/>
      <c r="C26" s="293"/>
      <c r="D26" s="293"/>
      <c r="E26" s="293"/>
      <c r="F26" s="381"/>
      <c r="G26" s="299"/>
      <c r="H26" s="381"/>
      <c r="I26" s="382"/>
      <c r="J26" s="293"/>
      <c r="K26" s="293"/>
      <c r="L26" s="293"/>
      <c r="M26" s="293"/>
      <c r="N26" s="293"/>
      <c r="O26" s="293"/>
      <c r="P26" s="293"/>
      <c r="Q26" s="293"/>
      <c r="R26" s="293"/>
      <c r="S26" s="293"/>
      <c r="T26" s="293"/>
      <c r="U26" s="293"/>
      <c r="V26" s="293"/>
      <c r="W26" s="293"/>
      <c r="X26" s="293"/>
      <c r="Y26" s="293"/>
      <c r="Z26" s="293"/>
      <c r="AA26" s="293"/>
      <c r="AB26" s="293"/>
      <c r="AC26" s="293"/>
      <c r="AD26" s="376"/>
      <c r="AE26" s="376"/>
      <c r="AF26" s="376"/>
      <c r="AG26" s="378"/>
      <c r="AH26" s="379"/>
      <c r="AI26" s="378"/>
      <c r="AJ26" s="380"/>
      <c r="AK26" s="377"/>
      <c r="AL26" s="293"/>
      <c r="AM26" s="293"/>
      <c r="AN26" s="293"/>
      <c r="AO26" s="293"/>
      <c r="AP26" s="293"/>
      <c r="AQ26" s="293"/>
      <c r="AR26" s="293"/>
      <c r="AS26" s="293"/>
      <c r="AT26" s="293"/>
      <c r="AU26" s="293"/>
      <c r="AV26" s="293"/>
      <c r="AW26" s="293"/>
      <c r="AX26" s="293"/>
      <c r="AY26" s="293"/>
      <c r="AZ26" s="293"/>
      <c r="BA26" s="293"/>
      <c r="BB26" s="293"/>
      <c r="BC26" s="293"/>
      <c r="BD26" s="293"/>
      <c r="BE26" s="293"/>
      <c r="BF26" s="293"/>
      <c r="BG26" s="293"/>
      <c r="BH26" s="293"/>
      <c r="BI26" s="293"/>
      <c r="BJ26" s="293"/>
      <c r="BK26" s="293"/>
      <c r="BL26" s="293"/>
      <c r="BM26" s="293"/>
      <c r="BN26" s="376" t="s">
        <v>171</v>
      </c>
      <c r="BO26" s="376" t="s">
        <v>189</v>
      </c>
      <c r="BP26" s="376" t="s">
        <v>167</v>
      </c>
      <c r="BQ26" s="378">
        <v>130.0</v>
      </c>
      <c r="BR26" s="379">
        <v>0.08333333333333333</v>
      </c>
      <c r="BS26" s="378">
        <v>2.0</v>
      </c>
      <c r="BT26" s="380">
        <v>249730.0</v>
      </c>
      <c r="BU26" s="377"/>
      <c r="BV26" s="293"/>
      <c r="BW26" s="293"/>
      <c r="BX26" s="293"/>
      <c r="BY26" s="293"/>
      <c r="BZ26" s="293"/>
      <c r="CA26" s="293"/>
      <c r="CB26" s="293"/>
      <c r="CC26" s="293"/>
      <c r="CD26" s="293"/>
      <c r="CE26" s="293"/>
    </row>
    <row r="27" ht="14.25" customHeight="1">
      <c r="A27" s="293"/>
      <c r="B27" s="293"/>
      <c r="C27" s="293"/>
      <c r="D27" s="293"/>
      <c r="E27" s="293"/>
      <c r="F27" s="381"/>
      <c r="G27" s="299"/>
      <c r="H27" s="381"/>
      <c r="I27" s="382"/>
      <c r="J27" s="293"/>
      <c r="K27" s="293"/>
      <c r="L27" s="293"/>
      <c r="M27" s="293"/>
      <c r="N27" s="293"/>
      <c r="O27" s="293"/>
      <c r="P27" s="293"/>
      <c r="Q27" s="293"/>
      <c r="R27" s="293"/>
      <c r="S27" s="293"/>
      <c r="T27" s="293"/>
      <c r="U27" s="293"/>
      <c r="V27" s="293"/>
      <c r="W27" s="293"/>
      <c r="X27" s="293"/>
      <c r="Y27" s="293"/>
      <c r="Z27" s="293"/>
      <c r="AA27" s="293"/>
      <c r="AB27" s="293"/>
      <c r="AC27" s="293"/>
      <c r="AD27" s="376"/>
      <c r="AE27" s="376"/>
      <c r="AF27" s="376"/>
      <c r="AG27" s="378"/>
      <c r="AH27" s="379"/>
      <c r="AI27" s="378"/>
      <c r="AJ27" s="380"/>
      <c r="AK27" s="377"/>
      <c r="AL27" s="293"/>
      <c r="AM27" s="293"/>
      <c r="AN27" s="293"/>
      <c r="AO27" s="293"/>
      <c r="AP27" s="293"/>
      <c r="AQ27" s="293"/>
      <c r="AR27" s="293"/>
      <c r="AS27" s="293"/>
      <c r="AT27" s="293"/>
      <c r="AU27" s="293"/>
      <c r="AV27" s="293"/>
      <c r="AW27" s="293"/>
      <c r="AX27" s="293"/>
      <c r="AY27" s="293"/>
      <c r="AZ27" s="293"/>
      <c r="BA27" s="293"/>
      <c r="BB27" s="293"/>
      <c r="BC27" s="293"/>
      <c r="BD27" s="293"/>
      <c r="BE27" s="293"/>
      <c r="BF27" s="293"/>
      <c r="BG27" s="293"/>
      <c r="BH27" s="293"/>
      <c r="BI27" s="293"/>
      <c r="BJ27" s="293"/>
      <c r="BK27" s="293"/>
      <c r="BL27" s="293"/>
      <c r="BM27" s="293"/>
      <c r="BN27" s="376" t="s">
        <v>172</v>
      </c>
      <c r="BO27" s="376" t="s">
        <v>191</v>
      </c>
      <c r="BP27" s="376" t="s">
        <v>173</v>
      </c>
      <c r="BQ27" s="378">
        <v>148.0</v>
      </c>
      <c r="BR27" s="379">
        <v>0.10416666666666667</v>
      </c>
      <c r="BS27" s="378">
        <v>2.5</v>
      </c>
      <c r="BT27" s="380">
        <v>284308.0</v>
      </c>
      <c r="BU27" s="377"/>
      <c r="BV27" s="293"/>
      <c r="BW27" s="293"/>
      <c r="BX27" s="293"/>
      <c r="BY27" s="293"/>
      <c r="BZ27" s="293"/>
      <c r="CA27" s="293"/>
      <c r="CB27" s="293"/>
      <c r="CC27" s="293"/>
      <c r="CD27" s="293"/>
      <c r="CE27" s="293"/>
    </row>
    <row r="28" ht="14.25" customHeight="1">
      <c r="A28" s="293"/>
      <c r="B28" s="293"/>
      <c r="C28" s="293"/>
      <c r="D28" s="293"/>
      <c r="E28" s="293"/>
      <c r="F28" s="381"/>
      <c r="G28" s="299"/>
      <c r="H28" s="381"/>
      <c r="I28" s="382"/>
      <c r="J28" s="293"/>
      <c r="K28" s="293"/>
      <c r="L28" s="293"/>
      <c r="M28" s="293"/>
      <c r="N28" s="293"/>
      <c r="O28" s="293"/>
      <c r="P28" s="293"/>
      <c r="Q28" s="293"/>
      <c r="R28" s="293"/>
      <c r="S28" s="293"/>
      <c r="T28" s="293"/>
      <c r="U28" s="293"/>
      <c r="V28" s="293"/>
      <c r="W28" s="293"/>
      <c r="X28" s="293"/>
      <c r="Y28" s="293"/>
      <c r="Z28" s="293"/>
      <c r="AA28" s="293"/>
      <c r="AB28" s="293"/>
      <c r="AC28" s="293"/>
      <c r="AD28" s="376"/>
      <c r="AE28" s="376"/>
      <c r="AF28" s="376"/>
      <c r="AG28" s="378"/>
      <c r="AH28" s="379"/>
      <c r="AI28" s="378"/>
      <c r="AJ28" s="380"/>
      <c r="AK28" s="377"/>
      <c r="AL28" s="293"/>
      <c r="AM28" s="293"/>
      <c r="AN28" s="293"/>
      <c r="AO28" s="293"/>
      <c r="AP28" s="293"/>
      <c r="AQ28" s="293"/>
      <c r="AR28" s="293"/>
      <c r="AS28" s="293"/>
      <c r="AT28" s="293"/>
      <c r="AU28" s="293"/>
      <c r="AV28" s="293"/>
      <c r="AW28" s="293"/>
      <c r="AX28" s="293"/>
      <c r="AY28" s="293"/>
      <c r="AZ28" s="293"/>
      <c r="BA28" s="293"/>
      <c r="BB28" s="293"/>
      <c r="BC28" s="293"/>
      <c r="BD28" s="293"/>
      <c r="BE28" s="293"/>
      <c r="BF28" s="293"/>
      <c r="BG28" s="293"/>
      <c r="BH28" s="293"/>
      <c r="BI28" s="293"/>
      <c r="BJ28" s="293"/>
      <c r="BK28" s="293"/>
      <c r="BL28" s="293"/>
      <c r="BM28" s="293"/>
      <c r="BN28" s="376" t="s">
        <v>174</v>
      </c>
      <c r="BO28" s="376" t="s">
        <v>189</v>
      </c>
      <c r="BP28" s="376" t="s">
        <v>167</v>
      </c>
      <c r="BQ28" s="378">
        <v>130.0</v>
      </c>
      <c r="BR28" s="379">
        <v>0.08333333333333333</v>
      </c>
      <c r="BS28" s="378">
        <v>2.0</v>
      </c>
      <c r="BT28" s="380">
        <v>249730.0</v>
      </c>
      <c r="BU28" s="377"/>
      <c r="BV28" s="293"/>
      <c r="BW28" s="293"/>
      <c r="BX28" s="293"/>
      <c r="BY28" s="293"/>
      <c r="BZ28" s="293"/>
      <c r="CA28" s="293"/>
      <c r="CB28" s="293"/>
      <c r="CC28" s="293"/>
      <c r="CD28" s="293"/>
      <c r="CE28" s="293"/>
    </row>
    <row r="29" ht="14.25" customHeight="1">
      <c r="A29" s="293"/>
      <c r="B29" s="293"/>
      <c r="C29" s="293"/>
      <c r="D29" s="293"/>
      <c r="E29" s="293"/>
      <c r="F29" s="381"/>
      <c r="G29" s="299"/>
      <c r="H29" s="381"/>
      <c r="I29" s="382"/>
      <c r="J29" s="293"/>
      <c r="K29" s="293"/>
      <c r="L29" s="293"/>
      <c r="M29" s="293"/>
      <c r="N29" s="293"/>
      <c r="O29" s="293"/>
      <c r="P29" s="293"/>
      <c r="Q29" s="293"/>
      <c r="R29" s="293"/>
      <c r="S29" s="293"/>
      <c r="T29" s="293"/>
      <c r="U29" s="293"/>
      <c r="V29" s="293"/>
      <c r="W29" s="293"/>
      <c r="X29" s="293"/>
      <c r="Y29" s="293"/>
      <c r="Z29" s="293"/>
      <c r="AA29" s="293"/>
      <c r="AB29" s="293"/>
      <c r="AC29" s="293"/>
      <c r="AD29" s="376"/>
      <c r="AE29" s="376"/>
      <c r="AF29" s="376"/>
      <c r="AG29" s="378"/>
      <c r="AH29" s="379"/>
      <c r="AI29" s="378"/>
      <c r="AJ29" s="380"/>
      <c r="AK29" s="377"/>
      <c r="AL29" s="293"/>
      <c r="AM29" s="293"/>
      <c r="AN29" s="293"/>
      <c r="AO29" s="293"/>
      <c r="AP29" s="293"/>
      <c r="AQ29" s="293"/>
      <c r="AR29" s="293"/>
      <c r="AS29" s="293"/>
      <c r="AT29" s="293"/>
      <c r="AU29" s="293"/>
      <c r="AV29" s="293"/>
      <c r="AW29" s="293"/>
      <c r="AX29" s="293"/>
      <c r="AY29" s="293"/>
      <c r="AZ29" s="293"/>
      <c r="BA29" s="293"/>
      <c r="BB29" s="293"/>
      <c r="BC29" s="293"/>
      <c r="BD29" s="293"/>
      <c r="BE29" s="293"/>
      <c r="BF29" s="293"/>
      <c r="BG29" s="293"/>
      <c r="BH29" s="293"/>
      <c r="BI29" s="293"/>
      <c r="BJ29" s="293"/>
      <c r="BK29" s="293"/>
      <c r="BL29" s="293"/>
      <c r="BM29" s="293"/>
      <c r="BN29" s="376" t="s">
        <v>175</v>
      </c>
      <c r="BO29" s="376" t="s">
        <v>187</v>
      </c>
      <c r="BP29" s="376" t="s">
        <v>165</v>
      </c>
      <c r="BQ29" s="378">
        <v>131.0</v>
      </c>
      <c r="BR29" s="379">
        <v>0.08333333333333333</v>
      </c>
      <c r="BS29" s="378">
        <v>2.0</v>
      </c>
      <c r="BT29" s="380">
        <v>251651.0</v>
      </c>
      <c r="BU29" s="377"/>
      <c r="BV29" s="293"/>
      <c r="BW29" s="293"/>
      <c r="BX29" s="293"/>
      <c r="BY29" s="293"/>
      <c r="BZ29" s="293"/>
      <c r="CA29" s="293"/>
      <c r="CB29" s="293"/>
      <c r="CC29" s="293"/>
      <c r="CD29" s="293"/>
      <c r="CE29" s="293"/>
    </row>
    <row r="30" ht="14.25" customHeight="1">
      <c r="A30" s="293"/>
      <c r="B30" s="293"/>
      <c r="C30" s="293"/>
      <c r="D30" s="293"/>
      <c r="E30" s="293"/>
      <c r="F30" s="381"/>
      <c r="G30" s="299"/>
      <c r="H30" s="381"/>
      <c r="I30" s="382"/>
      <c r="J30" s="293"/>
      <c r="K30" s="293"/>
      <c r="L30" s="293"/>
      <c r="M30" s="293"/>
      <c r="N30" s="293"/>
      <c r="O30" s="293"/>
      <c r="P30" s="293"/>
      <c r="Q30" s="293"/>
      <c r="R30" s="293"/>
      <c r="S30" s="293"/>
      <c r="T30" s="293"/>
      <c r="U30" s="293"/>
      <c r="V30" s="293"/>
      <c r="W30" s="293"/>
      <c r="X30" s="293"/>
      <c r="Y30" s="293"/>
      <c r="Z30" s="293"/>
      <c r="AA30" s="293"/>
      <c r="AB30" s="293"/>
      <c r="AC30" s="293"/>
      <c r="AD30" s="376"/>
      <c r="AE30" s="376"/>
      <c r="AF30" s="376"/>
      <c r="AG30" s="378"/>
      <c r="AH30" s="379"/>
      <c r="AI30" s="378"/>
      <c r="AJ30" s="380"/>
      <c r="AK30" s="377"/>
      <c r="AL30" s="293"/>
      <c r="AM30" s="293"/>
      <c r="AN30" s="293"/>
      <c r="AO30" s="293"/>
      <c r="AP30" s="293"/>
      <c r="AQ30" s="293"/>
      <c r="AR30" s="293"/>
      <c r="AS30" s="293"/>
      <c r="AT30" s="293"/>
      <c r="AU30" s="293"/>
      <c r="AV30" s="293"/>
      <c r="AW30" s="293"/>
      <c r="AX30" s="293"/>
      <c r="AY30" s="293"/>
      <c r="AZ30" s="293"/>
      <c r="BA30" s="293"/>
      <c r="BB30" s="293"/>
      <c r="BC30" s="293"/>
      <c r="BD30" s="293"/>
      <c r="BE30" s="293"/>
      <c r="BF30" s="293"/>
      <c r="BG30" s="293"/>
      <c r="BH30" s="293"/>
      <c r="BI30" s="293"/>
      <c r="BJ30" s="293"/>
      <c r="BK30" s="293"/>
      <c r="BL30" s="293"/>
      <c r="BM30" s="293"/>
      <c r="BN30" s="376" t="s">
        <v>176</v>
      </c>
      <c r="BO30" s="376" t="s">
        <v>190</v>
      </c>
      <c r="BP30" s="376" t="s">
        <v>177</v>
      </c>
      <c r="BQ30" s="378">
        <v>2226.0</v>
      </c>
      <c r="BR30" s="379">
        <v>1.0833333333333333</v>
      </c>
      <c r="BS30" s="378">
        <v>26.0</v>
      </c>
      <c r="BT30" s="380">
        <v>4276146.0</v>
      </c>
      <c r="BU30" s="377"/>
      <c r="BV30" s="293"/>
      <c r="BW30" s="293"/>
      <c r="BX30" s="293"/>
      <c r="BY30" s="293"/>
      <c r="BZ30" s="293"/>
      <c r="CA30" s="293"/>
      <c r="CB30" s="293"/>
      <c r="CC30" s="293"/>
      <c r="CD30" s="293"/>
      <c r="CE30" s="293"/>
    </row>
    <row r="31" ht="14.25" customHeight="1">
      <c r="A31" s="293"/>
      <c r="B31" s="293"/>
      <c r="C31" s="293"/>
      <c r="D31" s="293"/>
      <c r="E31" s="293"/>
      <c r="F31" s="381"/>
      <c r="G31" s="299"/>
      <c r="H31" s="381"/>
      <c r="I31" s="382"/>
      <c r="J31" s="293"/>
      <c r="K31" s="293"/>
      <c r="L31" s="293"/>
      <c r="M31" s="293"/>
      <c r="N31" s="293"/>
      <c r="O31" s="293"/>
      <c r="P31" s="293"/>
      <c r="Q31" s="293"/>
      <c r="R31" s="293"/>
      <c r="S31" s="293"/>
      <c r="T31" s="293"/>
      <c r="U31" s="293"/>
      <c r="V31" s="293"/>
      <c r="W31" s="293"/>
      <c r="X31" s="293"/>
      <c r="Y31" s="293"/>
      <c r="Z31" s="293"/>
      <c r="AA31" s="293"/>
      <c r="AB31" s="293"/>
      <c r="AC31" s="293"/>
      <c r="AD31" s="377"/>
      <c r="AE31" s="377"/>
      <c r="AF31" s="377"/>
      <c r="AG31" s="377"/>
      <c r="AH31" s="377"/>
      <c r="AI31" s="377"/>
      <c r="AJ31" s="377"/>
      <c r="AK31" s="377"/>
      <c r="AL31" s="293"/>
      <c r="AM31" s="293"/>
      <c r="AN31" s="293"/>
      <c r="AO31" s="293"/>
      <c r="AP31" s="293"/>
      <c r="AQ31" s="293"/>
      <c r="AR31" s="293"/>
      <c r="AS31" s="293"/>
      <c r="AT31" s="293"/>
      <c r="AU31" s="293"/>
      <c r="AV31" s="293"/>
      <c r="AW31" s="293"/>
      <c r="AX31" s="293"/>
      <c r="AY31" s="293"/>
      <c r="AZ31" s="293"/>
      <c r="BA31" s="293"/>
      <c r="BB31" s="293"/>
      <c r="BC31" s="293"/>
      <c r="BD31" s="293"/>
      <c r="BE31" s="293"/>
      <c r="BF31" s="293"/>
      <c r="BG31" s="293"/>
      <c r="BH31" s="293"/>
      <c r="BI31" s="293"/>
      <c r="BJ31" s="293"/>
      <c r="BK31" s="293"/>
      <c r="BL31" s="293"/>
      <c r="BM31" s="293"/>
      <c r="BN31" s="377"/>
      <c r="BO31" s="377"/>
      <c r="BP31" s="377"/>
      <c r="BQ31" s="377"/>
      <c r="BR31" s="377"/>
      <c r="BS31" s="377"/>
      <c r="BT31" s="377"/>
      <c r="BU31" s="377"/>
      <c r="BV31" s="293"/>
      <c r="BW31" s="293"/>
      <c r="BX31" s="293"/>
      <c r="BY31" s="293"/>
      <c r="BZ31" s="293"/>
      <c r="CA31" s="293"/>
      <c r="CB31" s="293"/>
      <c r="CC31" s="293"/>
      <c r="CD31" s="293"/>
      <c r="CE31" s="293"/>
    </row>
    <row r="32" ht="14.25" customHeight="1">
      <c r="A32" s="293"/>
      <c r="B32" s="293"/>
      <c r="C32" s="293"/>
      <c r="D32" s="293"/>
      <c r="E32" s="293"/>
      <c r="F32" s="381"/>
      <c r="G32" s="299"/>
      <c r="H32" s="381"/>
      <c r="I32" s="382"/>
      <c r="J32" s="293"/>
      <c r="K32" s="293"/>
      <c r="L32" s="293"/>
      <c r="M32" s="293"/>
      <c r="N32" s="293"/>
      <c r="O32" s="293"/>
      <c r="P32" s="293"/>
      <c r="Q32" s="293"/>
      <c r="R32" s="293"/>
      <c r="S32" s="293"/>
      <c r="T32" s="293"/>
      <c r="U32" s="293"/>
      <c r="V32" s="293"/>
      <c r="W32" s="293"/>
      <c r="X32" s="293"/>
      <c r="Y32" s="293"/>
      <c r="Z32" s="293"/>
      <c r="AA32" s="293"/>
      <c r="AB32" s="293"/>
      <c r="AC32" s="293"/>
      <c r="AD32" s="376"/>
      <c r="AE32" s="383"/>
      <c r="AF32" s="377"/>
      <c r="AG32" s="377"/>
      <c r="AH32" s="377"/>
      <c r="AI32" s="377"/>
      <c r="AJ32" s="377"/>
      <c r="AK32" s="377"/>
      <c r="AL32" s="293"/>
      <c r="AM32" s="293"/>
      <c r="AN32" s="293"/>
      <c r="AO32" s="293"/>
      <c r="AP32" s="293"/>
      <c r="AQ32" s="293"/>
      <c r="AR32" s="293"/>
      <c r="AS32" s="293"/>
      <c r="AT32" s="293"/>
      <c r="AU32" s="293"/>
      <c r="AV32" s="293"/>
      <c r="AW32" s="293"/>
      <c r="AX32" s="293"/>
      <c r="AY32" s="293"/>
      <c r="AZ32" s="293"/>
      <c r="BA32" s="293"/>
      <c r="BB32" s="293"/>
      <c r="BC32" s="293"/>
      <c r="BD32" s="293"/>
      <c r="BE32" s="293"/>
      <c r="BF32" s="293"/>
      <c r="BG32" s="293"/>
      <c r="BH32" s="293"/>
      <c r="BI32" s="293"/>
      <c r="BJ32" s="293"/>
      <c r="BK32" s="293"/>
      <c r="BL32" s="293"/>
      <c r="BM32" s="293"/>
      <c r="BN32" s="376" t="s">
        <v>178</v>
      </c>
      <c r="BO32" s="383">
        <v>1994.0</v>
      </c>
      <c r="BP32" s="377"/>
      <c r="BQ32" s="377"/>
      <c r="BR32" s="377"/>
      <c r="BS32" s="377"/>
      <c r="BT32" s="377"/>
      <c r="BU32" s="377"/>
      <c r="BV32" s="293"/>
      <c r="BW32" s="293"/>
      <c r="BX32" s="293"/>
      <c r="BY32" s="293"/>
      <c r="BZ32" s="293"/>
      <c r="CA32" s="293"/>
      <c r="CB32" s="293"/>
      <c r="CC32" s="293"/>
      <c r="CD32" s="293"/>
      <c r="CE32" s="293"/>
    </row>
    <row r="33" ht="14.25" customHeight="1">
      <c r="A33" s="293"/>
      <c r="B33" s="293"/>
      <c r="C33" s="293"/>
      <c r="D33" s="293"/>
      <c r="E33" s="293"/>
      <c r="F33" s="293"/>
      <c r="G33" s="293"/>
      <c r="H33" s="293"/>
      <c r="I33" s="293"/>
      <c r="J33" s="293"/>
      <c r="K33" s="293"/>
      <c r="L33" s="293"/>
      <c r="M33" s="293"/>
      <c r="N33" s="293"/>
      <c r="O33" s="293"/>
      <c r="P33" s="293"/>
      <c r="Q33" s="293"/>
      <c r="R33" s="293"/>
      <c r="S33" s="293"/>
      <c r="T33" s="293"/>
      <c r="U33" s="293"/>
      <c r="V33" s="293"/>
      <c r="W33" s="293"/>
      <c r="X33" s="293"/>
      <c r="Y33" s="293"/>
      <c r="Z33" s="293"/>
      <c r="AA33" s="293"/>
      <c r="AB33" s="293"/>
      <c r="AC33" s="293"/>
      <c r="AD33" s="376"/>
      <c r="AE33" s="383"/>
      <c r="AF33" s="377"/>
      <c r="AG33" s="377"/>
      <c r="AH33" s="377"/>
      <c r="AI33" s="377"/>
      <c r="AJ33" s="377"/>
      <c r="AK33" s="377"/>
      <c r="AL33" s="293"/>
      <c r="AM33" s="293"/>
      <c r="AN33" s="293"/>
      <c r="AO33" s="293"/>
      <c r="AP33" s="293"/>
      <c r="AQ33" s="293"/>
      <c r="AR33" s="293"/>
      <c r="AS33" s="293"/>
      <c r="AT33" s="293"/>
      <c r="AU33" s="293"/>
      <c r="AV33" s="293"/>
      <c r="AW33" s="293"/>
      <c r="AX33" s="293"/>
      <c r="AY33" s="293"/>
      <c r="AZ33" s="293"/>
      <c r="BA33" s="293"/>
      <c r="BB33" s="293"/>
      <c r="BC33" s="293"/>
      <c r="BD33" s="293"/>
      <c r="BE33" s="293"/>
      <c r="BF33" s="293"/>
      <c r="BG33" s="293"/>
      <c r="BH33" s="293"/>
      <c r="BI33" s="293"/>
      <c r="BJ33" s="293"/>
      <c r="BK33" s="293"/>
      <c r="BL33" s="293"/>
      <c r="BM33" s="293"/>
      <c r="BN33" s="376" t="s">
        <v>179</v>
      </c>
      <c r="BO33" s="383">
        <v>1921.0</v>
      </c>
      <c r="BP33" s="377"/>
      <c r="BQ33" s="377"/>
      <c r="BR33" s="377"/>
      <c r="BS33" s="377"/>
      <c r="BT33" s="377"/>
      <c r="BU33" s="377"/>
      <c r="BV33" s="293"/>
      <c r="BW33" s="293"/>
      <c r="BX33" s="293"/>
      <c r="BY33" s="293"/>
      <c r="BZ33" s="293"/>
      <c r="CA33" s="293"/>
      <c r="CB33" s="293"/>
      <c r="CC33" s="293"/>
      <c r="CD33" s="293"/>
      <c r="CE33" s="293"/>
    </row>
    <row r="34" ht="14.25" customHeight="1">
      <c r="A34" s="293"/>
      <c r="B34" s="293"/>
      <c r="C34" s="293"/>
      <c r="D34" s="384"/>
      <c r="E34" s="293"/>
      <c r="F34" s="293"/>
      <c r="G34" s="293"/>
      <c r="H34" s="293"/>
      <c r="I34" s="293"/>
      <c r="J34" s="293"/>
      <c r="K34" s="293"/>
      <c r="L34" s="293"/>
      <c r="M34" s="293"/>
      <c r="N34" s="293"/>
      <c r="O34" s="293"/>
      <c r="P34" s="293"/>
      <c r="Q34" s="293"/>
      <c r="R34" s="293"/>
      <c r="S34" s="293"/>
      <c r="T34" s="293"/>
      <c r="U34" s="293"/>
      <c r="V34" s="293"/>
      <c r="W34" s="293"/>
      <c r="X34" s="293"/>
      <c r="Y34" s="293"/>
      <c r="Z34" s="293"/>
      <c r="AA34" s="293"/>
      <c r="AB34" s="293"/>
      <c r="AC34" s="293"/>
      <c r="AD34" s="377"/>
      <c r="AE34" s="377"/>
      <c r="AF34" s="377"/>
      <c r="AG34" s="377"/>
      <c r="AH34" s="377"/>
      <c r="AI34" s="377"/>
      <c r="AJ34" s="377"/>
      <c r="AK34" s="377"/>
      <c r="AL34" s="293"/>
      <c r="AM34" s="293"/>
      <c r="AN34" s="293"/>
      <c r="AO34" s="293"/>
      <c r="AP34" s="293"/>
      <c r="AQ34" s="293"/>
      <c r="AR34" s="293"/>
      <c r="AS34" s="293"/>
      <c r="AT34" s="293"/>
      <c r="AU34" s="293"/>
      <c r="AV34" s="293"/>
      <c r="AW34" s="293"/>
      <c r="AX34" s="293"/>
      <c r="AY34" s="293"/>
      <c r="AZ34" s="293"/>
      <c r="BA34" s="293"/>
      <c r="BB34" s="293"/>
      <c r="BC34" s="293"/>
      <c r="BD34" s="293"/>
      <c r="BE34" s="293"/>
      <c r="BF34" s="293"/>
      <c r="BG34" s="293"/>
      <c r="BH34" s="293"/>
      <c r="BI34" s="293"/>
      <c r="BJ34" s="293"/>
      <c r="BK34" s="293"/>
      <c r="BL34" s="293"/>
      <c r="BM34" s="293"/>
      <c r="BN34" s="377"/>
      <c r="BO34" s="377"/>
      <c r="BP34" s="377"/>
      <c r="BQ34" s="377"/>
      <c r="BR34" s="377"/>
      <c r="BS34" s="377"/>
      <c r="BT34" s="377"/>
      <c r="BU34" s="377"/>
      <c r="BV34" s="293"/>
      <c r="BW34" s="293"/>
      <c r="BX34" s="293"/>
      <c r="BY34" s="293"/>
      <c r="BZ34" s="293"/>
      <c r="CA34" s="293"/>
      <c r="CB34" s="293"/>
      <c r="CC34" s="293"/>
      <c r="CD34" s="293"/>
      <c r="CE34" s="293"/>
    </row>
    <row r="35" ht="14.25" customHeight="1">
      <c r="A35" s="293"/>
      <c r="B35" s="293"/>
      <c r="C35" s="293"/>
      <c r="D35" s="293"/>
      <c r="E35" s="293"/>
      <c r="N35" s="293"/>
      <c r="O35" s="293"/>
      <c r="P35" s="293"/>
      <c r="Q35" s="293"/>
      <c r="R35" s="293"/>
      <c r="S35" s="293"/>
      <c r="T35" s="293"/>
      <c r="U35" s="293"/>
      <c r="V35" s="293"/>
      <c r="W35" s="293"/>
      <c r="X35" s="293"/>
      <c r="Y35" s="293"/>
      <c r="Z35" s="293"/>
      <c r="AA35" s="293"/>
      <c r="AB35" s="293"/>
      <c r="AC35" s="293"/>
      <c r="AD35" s="293"/>
      <c r="AE35" s="384"/>
      <c r="AF35" s="293"/>
      <c r="AG35" s="293"/>
      <c r="AH35" s="293"/>
      <c r="AI35" s="293"/>
      <c r="AJ35" s="293"/>
      <c r="AK35" s="293"/>
      <c r="AL35" s="293"/>
      <c r="AM35" s="293"/>
      <c r="AN35" s="293"/>
      <c r="AO35" s="293"/>
      <c r="AP35" s="293"/>
      <c r="AQ35" s="293"/>
      <c r="AR35" s="293"/>
      <c r="AS35" s="293"/>
      <c r="AT35" s="293"/>
      <c r="AU35" s="293"/>
      <c r="AV35" s="293"/>
      <c r="AW35" s="293"/>
      <c r="AX35" s="293"/>
      <c r="AY35" s="293"/>
      <c r="AZ35" s="293"/>
      <c r="BA35" s="293"/>
      <c r="BB35" s="293"/>
      <c r="BC35" s="293"/>
      <c r="BD35" s="293"/>
      <c r="BE35" s="293"/>
      <c r="BF35" s="293"/>
      <c r="BG35" s="293"/>
      <c r="BH35" s="293"/>
      <c r="BI35" s="293"/>
      <c r="BJ35" s="293"/>
      <c r="BK35" s="293"/>
      <c r="BL35" s="293"/>
      <c r="BM35" s="293"/>
      <c r="BN35" s="293"/>
      <c r="BO35" s="293"/>
      <c r="BP35" s="293"/>
      <c r="BQ35" s="293"/>
      <c r="BR35" s="293"/>
      <c r="BS35" s="293"/>
      <c r="BT35" s="293"/>
      <c r="BU35" s="293"/>
      <c r="BV35" s="293"/>
      <c r="BW35" s="293"/>
      <c r="BX35" s="293"/>
      <c r="BY35" s="293"/>
      <c r="BZ35" s="293"/>
      <c r="CA35" s="293"/>
      <c r="CB35" s="293"/>
      <c r="CC35" s="293"/>
      <c r="CD35" s="293"/>
      <c r="CE35" s="293"/>
      <c r="CF35" s="293"/>
      <c r="CG35" s="293"/>
      <c r="CH35" s="293"/>
      <c r="CI35" s="293"/>
      <c r="CJ35" s="293"/>
      <c r="CK35" s="293"/>
      <c r="CL35" s="293"/>
      <c r="CM35" s="293"/>
      <c r="CN35" s="293"/>
      <c r="CO35" s="293"/>
      <c r="CP35" s="293"/>
      <c r="CQ35" s="293"/>
      <c r="CR35" s="293"/>
      <c r="CS35" s="293"/>
      <c r="CT35" s="293"/>
      <c r="CU35" s="293"/>
      <c r="CV35" s="293"/>
      <c r="CW35" s="293"/>
      <c r="CX35" s="293"/>
      <c r="CY35" s="293"/>
      <c r="CZ35" s="293"/>
      <c r="DA35" s="293"/>
      <c r="DB35" s="293"/>
      <c r="DC35" s="293"/>
      <c r="DD35" s="293"/>
      <c r="DE35" s="293"/>
      <c r="DF35" s="293"/>
    </row>
    <row r="36" ht="14.25" customHeight="1">
      <c r="A36" s="293"/>
      <c r="B36" s="293"/>
      <c r="C36" s="293"/>
      <c r="D36" s="293"/>
      <c r="E36" s="293"/>
      <c r="N36" s="293"/>
      <c r="O36" s="293"/>
      <c r="P36" s="293"/>
      <c r="Q36" s="293"/>
      <c r="R36" s="293"/>
      <c r="S36" s="293"/>
      <c r="T36" s="293"/>
      <c r="U36" s="293"/>
      <c r="V36" s="293"/>
      <c r="W36" s="293"/>
      <c r="X36" s="293"/>
      <c r="Y36" s="293"/>
      <c r="Z36" s="293"/>
      <c r="AA36" s="293"/>
      <c r="AB36" s="293"/>
      <c r="AC36" s="293"/>
      <c r="AD36" s="293"/>
      <c r="AE36" s="293"/>
      <c r="AF36" s="293"/>
      <c r="AG36" s="293"/>
      <c r="AH36" s="293"/>
      <c r="AI36" s="293"/>
      <c r="AJ36" s="293"/>
      <c r="AK36" s="293"/>
      <c r="AL36" s="293"/>
      <c r="AM36" s="293"/>
      <c r="AN36" s="293"/>
      <c r="AO36" s="293"/>
      <c r="AP36" s="293"/>
      <c r="AQ36" s="293"/>
      <c r="AR36" s="293"/>
      <c r="AS36" s="293"/>
      <c r="AT36" s="293"/>
      <c r="AU36" s="293"/>
      <c r="AV36" s="293"/>
      <c r="AW36" s="293"/>
      <c r="AX36" s="293"/>
      <c r="AY36" s="293"/>
      <c r="AZ36" s="293"/>
      <c r="BA36" s="293"/>
      <c r="BB36" s="293"/>
      <c r="BC36" s="293"/>
      <c r="BD36" s="293"/>
      <c r="BE36" s="293"/>
      <c r="BF36" s="293"/>
      <c r="BG36" s="293"/>
      <c r="BH36" s="293"/>
      <c r="BI36" s="293"/>
      <c r="BJ36" s="293"/>
      <c r="BK36" s="293"/>
      <c r="BL36" s="293"/>
      <c r="BM36" s="293"/>
      <c r="BN36" s="293"/>
      <c r="BO36" s="293"/>
      <c r="BP36" s="293"/>
      <c r="BQ36" s="293"/>
      <c r="BR36" s="293"/>
      <c r="BS36" s="293"/>
      <c r="BT36" s="293"/>
      <c r="BU36" s="293"/>
      <c r="BV36" s="293"/>
      <c r="BW36" s="293"/>
      <c r="BX36" s="293"/>
      <c r="BY36" s="293"/>
      <c r="BZ36" s="293"/>
      <c r="CA36" s="293"/>
      <c r="CB36" s="293"/>
      <c r="CC36" s="293"/>
      <c r="CD36" s="293"/>
      <c r="CE36" s="293"/>
      <c r="CF36" s="293"/>
      <c r="CG36" s="293"/>
      <c r="CH36" s="293"/>
      <c r="CI36" s="293"/>
      <c r="CJ36" s="293"/>
      <c r="CK36" s="293"/>
      <c r="CL36" s="293"/>
      <c r="CM36" s="293"/>
      <c r="CN36" s="293"/>
      <c r="CO36" s="293"/>
      <c r="CP36" s="293"/>
      <c r="CQ36" s="293"/>
      <c r="CR36" s="293"/>
      <c r="CS36" s="293"/>
      <c r="CT36" s="293"/>
      <c r="CU36" s="293"/>
      <c r="CV36" s="293"/>
      <c r="CW36" s="293"/>
      <c r="CX36" s="293"/>
      <c r="CY36" s="293"/>
      <c r="CZ36" s="293"/>
      <c r="DA36" s="293"/>
      <c r="DB36" s="293"/>
      <c r="DC36" s="293"/>
      <c r="DD36" s="293"/>
      <c r="DE36" s="293"/>
      <c r="DF36" s="293"/>
    </row>
    <row r="37" ht="14.25" customHeight="1">
      <c r="A37" s="293"/>
      <c r="B37" s="293"/>
      <c r="C37" s="293"/>
      <c r="D37" s="293"/>
      <c r="E37" s="293"/>
      <c r="N37" s="293"/>
      <c r="O37" s="293"/>
      <c r="P37" s="293"/>
      <c r="Q37" s="293"/>
      <c r="R37" s="293"/>
      <c r="S37" s="293"/>
      <c r="T37" s="293"/>
      <c r="U37" s="293"/>
      <c r="V37" s="293"/>
      <c r="W37" s="293"/>
      <c r="X37" s="293"/>
      <c r="Y37" s="293"/>
      <c r="Z37" s="293"/>
      <c r="AA37" s="293"/>
      <c r="AB37" s="293"/>
      <c r="AC37" s="293"/>
      <c r="AD37" s="293"/>
      <c r="AE37" s="293"/>
      <c r="AF37" s="293"/>
      <c r="AG37" s="293"/>
      <c r="AH37" s="293"/>
      <c r="AI37" s="293"/>
      <c r="AJ37" s="293"/>
      <c r="AK37" s="293"/>
      <c r="AL37" s="293"/>
      <c r="AM37" s="293"/>
      <c r="AN37" s="293"/>
      <c r="AO37" s="293"/>
      <c r="AP37" s="293"/>
      <c r="AQ37" s="293"/>
      <c r="AR37" s="293"/>
      <c r="AS37" s="293"/>
      <c r="AT37" s="293"/>
      <c r="AU37" s="293"/>
      <c r="AV37" s="293"/>
      <c r="AW37" s="293"/>
      <c r="AX37" s="293"/>
      <c r="AY37" s="293"/>
      <c r="AZ37" s="293"/>
      <c r="BA37" s="293"/>
      <c r="BB37" s="293"/>
      <c r="BC37" s="293"/>
      <c r="BD37" s="293"/>
      <c r="BE37" s="293"/>
      <c r="BF37" s="293"/>
      <c r="BG37" s="293"/>
      <c r="BH37" s="293"/>
      <c r="BI37" s="293"/>
      <c r="BJ37" s="293"/>
      <c r="BK37" s="293"/>
      <c r="BL37" s="293"/>
      <c r="BM37" s="293"/>
      <c r="BN37" s="293"/>
      <c r="BO37" s="293"/>
      <c r="BP37" s="293"/>
      <c r="BQ37" s="293"/>
      <c r="BR37" s="293"/>
      <c r="BS37" s="293"/>
      <c r="BT37" s="293"/>
      <c r="BU37" s="293"/>
      <c r="BV37" s="293"/>
      <c r="BW37" s="293"/>
      <c r="BX37" s="293"/>
      <c r="BY37" s="293"/>
      <c r="BZ37" s="293"/>
      <c r="CA37" s="293"/>
      <c r="CB37" s="293"/>
      <c r="CC37" s="293"/>
      <c r="CD37" s="293"/>
      <c r="CE37" s="293"/>
      <c r="CF37" s="293"/>
      <c r="CG37" s="293"/>
      <c r="CH37" s="293"/>
      <c r="CI37" s="293"/>
      <c r="CJ37" s="293"/>
      <c r="CK37" s="293"/>
      <c r="CL37" s="293"/>
      <c r="CM37" s="293"/>
      <c r="CN37" s="293"/>
      <c r="CO37" s="293"/>
      <c r="CP37" s="293"/>
      <c r="CQ37" s="293"/>
      <c r="CR37" s="293"/>
      <c r="CS37" s="293"/>
      <c r="CT37" s="293"/>
      <c r="CU37" s="293"/>
      <c r="CV37" s="293"/>
      <c r="CW37" s="293"/>
      <c r="CX37" s="293"/>
      <c r="CY37" s="293"/>
      <c r="CZ37" s="293"/>
      <c r="DA37" s="293"/>
      <c r="DB37" s="293"/>
      <c r="DC37" s="293"/>
      <c r="DD37" s="293"/>
      <c r="DE37" s="293"/>
      <c r="DF37" s="293"/>
    </row>
    <row r="38" ht="14.25" customHeight="1">
      <c r="A38" s="293"/>
      <c r="B38" s="293"/>
      <c r="C38" s="293"/>
      <c r="D38" s="293"/>
      <c r="E38" s="293"/>
      <c r="N38" s="293"/>
      <c r="O38" s="293"/>
      <c r="P38" s="293"/>
      <c r="Q38" s="293"/>
      <c r="R38" s="293"/>
      <c r="S38" s="293"/>
      <c r="T38" s="293"/>
      <c r="U38" s="293"/>
      <c r="V38" s="293"/>
      <c r="W38" s="293"/>
      <c r="X38" s="293"/>
      <c r="Y38" s="293"/>
      <c r="Z38" s="293"/>
      <c r="AA38" s="293"/>
      <c r="AB38" s="293"/>
      <c r="AC38" s="293"/>
      <c r="AD38" s="293"/>
      <c r="AE38" s="293"/>
      <c r="AF38" s="293"/>
      <c r="AG38" s="293"/>
      <c r="AH38" s="293"/>
      <c r="AI38" s="293"/>
      <c r="AJ38" s="293"/>
      <c r="AK38" s="293"/>
      <c r="AL38" s="293"/>
      <c r="AM38" s="293"/>
      <c r="AN38" s="293"/>
      <c r="AO38" s="293"/>
      <c r="AP38" s="293"/>
      <c r="AQ38" s="293"/>
      <c r="AR38" s="293"/>
      <c r="AS38" s="293"/>
      <c r="AT38" s="293"/>
      <c r="AU38" s="293"/>
      <c r="AV38" s="293"/>
      <c r="AW38" s="293"/>
      <c r="AX38" s="293"/>
      <c r="AY38" s="293"/>
      <c r="AZ38" s="293"/>
      <c r="BA38" s="293"/>
      <c r="BB38" s="293"/>
      <c r="BC38" s="293"/>
      <c r="BD38" s="293"/>
      <c r="BE38" s="293"/>
      <c r="BF38" s="293"/>
      <c r="BG38" s="293"/>
      <c r="BH38" s="293"/>
      <c r="BI38" s="293"/>
      <c r="BJ38" s="293"/>
      <c r="BK38" s="293"/>
      <c r="BL38" s="293"/>
      <c r="BM38" s="293"/>
      <c r="BN38" s="293"/>
      <c r="BO38" s="293"/>
      <c r="BP38" s="293"/>
      <c r="BQ38" s="293"/>
      <c r="BR38" s="293"/>
      <c r="BS38" s="293"/>
      <c r="BT38" s="293"/>
      <c r="BU38" s="293"/>
      <c r="BV38" s="293"/>
      <c r="BW38" s="293"/>
      <c r="BX38" s="293"/>
      <c r="BY38" s="293"/>
      <c r="BZ38" s="293"/>
      <c r="CA38" s="293"/>
      <c r="CB38" s="293"/>
      <c r="CC38" s="293"/>
      <c r="CD38" s="293"/>
      <c r="CE38" s="293"/>
      <c r="CF38" s="293"/>
      <c r="CG38" s="293"/>
      <c r="CH38" s="293"/>
      <c r="CI38" s="293"/>
      <c r="CJ38" s="293"/>
      <c r="CK38" s="293"/>
      <c r="CL38" s="293"/>
      <c r="CM38" s="293"/>
      <c r="CN38" s="293"/>
      <c r="CO38" s="293"/>
      <c r="CP38" s="293"/>
      <c r="CQ38" s="293"/>
      <c r="CR38" s="293"/>
      <c r="CS38" s="293"/>
      <c r="CT38" s="293"/>
      <c r="CU38" s="293"/>
      <c r="CV38" s="293"/>
      <c r="CW38" s="293"/>
      <c r="CX38" s="293"/>
      <c r="CY38" s="293"/>
      <c r="CZ38" s="293"/>
      <c r="DA38" s="293"/>
      <c r="DB38" s="293"/>
      <c r="DC38" s="293"/>
      <c r="DD38" s="293"/>
      <c r="DE38" s="293"/>
      <c r="DF38" s="293"/>
    </row>
    <row r="39" ht="14.25" customHeight="1">
      <c r="A39" s="293"/>
      <c r="B39" s="293"/>
      <c r="C39" s="293"/>
      <c r="D39" s="293"/>
      <c r="E39" s="293"/>
      <c r="N39" s="293"/>
      <c r="O39" s="293"/>
      <c r="P39" s="293"/>
      <c r="Q39" s="293"/>
      <c r="R39" s="293"/>
      <c r="S39" s="293"/>
      <c r="T39" s="293"/>
      <c r="U39" s="293"/>
      <c r="V39" s="293"/>
      <c r="W39" s="293"/>
      <c r="X39" s="293"/>
      <c r="Y39" s="293"/>
      <c r="Z39" s="293"/>
      <c r="AA39" s="293"/>
      <c r="AB39" s="293"/>
      <c r="AC39" s="293"/>
      <c r="AD39" s="293"/>
      <c r="AE39" s="293"/>
      <c r="AF39" s="293"/>
      <c r="AG39" s="293"/>
      <c r="AH39" s="293"/>
      <c r="AI39" s="293"/>
      <c r="AJ39" s="293"/>
      <c r="AK39" s="293"/>
      <c r="AL39" s="293"/>
      <c r="AM39" s="293"/>
      <c r="AN39" s="293"/>
      <c r="AO39" s="293"/>
      <c r="AP39" s="293"/>
      <c r="AQ39" s="293"/>
      <c r="AR39" s="293"/>
      <c r="AS39" s="293"/>
      <c r="AT39" s="293"/>
      <c r="AU39" s="293"/>
      <c r="AV39" s="293"/>
      <c r="AW39" s="293"/>
      <c r="AX39" s="293"/>
      <c r="AY39" s="293"/>
      <c r="AZ39" s="293"/>
      <c r="BA39" s="293"/>
      <c r="BB39" s="293"/>
      <c r="BC39" s="293"/>
      <c r="BD39" s="293"/>
      <c r="BE39" s="293"/>
      <c r="BF39" s="293"/>
      <c r="BG39" s="293"/>
      <c r="BH39" s="293"/>
      <c r="BI39" s="293"/>
      <c r="BJ39" s="293"/>
      <c r="BK39" s="293"/>
      <c r="BL39" s="293"/>
      <c r="BM39" s="293"/>
      <c r="BN39" s="293"/>
      <c r="BO39" s="293"/>
      <c r="BP39" s="293"/>
      <c r="BQ39" s="293"/>
      <c r="BR39" s="293"/>
      <c r="BS39" s="293"/>
      <c r="BT39" s="293"/>
      <c r="BU39" s="293"/>
      <c r="BV39" s="293"/>
      <c r="BW39" s="293"/>
      <c r="BX39" s="293"/>
      <c r="BY39" s="293"/>
      <c r="BZ39" s="293"/>
      <c r="CA39" s="293"/>
      <c r="CB39" s="293"/>
      <c r="CC39" s="293"/>
      <c r="CD39" s="293"/>
      <c r="CE39" s="293"/>
      <c r="CF39" s="293"/>
      <c r="CG39" s="293"/>
      <c r="CH39" s="293"/>
      <c r="CI39" s="293"/>
      <c r="CJ39" s="293"/>
      <c r="CK39" s="293"/>
      <c r="CL39" s="293"/>
      <c r="CM39" s="293"/>
      <c r="CN39" s="293"/>
      <c r="CO39" s="293"/>
      <c r="CP39" s="293"/>
      <c r="CQ39" s="293"/>
      <c r="CR39" s="293"/>
      <c r="CS39" s="293"/>
      <c r="CT39" s="293"/>
      <c r="CU39" s="293"/>
      <c r="CV39" s="293"/>
      <c r="CW39" s="293"/>
      <c r="CX39" s="293"/>
      <c r="CY39" s="293"/>
      <c r="CZ39" s="293"/>
      <c r="DA39" s="293"/>
      <c r="DB39" s="293"/>
      <c r="DC39" s="293"/>
      <c r="DD39" s="293"/>
      <c r="DE39" s="293"/>
      <c r="DF39" s="293"/>
    </row>
    <row r="40" ht="14.25" customHeight="1">
      <c r="A40" s="293"/>
      <c r="B40" s="293"/>
      <c r="C40" s="293"/>
      <c r="D40" s="293"/>
      <c r="E40" s="293"/>
      <c r="N40" s="293"/>
      <c r="O40" s="293"/>
      <c r="P40" s="293"/>
      <c r="Q40" s="293"/>
      <c r="R40" s="293"/>
      <c r="S40" s="293"/>
      <c r="T40" s="293"/>
      <c r="U40" s="293"/>
      <c r="V40" s="293"/>
      <c r="W40" s="293"/>
      <c r="X40" s="293"/>
      <c r="Y40" s="293"/>
      <c r="Z40" s="293"/>
      <c r="AA40" s="293"/>
      <c r="AB40" s="293"/>
      <c r="AC40" s="293"/>
      <c r="AD40" s="293"/>
      <c r="AE40" s="293"/>
      <c r="AF40" s="293"/>
      <c r="AG40" s="293"/>
      <c r="AH40" s="293"/>
      <c r="AI40" s="293"/>
      <c r="AJ40" s="293"/>
      <c r="AK40" s="293"/>
      <c r="AL40" s="293"/>
      <c r="AM40" s="293"/>
      <c r="AN40" s="293"/>
      <c r="AO40" s="293"/>
      <c r="AP40" s="293"/>
      <c r="AQ40" s="293"/>
      <c r="AR40" s="293"/>
      <c r="AS40" s="293"/>
      <c r="AT40" s="293"/>
      <c r="AU40" s="293"/>
      <c r="AV40" s="293"/>
      <c r="AW40" s="293"/>
      <c r="AX40" s="293"/>
      <c r="AY40" s="293"/>
      <c r="AZ40" s="293"/>
      <c r="BA40" s="293"/>
      <c r="BB40" s="293"/>
      <c r="BC40" s="293"/>
      <c r="BD40" s="293"/>
      <c r="BE40" s="293"/>
      <c r="BF40" s="293"/>
      <c r="BG40" s="293"/>
      <c r="BH40" s="293"/>
      <c r="BI40" s="293"/>
      <c r="BJ40" s="293"/>
      <c r="BK40" s="293"/>
      <c r="BL40" s="293"/>
      <c r="BM40" s="293"/>
      <c r="BN40" s="293"/>
      <c r="BO40" s="293"/>
      <c r="BP40" s="293"/>
      <c r="BQ40" s="293"/>
      <c r="BR40" s="293"/>
      <c r="BS40" s="293"/>
      <c r="BT40" s="293"/>
      <c r="BU40" s="293"/>
      <c r="BV40" s="293"/>
      <c r="BW40" s="293"/>
      <c r="BX40" s="293"/>
      <c r="BY40" s="293"/>
      <c r="BZ40" s="293"/>
      <c r="CA40" s="293"/>
      <c r="CB40" s="293"/>
      <c r="CC40" s="293"/>
      <c r="CD40" s="293"/>
      <c r="CE40" s="293"/>
      <c r="CF40" s="293"/>
      <c r="CG40" s="293"/>
      <c r="CH40" s="293"/>
      <c r="CI40" s="293"/>
      <c r="CJ40" s="293"/>
      <c r="CK40" s="293"/>
      <c r="CL40" s="293"/>
      <c r="CM40" s="293"/>
      <c r="CN40" s="293"/>
      <c r="CO40" s="293"/>
      <c r="CP40" s="293"/>
      <c r="CQ40" s="293"/>
      <c r="CR40" s="293"/>
      <c r="CS40" s="293"/>
      <c r="CT40" s="293"/>
      <c r="CU40" s="293"/>
      <c r="CV40" s="293"/>
      <c r="CW40" s="293"/>
      <c r="CX40" s="293"/>
      <c r="CY40" s="293"/>
      <c r="CZ40" s="293"/>
      <c r="DA40" s="293"/>
      <c r="DB40" s="293"/>
      <c r="DC40" s="293"/>
      <c r="DD40" s="293"/>
      <c r="DE40" s="293"/>
      <c r="DF40" s="293"/>
    </row>
    <row r="41" ht="14.25" customHeight="1">
      <c r="A41" s="293"/>
      <c r="B41" s="293"/>
      <c r="C41" s="293"/>
      <c r="D41" s="293"/>
      <c r="E41" s="293"/>
      <c r="N41" s="293"/>
      <c r="O41" s="293"/>
      <c r="P41" s="293"/>
      <c r="Q41" s="293"/>
      <c r="R41" s="293"/>
      <c r="S41" s="293"/>
      <c r="T41" s="293"/>
      <c r="U41" s="293"/>
      <c r="V41" s="293"/>
      <c r="W41" s="293"/>
      <c r="X41" s="293"/>
      <c r="Y41" s="293"/>
      <c r="Z41" s="293"/>
      <c r="AA41" s="293"/>
      <c r="AB41" s="293"/>
      <c r="AC41" s="293"/>
      <c r="AD41" s="293"/>
      <c r="AE41" s="293"/>
      <c r="AF41" s="293"/>
      <c r="AG41" s="293"/>
      <c r="AH41" s="293"/>
      <c r="AI41" s="293"/>
      <c r="AJ41" s="293"/>
      <c r="AK41" s="293"/>
      <c r="AL41" s="293"/>
      <c r="AM41" s="293"/>
      <c r="AN41" s="293"/>
      <c r="AO41" s="293"/>
      <c r="AP41" s="293"/>
      <c r="AQ41" s="293"/>
      <c r="AR41" s="293"/>
      <c r="AS41" s="293"/>
      <c r="AT41" s="293"/>
      <c r="AU41" s="293"/>
      <c r="AV41" s="293"/>
      <c r="AW41" s="293"/>
      <c r="AX41" s="293"/>
      <c r="AY41" s="293"/>
      <c r="AZ41" s="293"/>
      <c r="BA41" s="293"/>
      <c r="BB41" s="293"/>
      <c r="BC41" s="293"/>
      <c r="BD41" s="293"/>
      <c r="BE41" s="293"/>
      <c r="BF41" s="293"/>
      <c r="BG41" s="293"/>
      <c r="BH41" s="293"/>
      <c r="BI41" s="293"/>
      <c r="BJ41" s="293"/>
      <c r="BK41" s="293"/>
      <c r="BL41" s="293"/>
      <c r="BM41" s="293"/>
      <c r="BN41" s="293"/>
      <c r="BO41" s="293"/>
      <c r="BP41" s="293"/>
      <c r="BQ41" s="293"/>
      <c r="BR41" s="293"/>
      <c r="BS41" s="293"/>
      <c r="BT41" s="293"/>
      <c r="BU41" s="293"/>
      <c r="BV41" s="293"/>
      <c r="BW41" s="293"/>
      <c r="BX41" s="293"/>
      <c r="BY41" s="293"/>
      <c r="BZ41" s="293"/>
      <c r="CA41" s="293"/>
      <c r="CB41" s="293"/>
      <c r="CC41" s="293"/>
      <c r="CD41" s="293"/>
      <c r="CE41" s="293"/>
      <c r="CF41" s="293"/>
      <c r="CG41" s="293"/>
      <c r="CH41" s="293"/>
      <c r="CI41" s="293"/>
      <c r="CJ41" s="293"/>
      <c r="CK41" s="293"/>
      <c r="CL41" s="293"/>
      <c r="CM41" s="293"/>
      <c r="CN41" s="293"/>
      <c r="CO41" s="293"/>
      <c r="CP41" s="293"/>
      <c r="CQ41" s="293"/>
      <c r="CR41" s="293"/>
      <c r="CS41" s="293"/>
      <c r="CT41" s="293"/>
      <c r="CU41" s="293"/>
      <c r="CV41" s="293"/>
      <c r="CW41" s="293"/>
      <c r="CX41" s="293"/>
      <c r="CY41" s="293"/>
      <c r="CZ41" s="293"/>
      <c r="DA41" s="293"/>
      <c r="DB41" s="293"/>
      <c r="DC41" s="293"/>
      <c r="DD41" s="293"/>
      <c r="DE41" s="293"/>
      <c r="DF41" s="293"/>
    </row>
    <row r="42" ht="14.25" customHeight="1">
      <c r="A42" s="293"/>
      <c r="B42" s="293"/>
      <c r="C42" s="293"/>
      <c r="D42" s="293"/>
      <c r="E42" s="293"/>
      <c r="N42" s="293"/>
      <c r="O42" s="293"/>
      <c r="P42" s="293"/>
      <c r="Q42" s="293"/>
      <c r="R42" s="293"/>
      <c r="S42" s="293"/>
      <c r="T42" s="293"/>
      <c r="U42" s="293"/>
      <c r="V42" s="293"/>
      <c r="W42" s="293"/>
      <c r="X42" s="293"/>
      <c r="Y42" s="293"/>
      <c r="Z42" s="293"/>
      <c r="AA42" s="293"/>
      <c r="AB42" s="293"/>
      <c r="AC42" s="293"/>
      <c r="AD42" s="293"/>
      <c r="AE42" s="293"/>
      <c r="AF42" s="293"/>
      <c r="AG42" s="293"/>
      <c r="AH42" s="293"/>
      <c r="AI42" s="293"/>
      <c r="AJ42" s="293"/>
      <c r="AK42" s="293"/>
      <c r="AL42" s="293"/>
      <c r="AM42" s="293"/>
      <c r="AN42" s="293"/>
      <c r="AO42" s="293"/>
      <c r="AP42" s="293"/>
      <c r="AQ42" s="293"/>
      <c r="AR42" s="293"/>
      <c r="AS42" s="293"/>
      <c r="AT42" s="293"/>
      <c r="AU42" s="293"/>
      <c r="AV42" s="293"/>
      <c r="AW42" s="293"/>
      <c r="AX42" s="293"/>
      <c r="AY42" s="293"/>
      <c r="AZ42" s="293"/>
      <c r="BA42" s="293"/>
      <c r="BB42" s="293"/>
      <c r="BC42" s="293"/>
      <c r="BD42" s="293"/>
      <c r="BE42" s="293"/>
      <c r="BF42" s="293"/>
      <c r="BG42" s="293"/>
      <c r="BH42" s="293"/>
      <c r="BI42" s="293"/>
      <c r="BJ42" s="293"/>
      <c r="BK42" s="293"/>
      <c r="BL42" s="293"/>
      <c r="BM42" s="293"/>
      <c r="BN42" s="293"/>
      <c r="BO42" s="293"/>
      <c r="BP42" s="293"/>
      <c r="BQ42" s="293"/>
      <c r="BR42" s="293"/>
      <c r="BS42" s="293"/>
      <c r="BT42" s="293"/>
      <c r="BU42" s="293"/>
      <c r="BV42" s="293"/>
      <c r="BW42" s="293"/>
      <c r="BX42" s="293"/>
      <c r="BY42" s="293"/>
      <c r="BZ42" s="293"/>
      <c r="CA42" s="293"/>
      <c r="CB42" s="293"/>
      <c r="CC42" s="293"/>
      <c r="CD42" s="293"/>
      <c r="CE42" s="293"/>
      <c r="CF42" s="293"/>
      <c r="CG42" s="293"/>
      <c r="CH42" s="293"/>
      <c r="CI42" s="293"/>
      <c r="CJ42" s="293"/>
      <c r="CK42" s="293"/>
      <c r="CL42" s="293"/>
      <c r="CM42" s="293"/>
      <c r="CN42" s="293"/>
      <c r="CO42" s="293"/>
      <c r="CP42" s="293"/>
      <c r="CQ42" s="293"/>
      <c r="CR42" s="293"/>
      <c r="CS42" s="293"/>
      <c r="CT42" s="293"/>
      <c r="CU42" s="293"/>
      <c r="CV42" s="293"/>
      <c r="CW42" s="293"/>
      <c r="CX42" s="293"/>
      <c r="CY42" s="293"/>
      <c r="CZ42" s="293"/>
      <c r="DA42" s="293"/>
      <c r="DB42" s="293"/>
      <c r="DC42" s="293"/>
      <c r="DD42" s="293"/>
      <c r="DE42" s="293"/>
      <c r="DF42" s="293"/>
    </row>
    <row r="43" ht="14.25" customHeight="1">
      <c r="A43" s="293"/>
      <c r="B43" s="293"/>
      <c r="C43" s="293"/>
      <c r="D43" s="293"/>
      <c r="E43" s="293"/>
      <c r="N43" s="293"/>
      <c r="O43" s="293"/>
      <c r="P43" s="293"/>
      <c r="Q43" s="293"/>
      <c r="R43" s="293"/>
      <c r="S43" s="293"/>
      <c r="T43" s="293"/>
      <c r="U43" s="293"/>
      <c r="V43" s="293"/>
      <c r="W43" s="293"/>
      <c r="X43" s="293"/>
      <c r="Y43" s="293"/>
      <c r="Z43" s="293"/>
      <c r="AA43" s="293"/>
      <c r="AB43" s="293"/>
      <c r="AC43" s="293"/>
      <c r="AD43" s="293"/>
      <c r="AE43" s="293"/>
      <c r="AF43" s="293"/>
      <c r="AG43" s="293"/>
      <c r="AH43" s="293"/>
      <c r="AI43" s="293"/>
      <c r="AJ43" s="293"/>
      <c r="AK43" s="293"/>
      <c r="AL43" s="293"/>
      <c r="AM43" s="293"/>
      <c r="AN43" s="293"/>
      <c r="AO43" s="293"/>
      <c r="AP43" s="293"/>
      <c r="AQ43" s="293"/>
      <c r="AR43" s="293"/>
      <c r="AS43" s="293"/>
      <c r="AT43" s="293"/>
      <c r="AU43" s="293"/>
      <c r="AV43" s="293"/>
      <c r="AW43" s="293"/>
      <c r="AX43" s="293"/>
      <c r="AY43" s="293"/>
      <c r="AZ43" s="293"/>
      <c r="BA43" s="293"/>
      <c r="BB43" s="293"/>
      <c r="BC43" s="293"/>
      <c r="BD43" s="293"/>
      <c r="BE43" s="293"/>
      <c r="BF43" s="293"/>
      <c r="BG43" s="293"/>
      <c r="BH43" s="293"/>
      <c r="BI43" s="293"/>
      <c r="BJ43" s="293"/>
      <c r="BK43" s="293"/>
      <c r="BL43" s="293"/>
      <c r="BM43" s="293"/>
      <c r="BN43" s="293"/>
      <c r="BO43" s="293"/>
      <c r="BP43" s="293"/>
      <c r="BQ43" s="293"/>
      <c r="BR43" s="293"/>
      <c r="BS43" s="293"/>
      <c r="BT43" s="293"/>
      <c r="BU43" s="293"/>
      <c r="BV43" s="293"/>
      <c r="BW43" s="293"/>
      <c r="BX43" s="293"/>
      <c r="BY43" s="293"/>
      <c r="BZ43" s="293"/>
      <c r="CA43" s="293"/>
      <c r="CB43" s="293"/>
      <c r="CC43" s="293"/>
      <c r="CD43" s="293"/>
      <c r="CE43" s="293"/>
      <c r="CF43" s="293"/>
      <c r="CG43" s="293"/>
      <c r="CH43" s="293"/>
      <c r="CI43" s="293"/>
      <c r="CJ43" s="293"/>
      <c r="CK43" s="293"/>
      <c r="CL43" s="293"/>
      <c r="CM43" s="293"/>
      <c r="CN43" s="293"/>
      <c r="CO43" s="293"/>
      <c r="CP43" s="293"/>
      <c r="CQ43" s="293"/>
      <c r="CR43" s="293"/>
      <c r="CS43" s="293"/>
      <c r="CT43" s="293"/>
      <c r="CU43" s="293"/>
      <c r="CV43" s="293"/>
      <c r="CW43" s="293"/>
      <c r="CX43" s="293"/>
      <c r="CY43" s="293"/>
      <c r="CZ43" s="293"/>
      <c r="DA43" s="293"/>
      <c r="DB43" s="293"/>
      <c r="DC43" s="293"/>
      <c r="DD43" s="293"/>
      <c r="DE43" s="293"/>
      <c r="DF43" s="293"/>
    </row>
    <row r="44" ht="14.25" customHeight="1">
      <c r="A44" s="293"/>
      <c r="B44" s="293"/>
      <c r="C44" s="293"/>
      <c r="D44" s="293"/>
      <c r="E44" s="293"/>
      <c r="F44" s="293"/>
      <c r="G44" s="293"/>
      <c r="H44" s="293"/>
      <c r="I44" s="293"/>
      <c r="J44" s="293"/>
      <c r="K44" s="293"/>
      <c r="L44" s="293"/>
      <c r="M44" s="293"/>
      <c r="N44" s="293"/>
      <c r="O44" s="293"/>
      <c r="P44" s="293"/>
      <c r="Q44" s="293"/>
      <c r="R44" s="293"/>
      <c r="S44" s="293"/>
      <c r="T44" s="293"/>
      <c r="U44" s="293"/>
      <c r="V44" s="293"/>
      <c r="W44" s="293"/>
      <c r="X44" s="293"/>
      <c r="Y44" s="293"/>
      <c r="Z44" s="293"/>
      <c r="AA44" s="293"/>
      <c r="AB44" s="293"/>
      <c r="AC44" s="293"/>
      <c r="AD44" s="293"/>
      <c r="AE44" s="293"/>
      <c r="AF44" s="293"/>
      <c r="AG44" s="293"/>
      <c r="AH44" s="293"/>
      <c r="AI44" s="293"/>
      <c r="AJ44" s="293"/>
      <c r="AK44" s="293"/>
      <c r="AL44" s="293"/>
      <c r="AM44" s="293"/>
      <c r="AN44" s="293"/>
      <c r="AO44" s="293"/>
      <c r="AP44" s="293"/>
      <c r="AQ44" s="293"/>
      <c r="AR44" s="293"/>
      <c r="AS44" s="293"/>
      <c r="AT44" s="293"/>
      <c r="AU44" s="293"/>
      <c r="AV44" s="293"/>
      <c r="AW44" s="293"/>
      <c r="AX44" s="293"/>
      <c r="AY44" s="293"/>
      <c r="AZ44" s="293"/>
      <c r="BA44" s="293"/>
      <c r="BB44" s="293"/>
      <c r="BC44" s="293"/>
      <c r="BD44" s="293"/>
      <c r="BE44" s="293"/>
      <c r="BF44" s="293"/>
      <c r="BG44" s="293"/>
      <c r="BH44" s="293"/>
      <c r="BI44" s="293"/>
      <c r="BJ44" s="293"/>
      <c r="BK44" s="293"/>
      <c r="BL44" s="293"/>
      <c r="BM44" s="293"/>
      <c r="BN44" s="293"/>
      <c r="BO44" s="293"/>
      <c r="BP44" s="293"/>
      <c r="BQ44" s="293"/>
      <c r="BR44" s="293"/>
      <c r="BS44" s="293"/>
      <c r="BT44" s="293"/>
      <c r="BU44" s="293"/>
      <c r="BV44" s="293"/>
      <c r="BW44" s="293"/>
      <c r="BX44" s="293"/>
      <c r="BY44" s="293"/>
      <c r="BZ44" s="293"/>
      <c r="CA44" s="293"/>
      <c r="CB44" s="293"/>
      <c r="CC44" s="293"/>
      <c r="CD44" s="293"/>
      <c r="CE44" s="293"/>
      <c r="CF44" s="293"/>
      <c r="CG44" s="293"/>
      <c r="CH44" s="293"/>
      <c r="CI44" s="293"/>
      <c r="CJ44" s="293"/>
      <c r="CK44" s="293"/>
      <c r="CL44" s="293"/>
      <c r="CM44" s="293"/>
      <c r="CN44" s="293"/>
      <c r="CO44" s="293"/>
      <c r="CP44" s="293"/>
      <c r="CQ44" s="293"/>
      <c r="CR44" s="293"/>
      <c r="CS44" s="293"/>
      <c r="CT44" s="293"/>
      <c r="CU44" s="293"/>
      <c r="CV44" s="293"/>
      <c r="CW44" s="293"/>
      <c r="CX44" s="293"/>
      <c r="CY44" s="293"/>
      <c r="CZ44" s="293"/>
      <c r="DA44" s="293"/>
      <c r="DB44" s="293"/>
      <c r="DC44" s="293"/>
      <c r="DD44" s="293"/>
      <c r="DE44" s="293"/>
      <c r="DF44" s="293"/>
    </row>
    <row r="45" ht="14.25" customHeight="1">
      <c r="A45" s="293"/>
      <c r="B45" s="293"/>
      <c r="C45" s="293"/>
      <c r="D45" s="293"/>
      <c r="E45" s="293"/>
      <c r="F45" s="293"/>
      <c r="G45" s="293"/>
      <c r="H45" s="293"/>
      <c r="I45" s="293"/>
      <c r="J45" s="293"/>
      <c r="K45" s="293"/>
      <c r="L45" s="293"/>
      <c r="M45" s="293"/>
      <c r="N45" s="293"/>
      <c r="O45" s="293"/>
      <c r="P45" s="293"/>
      <c r="Q45" s="293"/>
      <c r="R45" s="293"/>
      <c r="S45" s="293"/>
      <c r="T45" s="293"/>
      <c r="U45" s="293"/>
      <c r="V45" s="293"/>
      <c r="W45" s="293"/>
      <c r="X45" s="293"/>
      <c r="Y45" s="293"/>
      <c r="Z45" s="293"/>
      <c r="AA45" s="293"/>
      <c r="AB45" s="293"/>
      <c r="AC45" s="293"/>
      <c r="AD45" s="293"/>
      <c r="AE45" s="293"/>
      <c r="AF45" s="293"/>
      <c r="AG45" s="293"/>
      <c r="AH45" s="293"/>
      <c r="AI45" s="293"/>
      <c r="AJ45" s="293"/>
      <c r="AK45" s="293"/>
      <c r="AL45" s="293"/>
      <c r="AM45" s="293"/>
      <c r="AN45" s="293"/>
      <c r="AO45" s="293"/>
      <c r="AP45" s="293"/>
      <c r="AQ45" s="293"/>
      <c r="AR45" s="293"/>
      <c r="AS45" s="293"/>
      <c r="AT45" s="293"/>
      <c r="AU45" s="293"/>
      <c r="AV45" s="293"/>
      <c r="AW45" s="293"/>
      <c r="AX45" s="293"/>
      <c r="AY45" s="293"/>
      <c r="AZ45" s="293"/>
      <c r="BA45" s="293"/>
      <c r="BB45" s="293"/>
      <c r="BC45" s="293"/>
      <c r="BD45" s="293"/>
      <c r="BE45" s="293"/>
      <c r="BF45" s="293"/>
      <c r="BG45" s="293"/>
      <c r="BH45" s="293"/>
      <c r="BI45" s="293"/>
      <c r="BJ45" s="293"/>
      <c r="BK45" s="293"/>
      <c r="BL45" s="293"/>
      <c r="BM45" s="293"/>
      <c r="BN45" s="293"/>
      <c r="BO45" s="293"/>
      <c r="BP45" s="293"/>
      <c r="BQ45" s="293"/>
      <c r="BR45" s="293"/>
      <c r="BS45" s="293"/>
      <c r="BT45" s="293"/>
      <c r="BU45" s="293"/>
      <c r="BV45" s="293"/>
      <c r="BW45" s="293"/>
      <c r="BX45" s="293"/>
      <c r="BY45" s="293"/>
      <c r="BZ45" s="293"/>
      <c r="CA45" s="293"/>
      <c r="CB45" s="293"/>
      <c r="CC45" s="293"/>
      <c r="CD45" s="293"/>
      <c r="CE45" s="293"/>
      <c r="CF45" s="293"/>
      <c r="CG45" s="293"/>
      <c r="CH45" s="293"/>
      <c r="CI45" s="293"/>
      <c r="CJ45" s="293"/>
      <c r="CK45" s="293"/>
      <c r="CL45" s="293"/>
      <c r="CM45" s="293"/>
      <c r="CN45" s="293"/>
      <c r="CO45" s="293"/>
      <c r="CP45" s="293"/>
      <c r="CQ45" s="293"/>
      <c r="CR45" s="293"/>
      <c r="CS45" s="293"/>
      <c r="CT45" s="293"/>
      <c r="CU45" s="293"/>
      <c r="CV45" s="293"/>
      <c r="CW45" s="293"/>
      <c r="CX45" s="293"/>
      <c r="CY45" s="293"/>
      <c r="CZ45" s="293"/>
      <c r="DA45" s="293"/>
      <c r="DB45" s="293"/>
      <c r="DC45" s="293"/>
      <c r="DD45" s="293"/>
      <c r="DE45" s="293"/>
      <c r="DF45" s="293"/>
    </row>
    <row r="46" ht="14.25" customHeight="1">
      <c r="A46" s="293"/>
      <c r="B46" s="293"/>
      <c r="C46" s="293"/>
      <c r="D46" s="293"/>
      <c r="E46" s="293"/>
      <c r="F46" s="293"/>
      <c r="G46" s="293"/>
      <c r="H46" s="293"/>
      <c r="I46" s="293"/>
      <c r="J46" s="293"/>
      <c r="K46" s="293"/>
      <c r="L46" s="293"/>
      <c r="M46" s="293"/>
      <c r="N46" s="293"/>
      <c r="O46" s="293"/>
      <c r="P46" s="293"/>
      <c r="Q46" s="293"/>
      <c r="R46" s="293"/>
      <c r="S46" s="293"/>
      <c r="T46" s="293"/>
      <c r="U46" s="293"/>
      <c r="V46" s="293"/>
      <c r="W46" s="293"/>
      <c r="X46" s="293"/>
      <c r="Y46" s="293"/>
      <c r="Z46" s="293"/>
      <c r="AA46" s="293"/>
      <c r="AB46" s="293"/>
      <c r="AC46" s="293"/>
      <c r="AD46" s="293"/>
      <c r="AE46" s="293"/>
      <c r="AF46" s="293"/>
      <c r="AG46" s="293"/>
      <c r="AH46" s="293"/>
      <c r="AI46" s="293"/>
      <c r="AJ46" s="293"/>
      <c r="AK46" s="293"/>
      <c r="AL46" s="293"/>
      <c r="AM46" s="293"/>
      <c r="AN46" s="293"/>
      <c r="AO46" s="293"/>
      <c r="AP46" s="293"/>
      <c r="AQ46" s="293"/>
      <c r="AR46" s="293"/>
      <c r="AS46" s="293"/>
      <c r="AT46" s="293"/>
      <c r="AU46" s="293"/>
      <c r="AV46" s="293"/>
      <c r="AW46" s="293"/>
      <c r="AX46" s="293"/>
      <c r="AY46" s="293"/>
      <c r="AZ46" s="293"/>
      <c r="BA46" s="293"/>
      <c r="BB46" s="293"/>
      <c r="BC46" s="293"/>
      <c r="BD46" s="293"/>
      <c r="BE46" s="293"/>
      <c r="BF46" s="293"/>
      <c r="BG46" s="293"/>
      <c r="BH46" s="293"/>
      <c r="BI46" s="293"/>
      <c r="BJ46" s="293"/>
      <c r="BK46" s="293"/>
      <c r="BL46" s="293"/>
      <c r="BM46" s="293"/>
      <c r="BN46" s="293"/>
      <c r="BO46" s="293"/>
      <c r="BP46" s="293"/>
      <c r="BQ46" s="293"/>
      <c r="BR46" s="293"/>
      <c r="BS46" s="293"/>
      <c r="BT46" s="293"/>
      <c r="BU46" s="293"/>
      <c r="BV46" s="293"/>
      <c r="BW46" s="293"/>
      <c r="BX46" s="293"/>
      <c r="BY46" s="293"/>
      <c r="BZ46" s="293"/>
      <c r="CA46" s="293"/>
      <c r="CB46" s="293"/>
      <c r="CC46" s="293"/>
      <c r="CD46" s="293"/>
      <c r="CE46" s="293"/>
      <c r="CF46" s="293"/>
      <c r="CG46" s="293"/>
      <c r="CH46" s="293"/>
      <c r="CI46" s="293"/>
      <c r="CJ46" s="293"/>
      <c r="CK46" s="293"/>
      <c r="CL46" s="293"/>
      <c r="CM46" s="293"/>
      <c r="CN46" s="293"/>
      <c r="CO46" s="293"/>
      <c r="CP46" s="293"/>
      <c r="CQ46" s="293"/>
      <c r="CR46" s="293"/>
      <c r="CS46" s="293"/>
      <c r="CT46" s="293"/>
      <c r="CU46" s="293"/>
      <c r="CV46" s="293"/>
      <c r="CW46" s="293"/>
      <c r="CX46" s="293"/>
      <c r="CY46" s="293"/>
      <c r="CZ46" s="293"/>
      <c r="DA46" s="293"/>
      <c r="DB46" s="293"/>
      <c r="DC46" s="293"/>
      <c r="DD46" s="293"/>
      <c r="DE46" s="293"/>
      <c r="DF46" s="293"/>
    </row>
    <row r="47" ht="14.25" customHeight="1">
      <c r="A47" s="293"/>
      <c r="B47" s="293"/>
      <c r="C47" s="293"/>
      <c r="D47" s="293"/>
      <c r="E47" s="293"/>
      <c r="F47" s="293"/>
      <c r="G47" s="293"/>
      <c r="H47" s="293"/>
      <c r="I47" s="293"/>
      <c r="J47" s="293"/>
      <c r="K47" s="293"/>
      <c r="L47" s="293"/>
      <c r="M47" s="293"/>
      <c r="N47" s="293"/>
      <c r="O47" s="293"/>
      <c r="P47" s="293"/>
      <c r="Q47" s="293"/>
      <c r="R47" s="293"/>
      <c r="S47" s="293"/>
      <c r="T47" s="293"/>
      <c r="U47" s="293"/>
      <c r="V47" s="293"/>
      <c r="W47" s="293"/>
      <c r="X47" s="293"/>
      <c r="Y47" s="293"/>
      <c r="Z47" s="293"/>
      <c r="AA47" s="293"/>
      <c r="AB47" s="293"/>
      <c r="AC47" s="293"/>
      <c r="AD47" s="293"/>
      <c r="AE47" s="293"/>
      <c r="AF47" s="293"/>
      <c r="AG47" s="293"/>
      <c r="AH47" s="293"/>
      <c r="AI47" s="293"/>
      <c r="AJ47" s="293"/>
      <c r="AK47" s="293"/>
      <c r="AL47" s="293"/>
      <c r="AM47" s="293"/>
      <c r="AN47" s="293"/>
      <c r="AO47" s="293"/>
      <c r="AP47" s="293"/>
      <c r="AQ47" s="293"/>
      <c r="AR47" s="293"/>
      <c r="AS47" s="293"/>
      <c r="AT47" s="293"/>
      <c r="AU47" s="293"/>
      <c r="AV47" s="293"/>
      <c r="AW47" s="293"/>
      <c r="AX47" s="293"/>
      <c r="AY47" s="293"/>
      <c r="AZ47" s="293"/>
      <c r="BA47" s="293"/>
      <c r="BB47" s="293"/>
      <c r="BC47" s="293"/>
      <c r="BD47" s="293"/>
      <c r="BE47" s="293"/>
      <c r="BF47" s="293"/>
      <c r="BG47" s="293"/>
      <c r="BH47" s="293"/>
      <c r="BI47" s="293"/>
      <c r="BJ47" s="293"/>
      <c r="BK47" s="293"/>
      <c r="BL47" s="293"/>
      <c r="BM47" s="293"/>
      <c r="BN47" s="293"/>
      <c r="BO47" s="293"/>
      <c r="BP47" s="293"/>
      <c r="BQ47" s="293"/>
      <c r="BR47" s="293"/>
      <c r="BS47" s="293"/>
      <c r="BT47" s="293"/>
      <c r="BU47" s="293"/>
      <c r="BV47" s="293"/>
      <c r="BW47" s="293"/>
      <c r="BX47" s="293"/>
      <c r="BY47" s="293"/>
      <c r="BZ47" s="293"/>
      <c r="CA47" s="293"/>
      <c r="CB47" s="293"/>
      <c r="CC47" s="293"/>
      <c r="CD47" s="293"/>
      <c r="CE47" s="293"/>
      <c r="CF47" s="293"/>
      <c r="CG47" s="293"/>
      <c r="CH47" s="293"/>
      <c r="CI47" s="293"/>
      <c r="CJ47" s="293"/>
      <c r="CK47" s="293"/>
      <c r="CL47" s="293"/>
      <c r="CM47" s="293"/>
      <c r="CN47" s="293"/>
      <c r="CO47" s="293"/>
      <c r="CP47" s="293"/>
      <c r="CQ47" s="293"/>
      <c r="CR47" s="293"/>
      <c r="CS47" s="293"/>
      <c r="CT47" s="293"/>
      <c r="CU47" s="293"/>
      <c r="CV47" s="293"/>
      <c r="CW47" s="293"/>
      <c r="CX47" s="293"/>
      <c r="CY47" s="293"/>
      <c r="CZ47" s="293"/>
      <c r="DA47" s="293"/>
      <c r="DB47" s="293"/>
      <c r="DC47" s="293"/>
      <c r="DD47" s="293"/>
      <c r="DE47" s="293"/>
      <c r="DF47" s="293"/>
    </row>
    <row r="48" ht="14.25" customHeight="1">
      <c r="A48" s="293"/>
      <c r="B48" s="293"/>
      <c r="C48" s="293"/>
      <c r="D48" s="293"/>
      <c r="E48" s="293"/>
      <c r="F48" s="293"/>
      <c r="G48" s="293"/>
      <c r="H48" s="293"/>
      <c r="I48" s="293"/>
      <c r="J48" s="293"/>
      <c r="K48" s="293"/>
      <c r="L48" s="293"/>
      <c r="M48" s="293"/>
      <c r="N48" s="293"/>
      <c r="O48" s="293"/>
      <c r="P48" s="293"/>
      <c r="Q48" s="293"/>
      <c r="R48" s="293"/>
      <c r="S48" s="293"/>
      <c r="T48" s="293"/>
      <c r="U48" s="293"/>
      <c r="V48" s="293"/>
      <c r="W48" s="293"/>
      <c r="X48" s="293"/>
      <c r="Y48" s="293"/>
      <c r="Z48" s="293"/>
      <c r="AA48" s="293"/>
      <c r="AB48" s="293"/>
      <c r="AC48" s="293"/>
      <c r="AD48" s="293"/>
      <c r="AE48" s="293"/>
      <c r="AF48" s="293"/>
      <c r="AG48" s="293"/>
      <c r="AH48" s="293"/>
      <c r="AI48" s="293"/>
      <c r="AJ48" s="293"/>
      <c r="AK48" s="293"/>
      <c r="AL48" s="293"/>
      <c r="AM48" s="293"/>
      <c r="AN48" s="293"/>
      <c r="AO48" s="293"/>
      <c r="AP48" s="293"/>
      <c r="AQ48" s="293"/>
      <c r="AR48" s="293"/>
      <c r="AS48" s="293"/>
      <c r="AT48" s="293"/>
      <c r="AU48" s="293"/>
      <c r="AV48" s="293"/>
      <c r="AW48" s="293"/>
      <c r="AX48" s="293"/>
      <c r="AY48" s="293"/>
      <c r="AZ48" s="293"/>
      <c r="BA48" s="293"/>
      <c r="BB48" s="293"/>
      <c r="BC48" s="293"/>
      <c r="BD48" s="293"/>
      <c r="BE48" s="293"/>
      <c r="BF48" s="293"/>
      <c r="BG48" s="293"/>
      <c r="BH48" s="293"/>
      <c r="BI48" s="293"/>
      <c r="BJ48" s="293"/>
      <c r="BK48" s="293"/>
      <c r="BL48" s="293"/>
      <c r="BM48" s="293"/>
      <c r="BN48" s="293"/>
      <c r="BO48" s="293"/>
      <c r="BP48" s="293"/>
      <c r="BQ48" s="293"/>
      <c r="BR48" s="293"/>
      <c r="BS48" s="293"/>
      <c r="BT48" s="293"/>
      <c r="BU48" s="293"/>
      <c r="BV48" s="293"/>
      <c r="BW48" s="293"/>
      <c r="BX48" s="293"/>
      <c r="BY48" s="293"/>
      <c r="BZ48" s="293"/>
      <c r="CA48" s="293"/>
      <c r="CB48" s="293"/>
      <c r="CC48" s="293"/>
      <c r="CD48" s="293"/>
      <c r="CE48" s="293"/>
      <c r="CF48" s="293"/>
      <c r="CG48" s="293"/>
      <c r="CH48" s="293"/>
      <c r="CI48" s="293"/>
      <c r="CJ48" s="293"/>
      <c r="CK48" s="293"/>
      <c r="CL48" s="293"/>
      <c r="CM48" s="293"/>
      <c r="CN48" s="293"/>
      <c r="CO48" s="293"/>
      <c r="CP48" s="293"/>
      <c r="CQ48" s="293"/>
      <c r="CR48" s="293"/>
      <c r="CS48" s="293"/>
      <c r="CT48" s="293"/>
      <c r="CU48" s="293"/>
      <c r="CV48" s="293"/>
      <c r="CW48" s="293"/>
      <c r="CX48" s="293"/>
      <c r="CY48" s="293"/>
      <c r="CZ48" s="293"/>
      <c r="DA48" s="293"/>
      <c r="DB48" s="293"/>
      <c r="DC48" s="293"/>
      <c r="DD48" s="293"/>
      <c r="DE48" s="293"/>
      <c r="DF48" s="293"/>
    </row>
    <row r="49" ht="14.25" customHeight="1">
      <c r="A49" s="293"/>
      <c r="B49" s="293"/>
      <c r="C49" s="293"/>
      <c r="D49" s="293"/>
      <c r="E49" s="293"/>
      <c r="F49" s="293"/>
      <c r="G49" s="293"/>
      <c r="H49" s="293"/>
      <c r="I49" s="293"/>
      <c r="J49" s="293"/>
      <c r="K49" s="293"/>
      <c r="L49" s="293"/>
      <c r="M49" s="293"/>
      <c r="N49" s="293"/>
      <c r="O49" s="293"/>
      <c r="P49" s="293"/>
      <c r="Q49" s="293"/>
      <c r="R49" s="293"/>
      <c r="S49" s="293"/>
      <c r="T49" s="293"/>
      <c r="U49" s="293"/>
      <c r="V49" s="293"/>
      <c r="W49" s="293"/>
      <c r="X49" s="293"/>
      <c r="Y49" s="293"/>
      <c r="Z49" s="293"/>
      <c r="AA49" s="293"/>
      <c r="AB49" s="293"/>
      <c r="AC49" s="293"/>
      <c r="AD49" s="293"/>
      <c r="AE49" s="293"/>
      <c r="AF49" s="293"/>
      <c r="AG49" s="293"/>
      <c r="AH49" s="293"/>
      <c r="AI49" s="293"/>
      <c r="AJ49" s="293"/>
      <c r="AK49" s="293"/>
      <c r="AL49" s="293"/>
      <c r="AM49" s="293"/>
      <c r="AN49" s="293"/>
      <c r="AO49" s="293"/>
      <c r="AP49" s="293"/>
      <c r="AQ49" s="293"/>
      <c r="AR49" s="293"/>
      <c r="AS49" s="293"/>
      <c r="AT49" s="293"/>
      <c r="AU49" s="293"/>
      <c r="AV49" s="293"/>
      <c r="AW49" s="293"/>
      <c r="AX49" s="293"/>
      <c r="AY49" s="293"/>
      <c r="AZ49" s="293"/>
      <c r="BA49" s="293"/>
      <c r="BB49" s="293"/>
      <c r="BC49" s="293"/>
      <c r="BD49" s="293"/>
      <c r="BE49" s="293"/>
      <c r="BF49" s="293"/>
      <c r="BG49" s="293"/>
      <c r="BH49" s="293"/>
      <c r="BI49" s="293"/>
      <c r="BJ49" s="293"/>
      <c r="BK49" s="293"/>
      <c r="BL49" s="293"/>
      <c r="BM49" s="293"/>
      <c r="BN49" s="293"/>
      <c r="BO49" s="293"/>
      <c r="BP49" s="293"/>
      <c r="BQ49" s="293"/>
      <c r="BR49" s="293"/>
      <c r="BS49" s="293"/>
      <c r="BT49" s="293"/>
      <c r="BU49" s="293"/>
      <c r="BV49" s="293"/>
      <c r="BW49" s="293"/>
      <c r="BX49" s="293"/>
      <c r="BY49" s="293"/>
      <c r="BZ49" s="293"/>
      <c r="CA49" s="293"/>
      <c r="CB49" s="293"/>
      <c r="CC49" s="293"/>
      <c r="CD49" s="293"/>
      <c r="CE49" s="293"/>
      <c r="CF49" s="293"/>
      <c r="CG49" s="293"/>
      <c r="CH49" s="293"/>
      <c r="CI49" s="293"/>
      <c r="CJ49" s="293"/>
      <c r="CK49" s="293"/>
      <c r="CL49" s="293"/>
      <c r="CM49" s="293"/>
      <c r="CN49" s="293"/>
      <c r="CO49" s="293"/>
      <c r="CP49" s="293"/>
      <c r="CQ49" s="293"/>
      <c r="CR49" s="293"/>
      <c r="CS49" s="293"/>
      <c r="CT49" s="293"/>
      <c r="CU49" s="293"/>
      <c r="CV49" s="293"/>
      <c r="CW49" s="293"/>
      <c r="CX49" s="293"/>
      <c r="CY49" s="293"/>
      <c r="CZ49" s="293"/>
      <c r="DA49" s="293"/>
      <c r="DB49" s="293"/>
      <c r="DC49" s="293"/>
      <c r="DD49" s="293"/>
      <c r="DE49" s="293"/>
      <c r="DF49" s="293"/>
    </row>
    <row r="50" ht="14.25" customHeight="1">
      <c r="A50" s="293"/>
      <c r="B50" s="293"/>
      <c r="C50" s="293"/>
      <c r="D50" s="293"/>
      <c r="E50" s="293"/>
      <c r="F50" s="293"/>
      <c r="G50" s="293"/>
      <c r="H50" s="293"/>
      <c r="I50" s="293"/>
      <c r="J50" s="293"/>
      <c r="K50" s="293"/>
      <c r="L50" s="293"/>
      <c r="M50" s="293"/>
      <c r="N50" s="293"/>
      <c r="O50" s="293"/>
      <c r="P50" s="293"/>
      <c r="Q50" s="293"/>
      <c r="R50" s="293"/>
      <c r="S50" s="293"/>
      <c r="T50" s="293"/>
      <c r="U50" s="293"/>
      <c r="V50" s="293"/>
      <c r="W50" s="293"/>
      <c r="X50" s="293"/>
      <c r="Y50" s="293"/>
      <c r="Z50" s="293"/>
      <c r="AA50" s="293"/>
      <c r="AB50" s="293"/>
      <c r="AC50" s="293"/>
      <c r="AD50" s="293"/>
      <c r="AE50" s="293"/>
      <c r="AF50" s="293"/>
      <c r="AG50" s="293"/>
      <c r="AH50" s="293"/>
      <c r="AI50" s="293"/>
      <c r="AJ50" s="293"/>
      <c r="AK50" s="293"/>
      <c r="AL50" s="293"/>
      <c r="AM50" s="293"/>
      <c r="AN50" s="293"/>
      <c r="AO50" s="293"/>
      <c r="AP50" s="293"/>
      <c r="AQ50" s="293"/>
      <c r="AR50" s="293"/>
      <c r="AS50" s="293"/>
      <c r="AT50" s="293"/>
      <c r="AU50" s="293"/>
      <c r="AV50" s="293"/>
      <c r="AW50" s="293"/>
      <c r="AX50" s="293"/>
      <c r="AY50" s="293"/>
      <c r="AZ50" s="293"/>
      <c r="BA50" s="293"/>
      <c r="BB50" s="293"/>
      <c r="BC50" s="293"/>
      <c r="BD50" s="293"/>
      <c r="BE50" s="293"/>
      <c r="BF50" s="293"/>
      <c r="BG50" s="293"/>
      <c r="BH50" s="293"/>
      <c r="BI50" s="293"/>
      <c r="BJ50" s="293"/>
      <c r="BK50" s="293"/>
      <c r="BL50" s="293"/>
      <c r="BM50" s="293"/>
      <c r="BN50" s="293"/>
      <c r="BO50" s="293"/>
      <c r="BP50" s="293"/>
      <c r="BQ50" s="293"/>
      <c r="BR50" s="293"/>
      <c r="BS50" s="293"/>
      <c r="BT50" s="293"/>
      <c r="BU50" s="293"/>
      <c r="BV50" s="293"/>
      <c r="BW50" s="293"/>
      <c r="BX50" s="293"/>
      <c r="BY50" s="293"/>
      <c r="BZ50" s="293"/>
      <c r="CA50" s="293"/>
      <c r="CB50" s="293"/>
      <c r="CC50" s="293"/>
      <c r="CD50" s="293"/>
      <c r="CE50" s="293"/>
      <c r="CF50" s="293"/>
      <c r="CG50" s="293"/>
      <c r="CH50" s="293"/>
      <c r="CI50" s="293"/>
      <c r="CJ50" s="293"/>
      <c r="CK50" s="293"/>
      <c r="CL50" s="293"/>
      <c r="CM50" s="293"/>
      <c r="CN50" s="293"/>
      <c r="CO50" s="293"/>
      <c r="CP50" s="293"/>
      <c r="CQ50" s="293"/>
      <c r="CR50" s="293"/>
      <c r="CS50" s="293"/>
      <c r="CT50" s="293"/>
      <c r="CU50" s="293"/>
      <c r="CV50" s="293"/>
      <c r="CW50" s="293"/>
      <c r="CX50" s="293"/>
      <c r="CY50" s="293"/>
      <c r="CZ50" s="293"/>
      <c r="DA50" s="293"/>
      <c r="DB50" s="293"/>
      <c r="DC50" s="293"/>
      <c r="DD50" s="293"/>
      <c r="DE50" s="293"/>
      <c r="DF50" s="293"/>
    </row>
    <row r="51" ht="14.25" customHeight="1">
      <c r="A51" s="293"/>
      <c r="B51" s="293"/>
      <c r="C51" s="293"/>
      <c r="D51" s="293"/>
      <c r="E51" s="293"/>
      <c r="F51" s="293"/>
      <c r="G51" s="293"/>
      <c r="H51" s="293"/>
      <c r="I51" s="293"/>
      <c r="J51" s="293"/>
      <c r="K51" s="293"/>
      <c r="L51" s="293"/>
      <c r="M51" s="293"/>
      <c r="N51" s="293"/>
      <c r="O51" s="293"/>
      <c r="P51" s="293"/>
      <c r="Q51" s="293"/>
      <c r="R51" s="293"/>
      <c r="S51" s="293"/>
      <c r="T51" s="293"/>
      <c r="U51" s="293"/>
      <c r="V51" s="293"/>
      <c r="W51" s="293"/>
      <c r="X51" s="293"/>
      <c r="Y51" s="293"/>
      <c r="Z51" s="293"/>
      <c r="AA51" s="293"/>
      <c r="AB51" s="293"/>
      <c r="AC51" s="293"/>
      <c r="AD51" s="293"/>
      <c r="AE51" s="293"/>
      <c r="AF51" s="293"/>
      <c r="AG51" s="293"/>
      <c r="AH51" s="293"/>
      <c r="AI51" s="293"/>
      <c r="AJ51" s="293"/>
      <c r="AK51" s="293"/>
      <c r="AL51" s="293"/>
      <c r="AM51" s="293"/>
      <c r="AN51" s="293"/>
      <c r="AO51" s="293"/>
      <c r="AP51" s="293"/>
      <c r="AQ51" s="293"/>
      <c r="AR51" s="293"/>
      <c r="AS51" s="293"/>
      <c r="AT51" s="293"/>
      <c r="AU51" s="293"/>
      <c r="AV51" s="293"/>
      <c r="AW51" s="293"/>
      <c r="AX51" s="293"/>
      <c r="AY51" s="293"/>
      <c r="AZ51" s="293"/>
      <c r="BA51" s="293"/>
      <c r="BB51" s="293"/>
      <c r="BC51" s="293"/>
      <c r="BD51" s="293"/>
      <c r="BE51" s="293"/>
      <c r="BF51" s="293"/>
      <c r="BG51" s="293"/>
      <c r="BH51" s="293"/>
      <c r="BI51" s="293"/>
      <c r="BJ51" s="293"/>
      <c r="BK51" s="293"/>
      <c r="BL51" s="293"/>
      <c r="BM51" s="293"/>
      <c r="BN51" s="293"/>
      <c r="BO51" s="293"/>
      <c r="BP51" s="293"/>
      <c r="BQ51" s="293"/>
      <c r="BR51" s="293"/>
      <c r="BS51" s="293"/>
      <c r="BT51" s="293"/>
      <c r="BU51" s="293"/>
      <c r="BV51" s="293"/>
      <c r="BW51" s="293"/>
      <c r="BX51" s="293"/>
      <c r="BY51" s="293"/>
      <c r="BZ51" s="293"/>
      <c r="CA51" s="293"/>
      <c r="CB51" s="293"/>
      <c r="CC51" s="293"/>
      <c r="CD51" s="293"/>
      <c r="CE51" s="293"/>
      <c r="CF51" s="293"/>
      <c r="CG51" s="293"/>
      <c r="CH51" s="293"/>
      <c r="CI51" s="293"/>
      <c r="CJ51" s="293"/>
      <c r="CK51" s="293"/>
      <c r="CL51" s="293"/>
      <c r="CM51" s="293"/>
      <c r="CN51" s="293"/>
      <c r="CO51" s="293"/>
      <c r="CP51" s="293"/>
      <c r="CQ51" s="293"/>
      <c r="CR51" s="293"/>
      <c r="CS51" s="293"/>
      <c r="CT51" s="293"/>
      <c r="CU51" s="293"/>
      <c r="CV51" s="293"/>
      <c r="CW51" s="293"/>
      <c r="CX51" s="293"/>
      <c r="CY51" s="293"/>
      <c r="CZ51" s="293"/>
      <c r="DA51" s="293"/>
      <c r="DB51" s="293"/>
      <c r="DC51" s="293"/>
      <c r="DD51" s="293"/>
      <c r="DE51" s="293"/>
      <c r="DF51" s="293"/>
    </row>
    <row r="52" ht="14.25" customHeight="1">
      <c r="A52" s="293"/>
      <c r="B52" s="293"/>
      <c r="C52" s="293"/>
      <c r="D52" s="293"/>
      <c r="E52" s="293"/>
      <c r="F52" s="293"/>
      <c r="G52" s="293"/>
      <c r="H52" s="293"/>
      <c r="I52" s="293"/>
      <c r="J52" s="293"/>
      <c r="K52" s="293"/>
      <c r="L52" s="293"/>
      <c r="M52" s="293"/>
      <c r="N52" s="293"/>
      <c r="O52" s="293"/>
      <c r="P52" s="293"/>
      <c r="Q52" s="293"/>
      <c r="R52" s="293"/>
      <c r="S52" s="293"/>
      <c r="T52" s="293"/>
      <c r="U52" s="293"/>
      <c r="V52" s="293"/>
      <c r="W52" s="293"/>
      <c r="X52" s="293"/>
      <c r="Y52" s="293"/>
      <c r="Z52" s="293"/>
      <c r="AA52" s="293"/>
      <c r="AB52" s="293"/>
      <c r="AC52" s="293"/>
      <c r="AD52" s="293"/>
      <c r="AE52" s="293"/>
      <c r="AF52" s="293"/>
      <c r="AG52" s="293"/>
      <c r="AH52" s="293"/>
      <c r="AI52" s="293"/>
      <c r="AJ52" s="293"/>
      <c r="AK52" s="293"/>
      <c r="AL52" s="293"/>
      <c r="AM52" s="293"/>
      <c r="AN52" s="293"/>
      <c r="AO52" s="293"/>
      <c r="AP52" s="293"/>
      <c r="AQ52" s="293"/>
      <c r="AR52" s="293"/>
      <c r="AS52" s="293"/>
      <c r="AT52" s="293"/>
      <c r="AU52" s="293"/>
      <c r="AV52" s="293"/>
      <c r="AW52" s="293"/>
      <c r="AX52" s="293"/>
      <c r="AY52" s="293"/>
      <c r="AZ52" s="293"/>
      <c r="BA52" s="293"/>
      <c r="BB52" s="293"/>
      <c r="BC52" s="293"/>
      <c r="BD52" s="293"/>
      <c r="BE52" s="293"/>
      <c r="BF52" s="293"/>
      <c r="BG52" s="293"/>
      <c r="BH52" s="293"/>
      <c r="BI52" s="293"/>
      <c r="BJ52" s="293"/>
      <c r="BK52" s="293"/>
      <c r="BL52" s="293"/>
      <c r="BM52" s="293"/>
      <c r="BN52" s="293"/>
      <c r="BO52" s="293"/>
      <c r="BP52" s="293"/>
      <c r="BQ52" s="293"/>
      <c r="BR52" s="293"/>
      <c r="BS52" s="293"/>
      <c r="BT52" s="293"/>
      <c r="BU52" s="293"/>
      <c r="BV52" s="293"/>
      <c r="BW52" s="293"/>
      <c r="BX52" s="293"/>
      <c r="BY52" s="293"/>
      <c r="BZ52" s="293"/>
      <c r="CA52" s="293"/>
      <c r="CB52" s="293"/>
      <c r="CC52" s="293"/>
      <c r="CD52" s="293"/>
      <c r="CE52" s="293"/>
      <c r="CF52" s="293"/>
      <c r="CG52" s="293"/>
      <c r="CH52" s="293"/>
      <c r="CI52" s="293"/>
      <c r="CJ52" s="293"/>
      <c r="CK52" s="293"/>
      <c r="CL52" s="293"/>
      <c r="CM52" s="293"/>
      <c r="CN52" s="293"/>
      <c r="CO52" s="293"/>
      <c r="CP52" s="293"/>
      <c r="CQ52" s="293"/>
      <c r="CR52" s="293"/>
      <c r="CS52" s="293"/>
      <c r="CT52" s="293"/>
      <c r="CU52" s="293"/>
      <c r="CV52" s="293"/>
      <c r="CW52" s="293"/>
      <c r="CX52" s="293"/>
      <c r="CY52" s="293"/>
      <c r="CZ52" s="293"/>
      <c r="DA52" s="293"/>
      <c r="DB52" s="293"/>
      <c r="DC52" s="293"/>
      <c r="DD52" s="293"/>
      <c r="DE52" s="293"/>
      <c r="DF52" s="293"/>
    </row>
    <row r="53" ht="14.25" customHeight="1">
      <c r="A53" s="293"/>
      <c r="B53" s="293"/>
      <c r="C53" s="293"/>
      <c r="D53" s="293"/>
      <c r="E53" s="293"/>
      <c r="F53" s="293"/>
      <c r="G53" s="293"/>
      <c r="H53" s="293"/>
      <c r="I53" s="293"/>
      <c r="J53" s="293"/>
      <c r="K53" s="293"/>
      <c r="L53" s="293"/>
      <c r="M53" s="293"/>
      <c r="N53" s="293"/>
      <c r="O53" s="293"/>
      <c r="P53" s="293"/>
      <c r="Q53" s="293"/>
      <c r="R53" s="293"/>
      <c r="S53" s="293"/>
      <c r="T53" s="293"/>
      <c r="U53" s="293"/>
      <c r="V53" s="293"/>
      <c r="W53" s="293"/>
      <c r="X53" s="293"/>
      <c r="Y53" s="293"/>
      <c r="Z53" s="293"/>
      <c r="AA53" s="293"/>
      <c r="AB53" s="293"/>
      <c r="AC53" s="293"/>
      <c r="AD53" s="293"/>
      <c r="AE53" s="293"/>
      <c r="AF53" s="293"/>
      <c r="AG53" s="293"/>
      <c r="AH53" s="293"/>
      <c r="AI53" s="293"/>
      <c r="AJ53" s="293"/>
      <c r="AK53" s="293"/>
      <c r="AL53" s="293"/>
      <c r="AM53" s="293"/>
      <c r="AN53" s="293"/>
      <c r="AO53" s="293"/>
      <c r="AP53" s="293"/>
      <c r="AQ53" s="293"/>
      <c r="AR53" s="293"/>
      <c r="AS53" s="293"/>
      <c r="AT53" s="293"/>
      <c r="AU53" s="293"/>
      <c r="AV53" s="293"/>
      <c r="AW53" s="293"/>
      <c r="AX53" s="293"/>
      <c r="AY53" s="293"/>
      <c r="AZ53" s="293"/>
      <c r="BA53" s="293"/>
      <c r="BB53" s="293"/>
      <c r="BC53" s="293"/>
      <c r="BD53" s="293"/>
      <c r="BE53" s="293"/>
      <c r="BF53" s="293"/>
      <c r="BG53" s="293"/>
      <c r="BH53" s="293"/>
      <c r="BI53" s="293"/>
      <c r="BJ53" s="293"/>
      <c r="BK53" s="293"/>
      <c r="BL53" s="293"/>
      <c r="BM53" s="293"/>
      <c r="BN53" s="293"/>
      <c r="BO53" s="293"/>
      <c r="BP53" s="293"/>
      <c r="BQ53" s="293"/>
      <c r="BR53" s="293"/>
      <c r="BS53" s="293"/>
      <c r="BT53" s="293"/>
      <c r="BU53" s="293"/>
      <c r="BV53" s="293"/>
      <c r="BW53" s="293"/>
      <c r="BX53" s="293"/>
      <c r="BY53" s="293"/>
      <c r="BZ53" s="293"/>
      <c r="CA53" s="293"/>
      <c r="CB53" s="293"/>
      <c r="CC53" s="293"/>
      <c r="CD53" s="293"/>
      <c r="CE53" s="293"/>
      <c r="CF53" s="293"/>
      <c r="CG53" s="293"/>
      <c r="CH53" s="293"/>
      <c r="CI53" s="293"/>
      <c r="CJ53" s="293"/>
      <c r="CK53" s="293"/>
      <c r="CL53" s="293"/>
      <c r="CM53" s="293"/>
      <c r="CN53" s="293"/>
      <c r="CO53" s="293"/>
      <c r="CP53" s="293"/>
      <c r="CQ53" s="293"/>
      <c r="CR53" s="293"/>
      <c r="CS53" s="293"/>
      <c r="CT53" s="293"/>
      <c r="CU53" s="293"/>
      <c r="CV53" s="293"/>
      <c r="CW53" s="293"/>
      <c r="CX53" s="293"/>
      <c r="CY53" s="293"/>
      <c r="CZ53" s="293"/>
      <c r="DA53" s="293"/>
      <c r="DB53" s="293"/>
      <c r="DC53" s="293"/>
      <c r="DD53" s="293"/>
      <c r="DE53" s="293"/>
      <c r="DF53" s="293"/>
    </row>
    <row r="54" ht="14.25" customHeight="1">
      <c r="A54" s="293"/>
      <c r="B54" s="293"/>
      <c r="C54" s="293"/>
      <c r="D54" s="293"/>
      <c r="E54" s="293"/>
      <c r="F54" s="293"/>
      <c r="G54" s="293"/>
      <c r="H54" s="293"/>
      <c r="I54" s="293"/>
      <c r="J54" s="293"/>
      <c r="K54" s="293"/>
      <c r="L54" s="293"/>
      <c r="M54" s="293"/>
      <c r="N54" s="293"/>
      <c r="O54" s="293"/>
      <c r="P54" s="293"/>
      <c r="Q54" s="293"/>
      <c r="R54" s="293"/>
      <c r="S54" s="293"/>
      <c r="T54" s="293"/>
      <c r="U54" s="293"/>
      <c r="V54" s="293"/>
      <c r="W54" s="293"/>
      <c r="X54" s="293"/>
      <c r="Y54" s="293"/>
      <c r="Z54" s="293"/>
      <c r="AA54" s="293"/>
      <c r="AB54" s="293"/>
      <c r="AC54" s="293"/>
      <c r="AD54" s="293"/>
      <c r="AE54" s="293"/>
      <c r="AF54" s="293"/>
      <c r="AG54" s="293"/>
      <c r="AH54" s="293"/>
      <c r="AI54" s="293"/>
      <c r="AJ54" s="293"/>
      <c r="AK54" s="293"/>
      <c r="AL54" s="293"/>
      <c r="AM54" s="293"/>
      <c r="AN54" s="293"/>
      <c r="AO54" s="293"/>
      <c r="AP54" s="293"/>
      <c r="AQ54" s="293"/>
      <c r="AR54" s="293"/>
      <c r="AS54" s="293"/>
      <c r="AT54" s="293"/>
      <c r="AU54" s="293"/>
      <c r="AV54" s="293"/>
      <c r="AW54" s="293"/>
      <c r="AX54" s="293"/>
      <c r="AY54" s="293"/>
      <c r="AZ54" s="293"/>
      <c r="BA54" s="293"/>
      <c r="BB54" s="293"/>
      <c r="BC54" s="293"/>
      <c r="BD54" s="293"/>
      <c r="BE54" s="293"/>
      <c r="BF54" s="293"/>
      <c r="BG54" s="293"/>
      <c r="BH54" s="293"/>
      <c r="BI54" s="293"/>
      <c r="BJ54" s="293"/>
      <c r="BK54" s="293"/>
      <c r="BL54" s="293"/>
      <c r="BM54" s="293"/>
      <c r="BN54" s="293"/>
      <c r="BO54" s="293"/>
      <c r="BP54" s="293"/>
      <c r="BQ54" s="293"/>
      <c r="BR54" s="293"/>
      <c r="BS54" s="293"/>
      <c r="BT54" s="293"/>
      <c r="BU54" s="293"/>
      <c r="BV54" s="293"/>
      <c r="BW54" s="293"/>
      <c r="BX54" s="293"/>
      <c r="BY54" s="293"/>
      <c r="BZ54" s="293"/>
      <c r="CA54" s="293"/>
      <c r="CB54" s="293"/>
      <c r="CC54" s="293"/>
      <c r="CD54" s="293"/>
      <c r="CE54" s="293"/>
      <c r="CF54" s="293"/>
      <c r="CG54" s="293"/>
      <c r="CH54" s="293"/>
      <c r="CI54" s="293"/>
      <c r="CJ54" s="293"/>
      <c r="CK54" s="293"/>
      <c r="CL54" s="293"/>
      <c r="CM54" s="293"/>
      <c r="CN54" s="293"/>
      <c r="CO54" s="293"/>
      <c r="CP54" s="293"/>
      <c r="CQ54" s="293"/>
      <c r="CR54" s="293"/>
      <c r="CS54" s="293"/>
      <c r="CT54" s="293"/>
      <c r="CU54" s="293"/>
      <c r="CV54" s="293"/>
      <c r="CW54" s="293"/>
      <c r="CX54" s="293"/>
      <c r="CY54" s="293"/>
      <c r="CZ54" s="293"/>
      <c r="DA54" s="293"/>
      <c r="DB54" s="293"/>
      <c r="DC54" s="293"/>
      <c r="DD54" s="293"/>
      <c r="DE54" s="293"/>
      <c r="DF54" s="293"/>
    </row>
    <row r="55" ht="14.25" customHeight="1">
      <c r="A55" s="293"/>
      <c r="B55" s="293"/>
      <c r="C55" s="293"/>
      <c r="D55" s="293"/>
      <c r="E55" s="293"/>
      <c r="F55" s="293"/>
      <c r="G55" s="293"/>
      <c r="H55" s="293"/>
      <c r="I55" s="293"/>
      <c r="J55" s="293"/>
      <c r="K55" s="293"/>
      <c r="L55" s="293"/>
      <c r="M55" s="293"/>
      <c r="N55" s="293"/>
      <c r="O55" s="293"/>
      <c r="P55" s="293"/>
      <c r="Q55" s="293"/>
      <c r="R55" s="293"/>
      <c r="S55" s="293"/>
      <c r="T55" s="293"/>
      <c r="U55" s="293"/>
      <c r="V55" s="293"/>
      <c r="W55" s="293"/>
      <c r="X55" s="293"/>
      <c r="Y55" s="293"/>
      <c r="Z55" s="293"/>
      <c r="AA55" s="293"/>
      <c r="AB55" s="293"/>
      <c r="AC55" s="293"/>
      <c r="AD55" s="293"/>
      <c r="AE55" s="293"/>
      <c r="AF55" s="293"/>
      <c r="AG55" s="293"/>
      <c r="AH55" s="293"/>
      <c r="AI55" s="293"/>
      <c r="AJ55" s="293"/>
      <c r="AK55" s="293"/>
      <c r="AL55" s="293"/>
      <c r="AM55" s="293"/>
      <c r="AN55" s="293"/>
      <c r="AO55" s="293"/>
      <c r="AP55" s="293"/>
      <c r="AQ55" s="293"/>
      <c r="AR55" s="293"/>
      <c r="AS55" s="293"/>
      <c r="AT55" s="293"/>
      <c r="AU55" s="293"/>
      <c r="AV55" s="293"/>
      <c r="AW55" s="293"/>
      <c r="AX55" s="293"/>
      <c r="AY55" s="293"/>
      <c r="AZ55" s="293"/>
      <c r="BA55" s="293"/>
      <c r="BB55" s="293"/>
      <c r="BC55" s="293"/>
      <c r="BD55" s="293"/>
      <c r="BE55" s="293"/>
      <c r="BF55" s="293"/>
      <c r="BG55" s="293"/>
      <c r="BH55" s="293"/>
      <c r="BI55" s="293"/>
      <c r="BJ55" s="293"/>
      <c r="BK55" s="293"/>
      <c r="BL55" s="293"/>
      <c r="BM55" s="293"/>
      <c r="BN55" s="293"/>
      <c r="BO55" s="293"/>
      <c r="BP55" s="293"/>
      <c r="BQ55" s="293"/>
      <c r="BR55" s="293"/>
      <c r="BS55" s="293"/>
      <c r="BT55" s="293"/>
      <c r="BU55" s="293"/>
      <c r="BV55" s="293"/>
      <c r="BW55" s="293"/>
      <c r="BX55" s="293"/>
      <c r="BY55" s="293"/>
      <c r="BZ55" s="293"/>
      <c r="CA55" s="293"/>
      <c r="CB55" s="293"/>
      <c r="CC55" s="293"/>
      <c r="CD55" s="293"/>
      <c r="CE55" s="293"/>
      <c r="CF55" s="293"/>
      <c r="CG55" s="293"/>
      <c r="CH55" s="293"/>
      <c r="CI55" s="293"/>
      <c r="CJ55" s="293"/>
      <c r="CK55" s="293"/>
      <c r="CL55" s="293"/>
      <c r="CM55" s="293"/>
      <c r="CN55" s="293"/>
      <c r="CO55" s="293"/>
      <c r="CP55" s="293"/>
      <c r="CQ55" s="293"/>
      <c r="CR55" s="293"/>
      <c r="CS55" s="293"/>
      <c r="CT55" s="293"/>
      <c r="CU55" s="293"/>
      <c r="CV55" s="293"/>
      <c r="CW55" s="293"/>
      <c r="CX55" s="293"/>
      <c r="CY55" s="293"/>
      <c r="CZ55" s="293"/>
      <c r="DA55" s="293"/>
      <c r="DB55" s="293"/>
      <c r="DC55" s="293"/>
      <c r="DD55" s="293"/>
      <c r="DE55" s="293"/>
      <c r="DF55" s="293"/>
    </row>
    <row r="56" ht="14.25" customHeight="1">
      <c r="A56" s="293"/>
      <c r="B56" s="293"/>
      <c r="C56" s="293"/>
      <c r="D56" s="293"/>
      <c r="E56" s="293"/>
      <c r="F56" s="293"/>
      <c r="G56" s="293"/>
      <c r="H56" s="293"/>
      <c r="I56" s="293"/>
      <c r="J56" s="293"/>
      <c r="K56" s="293"/>
      <c r="L56" s="293"/>
      <c r="M56" s="293"/>
      <c r="N56" s="293"/>
      <c r="O56" s="293"/>
      <c r="P56" s="293"/>
      <c r="Q56" s="293"/>
      <c r="R56" s="293"/>
      <c r="S56" s="293"/>
      <c r="T56" s="293"/>
      <c r="U56" s="293"/>
      <c r="V56" s="293"/>
      <c r="W56" s="293"/>
      <c r="X56" s="293"/>
      <c r="Y56" s="293"/>
      <c r="Z56" s="293"/>
      <c r="AA56" s="293"/>
      <c r="AB56" s="293"/>
      <c r="AC56" s="293"/>
      <c r="AD56" s="293"/>
      <c r="AE56" s="293"/>
      <c r="AF56" s="293"/>
      <c r="AG56" s="293"/>
      <c r="AH56" s="293"/>
      <c r="AI56" s="293"/>
      <c r="AJ56" s="293"/>
      <c r="AK56" s="293"/>
      <c r="AL56" s="293"/>
      <c r="AM56" s="293"/>
      <c r="AN56" s="293"/>
      <c r="AO56" s="293"/>
      <c r="AP56" s="293"/>
      <c r="AQ56" s="293"/>
      <c r="AR56" s="293"/>
      <c r="AS56" s="293"/>
      <c r="AT56" s="293"/>
      <c r="AU56" s="293"/>
      <c r="AV56" s="293"/>
      <c r="AW56" s="293"/>
      <c r="AX56" s="293"/>
      <c r="AY56" s="293"/>
      <c r="AZ56" s="293"/>
      <c r="BA56" s="293"/>
      <c r="BB56" s="293"/>
      <c r="BC56" s="293"/>
      <c r="BD56" s="293"/>
      <c r="BE56" s="293"/>
      <c r="BF56" s="293"/>
      <c r="BG56" s="293"/>
      <c r="BH56" s="293"/>
      <c r="BI56" s="293"/>
      <c r="BJ56" s="293"/>
      <c r="BK56" s="293"/>
      <c r="BL56" s="293"/>
      <c r="BM56" s="293"/>
      <c r="BN56" s="293"/>
      <c r="BO56" s="293"/>
      <c r="BP56" s="293"/>
      <c r="BQ56" s="293"/>
      <c r="BR56" s="293"/>
      <c r="BS56" s="293"/>
      <c r="BT56" s="293"/>
      <c r="BU56" s="293"/>
      <c r="BV56" s="293"/>
      <c r="BW56" s="293"/>
      <c r="BX56" s="293"/>
      <c r="BY56" s="293"/>
      <c r="BZ56" s="293"/>
      <c r="CA56" s="293"/>
      <c r="CB56" s="293"/>
      <c r="CC56" s="293"/>
      <c r="CD56" s="293"/>
      <c r="CE56" s="293"/>
      <c r="CF56" s="293"/>
      <c r="CG56" s="293"/>
      <c r="CH56" s="293"/>
      <c r="CI56" s="293"/>
      <c r="CJ56" s="293"/>
      <c r="CK56" s="293"/>
      <c r="CL56" s="293"/>
      <c r="CM56" s="293"/>
      <c r="CN56" s="293"/>
      <c r="CO56" s="293"/>
      <c r="CP56" s="293"/>
      <c r="CQ56" s="293"/>
      <c r="CR56" s="293"/>
      <c r="CS56" s="293"/>
      <c r="CT56" s="293"/>
      <c r="CU56" s="293"/>
      <c r="CV56" s="293"/>
      <c r="CW56" s="293"/>
      <c r="CX56" s="293"/>
      <c r="CY56" s="293"/>
      <c r="CZ56" s="293"/>
      <c r="DA56" s="293"/>
      <c r="DB56" s="293"/>
      <c r="DC56" s="293"/>
      <c r="DD56" s="293"/>
      <c r="DE56" s="293"/>
      <c r="DF56" s="293"/>
    </row>
    <row r="57" ht="14.25" customHeight="1">
      <c r="A57" s="293"/>
      <c r="B57" s="293"/>
      <c r="C57" s="293"/>
      <c r="D57" s="293"/>
      <c r="E57" s="293"/>
      <c r="F57" s="293"/>
      <c r="G57" s="293"/>
      <c r="H57" s="293"/>
      <c r="I57" s="293"/>
      <c r="J57" s="293"/>
      <c r="K57" s="293"/>
      <c r="L57" s="293"/>
      <c r="M57" s="293"/>
      <c r="N57" s="293"/>
      <c r="O57" s="293"/>
      <c r="P57" s="293"/>
      <c r="Q57" s="293"/>
      <c r="R57" s="293"/>
      <c r="S57" s="293"/>
      <c r="T57" s="293"/>
      <c r="U57" s="293"/>
      <c r="V57" s="293"/>
      <c r="W57" s="293"/>
      <c r="X57" s="293"/>
      <c r="Y57" s="293"/>
      <c r="Z57" s="293"/>
      <c r="AA57" s="293"/>
      <c r="AB57" s="293"/>
      <c r="AC57" s="293"/>
      <c r="AD57" s="293"/>
      <c r="AE57" s="293"/>
      <c r="AF57" s="293"/>
      <c r="AG57" s="293"/>
      <c r="AH57" s="293"/>
      <c r="AI57" s="293"/>
      <c r="AJ57" s="293"/>
      <c r="AK57" s="293"/>
      <c r="AL57" s="293"/>
      <c r="AM57" s="293"/>
      <c r="AN57" s="293"/>
      <c r="AO57" s="293"/>
      <c r="AP57" s="293"/>
      <c r="AQ57" s="293"/>
      <c r="AR57" s="293"/>
      <c r="AS57" s="293"/>
      <c r="AT57" s="293"/>
      <c r="AU57" s="293"/>
      <c r="AV57" s="293"/>
      <c r="AW57" s="293"/>
      <c r="AX57" s="293"/>
      <c r="AY57" s="293"/>
      <c r="AZ57" s="293"/>
      <c r="BA57" s="293"/>
      <c r="BB57" s="293"/>
      <c r="BC57" s="293"/>
      <c r="BD57" s="293"/>
      <c r="BE57" s="293"/>
      <c r="BF57" s="293"/>
      <c r="BG57" s="293"/>
      <c r="BH57" s="293"/>
      <c r="BI57" s="293"/>
      <c r="BJ57" s="293"/>
      <c r="BK57" s="293"/>
      <c r="BL57" s="293"/>
      <c r="BM57" s="293"/>
      <c r="BN57" s="293"/>
      <c r="BO57" s="293"/>
      <c r="BP57" s="293"/>
      <c r="BQ57" s="293"/>
      <c r="BR57" s="293"/>
      <c r="BS57" s="293"/>
      <c r="BT57" s="293"/>
      <c r="BU57" s="293"/>
      <c r="BV57" s="293"/>
      <c r="BW57" s="293"/>
      <c r="BX57" s="293"/>
      <c r="BY57" s="293"/>
      <c r="BZ57" s="293"/>
      <c r="CA57" s="293"/>
      <c r="CB57" s="293"/>
      <c r="CC57" s="293"/>
      <c r="CD57" s="293"/>
      <c r="CE57" s="293"/>
      <c r="CF57" s="293"/>
      <c r="CG57" s="293"/>
      <c r="CH57" s="293"/>
      <c r="CI57" s="293"/>
      <c r="CJ57" s="293"/>
      <c r="CK57" s="293"/>
      <c r="CL57" s="293"/>
      <c r="CM57" s="293"/>
      <c r="CN57" s="293"/>
      <c r="CO57" s="293"/>
      <c r="CP57" s="293"/>
      <c r="CQ57" s="293"/>
      <c r="CR57" s="293"/>
      <c r="CS57" s="293"/>
      <c r="CT57" s="293"/>
      <c r="CU57" s="293"/>
      <c r="CV57" s="293"/>
      <c r="CW57" s="293"/>
      <c r="CX57" s="293"/>
      <c r="CY57" s="293"/>
      <c r="CZ57" s="293"/>
      <c r="DA57" s="293"/>
      <c r="DB57" s="293"/>
      <c r="DC57" s="293"/>
      <c r="DD57" s="293"/>
      <c r="DE57" s="293"/>
      <c r="DF57" s="293"/>
    </row>
    <row r="58" ht="14.25" customHeight="1">
      <c r="A58" s="293"/>
      <c r="B58" s="293"/>
      <c r="C58" s="293"/>
      <c r="D58" s="293"/>
      <c r="E58" s="293"/>
      <c r="F58" s="293"/>
      <c r="G58" s="293"/>
      <c r="H58" s="293"/>
      <c r="I58" s="293"/>
      <c r="J58" s="293"/>
      <c r="K58" s="293"/>
      <c r="L58" s="293"/>
      <c r="M58" s="293"/>
      <c r="N58" s="293"/>
      <c r="O58" s="293"/>
      <c r="P58" s="293"/>
      <c r="Q58" s="293"/>
      <c r="R58" s="293"/>
      <c r="S58" s="293"/>
      <c r="T58" s="293"/>
      <c r="U58" s="293"/>
      <c r="V58" s="293"/>
      <c r="W58" s="293"/>
      <c r="X58" s="293"/>
      <c r="Y58" s="293"/>
      <c r="Z58" s="293"/>
      <c r="AA58" s="293"/>
      <c r="AB58" s="293"/>
      <c r="AC58" s="293"/>
      <c r="AD58" s="293"/>
      <c r="AE58" s="293"/>
      <c r="AF58" s="293"/>
      <c r="AG58" s="293"/>
      <c r="AH58" s="293"/>
      <c r="AI58" s="293"/>
      <c r="AJ58" s="293"/>
      <c r="AK58" s="293"/>
      <c r="AL58" s="293"/>
      <c r="AM58" s="293"/>
      <c r="AN58" s="293"/>
      <c r="AO58" s="293"/>
      <c r="AP58" s="293"/>
      <c r="AQ58" s="293"/>
      <c r="AR58" s="293"/>
      <c r="AS58" s="293"/>
      <c r="AT58" s="293"/>
      <c r="AU58" s="293"/>
      <c r="AV58" s="293"/>
      <c r="AW58" s="293"/>
      <c r="AX58" s="293"/>
      <c r="AY58" s="293"/>
      <c r="AZ58" s="293"/>
      <c r="BA58" s="293"/>
      <c r="BB58" s="293"/>
      <c r="BC58" s="293"/>
      <c r="BD58" s="293"/>
      <c r="BE58" s="293"/>
      <c r="BF58" s="293"/>
      <c r="BG58" s="293"/>
      <c r="BH58" s="293"/>
      <c r="BI58" s="293"/>
      <c r="BJ58" s="293"/>
      <c r="BK58" s="293"/>
      <c r="BL58" s="293"/>
      <c r="BM58" s="293"/>
      <c r="BN58" s="293"/>
      <c r="BO58" s="293"/>
      <c r="BP58" s="293"/>
      <c r="BQ58" s="293"/>
      <c r="BR58" s="293"/>
      <c r="BS58" s="293"/>
      <c r="BT58" s="293"/>
      <c r="BU58" s="293"/>
      <c r="BV58" s="293"/>
      <c r="BW58" s="293"/>
      <c r="BX58" s="293"/>
      <c r="BY58" s="293"/>
      <c r="BZ58" s="293"/>
      <c r="CA58" s="293"/>
      <c r="CB58" s="293"/>
      <c r="CC58" s="293"/>
      <c r="CD58" s="293"/>
      <c r="CE58" s="293"/>
      <c r="CF58" s="293"/>
      <c r="CG58" s="293"/>
      <c r="CH58" s="293"/>
      <c r="CI58" s="293"/>
      <c r="CJ58" s="293"/>
      <c r="CK58" s="293"/>
      <c r="CL58" s="293"/>
      <c r="CM58" s="293"/>
      <c r="CN58" s="293"/>
      <c r="CO58" s="293"/>
      <c r="CP58" s="293"/>
      <c r="CQ58" s="293"/>
      <c r="CR58" s="293"/>
      <c r="CS58" s="293"/>
      <c r="CT58" s="293"/>
      <c r="CU58" s="293"/>
      <c r="CV58" s="293"/>
      <c r="CW58" s="293"/>
      <c r="CX58" s="293"/>
      <c r="CY58" s="293"/>
      <c r="CZ58" s="293"/>
      <c r="DA58" s="293"/>
      <c r="DB58" s="293"/>
      <c r="DC58" s="293"/>
      <c r="DD58" s="293"/>
      <c r="DE58" s="293"/>
      <c r="DF58" s="293"/>
    </row>
    <row r="59" ht="14.25" customHeight="1">
      <c r="A59" s="293"/>
      <c r="B59" s="293"/>
      <c r="C59" s="293"/>
      <c r="D59" s="293"/>
      <c r="E59" s="293"/>
      <c r="F59" s="293"/>
      <c r="G59" s="293"/>
      <c r="H59" s="293"/>
      <c r="I59" s="293"/>
      <c r="J59" s="293"/>
      <c r="K59" s="293"/>
      <c r="L59" s="293"/>
      <c r="M59" s="293"/>
      <c r="N59" s="293"/>
      <c r="O59" s="293"/>
      <c r="P59" s="293"/>
      <c r="Q59" s="293"/>
      <c r="R59" s="293"/>
      <c r="S59" s="293"/>
      <c r="T59" s="293"/>
      <c r="U59" s="293"/>
      <c r="V59" s="293"/>
      <c r="W59" s="293"/>
      <c r="X59" s="293"/>
      <c r="Y59" s="293"/>
      <c r="Z59" s="293"/>
      <c r="AA59" s="293"/>
      <c r="AB59" s="293"/>
      <c r="AC59" s="293"/>
      <c r="AD59" s="293"/>
      <c r="AE59" s="293"/>
      <c r="AF59" s="293"/>
      <c r="AG59" s="293"/>
      <c r="AH59" s="293"/>
      <c r="AI59" s="293"/>
      <c r="AJ59" s="293"/>
      <c r="AK59" s="293"/>
      <c r="AL59" s="293"/>
      <c r="AM59" s="293"/>
      <c r="AN59" s="293"/>
      <c r="AO59" s="293"/>
      <c r="AP59" s="293"/>
      <c r="AQ59" s="293"/>
      <c r="AR59" s="293"/>
      <c r="AS59" s="293"/>
      <c r="AT59" s="293"/>
      <c r="AU59" s="293"/>
      <c r="AV59" s="293"/>
      <c r="AW59" s="293"/>
      <c r="AX59" s="293"/>
      <c r="AY59" s="293"/>
      <c r="AZ59" s="293"/>
      <c r="BA59" s="293"/>
      <c r="BB59" s="293"/>
      <c r="BC59" s="293"/>
      <c r="BD59" s="293"/>
      <c r="BE59" s="293"/>
      <c r="BF59" s="293"/>
      <c r="BG59" s="293"/>
      <c r="BH59" s="293"/>
      <c r="BI59" s="293"/>
      <c r="BJ59" s="293"/>
      <c r="BK59" s="293"/>
      <c r="BL59" s="293"/>
      <c r="BM59" s="293"/>
      <c r="BN59" s="293"/>
      <c r="BO59" s="293"/>
      <c r="BP59" s="293"/>
      <c r="BQ59" s="293"/>
      <c r="BR59" s="293"/>
      <c r="BS59" s="293"/>
      <c r="BT59" s="293"/>
      <c r="BU59" s="293"/>
      <c r="BV59" s="293"/>
      <c r="BW59" s="293"/>
      <c r="BX59" s="293"/>
      <c r="BY59" s="293"/>
      <c r="BZ59" s="293"/>
      <c r="CA59" s="293"/>
      <c r="CB59" s="293"/>
      <c r="CC59" s="293"/>
      <c r="CD59" s="293"/>
      <c r="CE59" s="293"/>
      <c r="CF59" s="293"/>
      <c r="CG59" s="293"/>
      <c r="CH59" s="293"/>
      <c r="CI59" s="293"/>
      <c r="CJ59" s="293"/>
      <c r="CK59" s="293"/>
      <c r="CL59" s="293"/>
      <c r="CM59" s="293"/>
      <c r="CN59" s="293"/>
      <c r="CO59" s="293"/>
      <c r="CP59" s="293"/>
      <c r="CQ59" s="293"/>
      <c r="CR59" s="293"/>
      <c r="CS59" s="293"/>
      <c r="CT59" s="293"/>
      <c r="CU59" s="293"/>
      <c r="CV59" s="293"/>
      <c r="CW59" s="293"/>
      <c r="CX59" s="293"/>
      <c r="CY59" s="293"/>
      <c r="CZ59" s="293"/>
      <c r="DA59" s="293"/>
      <c r="DB59" s="293"/>
      <c r="DC59" s="293"/>
      <c r="DD59" s="293"/>
      <c r="DE59" s="293"/>
      <c r="DF59" s="293"/>
    </row>
    <row r="60" ht="14.25" customHeight="1">
      <c r="A60" s="293"/>
      <c r="B60" s="293"/>
      <c r="C60" s="293"/>
      <c r="D60" s="293"/>
      <c r="E60" s="293"/>
      <c r="F60" s="293"/>
      <c r="G60" s="293"/>
      <c r="H60" s="293"/>
      <c r="I60" s="293"/>
      <c r="J60" s="293"/>
      <c r="K60" s="293"/>
      <c r="L60" s="293"/>
      <c r="M60" s="293"/>
      <c r="N60" s="293"/>
      <c r="O60" s="293"/>
      <c r="P60" s="293"/>
      <c r="Q60" s="293"/>
      <c r="R60" s="293"/>
      <c r="S60" s="293"/>
      <c r="T60" s="293"/>
      <c r="U60" s="293"/>
      <c r="V60" s="293"/>
      <c r="W60" s="293"/>
      <c r="X60" s="293"/>
      <c r="Y60" s="293"/>
      <c r="Z60" s="293"/>
      <c r="AA60" s="293"/>
      <c r="AB60" s="293"/>
      <c r="AC60" s="293"/>
      <c r="AD60" s="293"/>
      <c r="AE60" s="293"/>
      <c r="AF60" s="293"/>
      <c r="AG60" s="293"/>
      <c r="AH60" s="293"/>
      <c r="AI60" s="293"/>
      <c r="AJ60" s="293"/>
      <c r="AK60" s="293"/>
      <c r="AL60" s="293"/>
      <c r="AM60" s="293"/>
      <c r="AN60" s="293"/>
      <c r="AO60" s="293"/>
      <c r="AP60" s="293"/>
      <c r="AQ60" s="293"/>
      <c r="AR60" s="293"/>
      <c r="AS60" s="293"/>
      <c r="AT60" s="293"/>
      <c r="AU60" s="293"/>
      <c r="AV60" s="293"/>
      <c r="AW60" s="293"/>
      <c r="AX60" s="293"/>
      <c r="AY60" s="293"/>
      <c r="AZ60" s="293"/>
      <c r="BA60" s="293"/>
      <c r="BB60" s="293"/>
      <c r="BC60" s="293"/>
      <c r="BD60" s="293"/>
      <c r="BE60" s="293"/>
      <c r="BF60" s="293"/>
      <c r="BG60" s="293"/>
      <c r="BH60" s="293"/>
      <c r="BI60" s="293"/>
      <c r="BJ60" s="293"/>
      <c r="BK60" s="293"/>
      <c r="BL60" s="293"/>
      <c r="BM60" s="293"/>
      <c r="BN60" s="293"/>
      <c r="BO60" s="293"/>
      <c r="BP60" s="293"/>
      <c r="BQ60" s="293"/>
      <c r="BR60" s="293"/>
      <c r="BS60" s="293"/>
      <c r="BT60" s="293"/>
      <c r="BU60" s="293"/>
      <c r="BV60" s="293"/>
      <c r="BW60" s="293"/>
      <c r="BX60" s="293"/>
      <c r="BY60" s="293"/>
      <c r="BZ60" s="293"/>
      <c r="CA60" s="293"/>
      <c r="CB60" s="293"/>
      <c r="CC60" s="293"/>
      <c r="CD60" s="293"/>
      <c r="CE60" s="293"/>
      <c r="CF60" s="293"/>
      <c r="CG60" s="293"/>
      <c r="CH60" s="293"/>
      <c r="CI60" s="293"/>
      <c r="CJ60" s="293"/>
      <c r="CK60" s="293"/>
      <c r="CL60" s="293"/>
      <c r="CM60" s="293"/>
      <c r="CN60" s="293"/>
      <c r="CO60" s="293"/>
      <c r="CP60" s="293"/>
      <c r="CQ60" s="293"/>
      <c r="CR60" s="293"/>
      <c r="CS60" s="293"/>
      <c r="CT60" s="293"/>
      <c r="CU60" s="293"/>
      <c r="CV60" s="293"/>
      <c r="CW60" s="293"/>
      <c r="CX60" s="293"/>
      <c r="CY60" s="293"/>
      <c r="CZ60" s="293"/>
      <c r="DA60" s="293"/>
      <c r="DB60" s="293"/>
      <c r="DC60" s="293"/>
      <c r="DD60" s="293"/>
      <c r="DE60" s="293"/>
      <c r="DF60" s="293"/>
    </row>
    <row r="61" ht="14.25" customHeight="1">
      <c r="A61" s="293"/>
      <c r="B61" s="293"/>
      <c r="C61" s="293"/>
      <c r="D61" s="293"/>
      <c r="E61" s="293"/>
      <c r="F61" s="293"/>
      <c r="G61" s="293"/>
      <c r="H61" s="293"/>
      <c r="I61" s="293"/>
      <c r="J61" s="293"/>
      <c r="K61" s="293"/>
      <c r="L61" s="293"/>
      <c r="M61" s="293"/>
      <c r="N61" s="293"/>
      <c r="O61" s="293"/>
      <c r="P61" s="293"/>
      <c r="Q61" s="293"/>
      <c r="R61" s="293"/>
      <c r="S61" s="293"/>
      <c r="T61" s="293"/>
      <c r="U61" s="293"/>
      <c r="V61" s="293"/>
      <c r="W61" s="293"/>
      <c r="X61" s="293"/>
      <c r="Y61" s="293"/>
      <c r="Z61" s="293"/>
      <c r="AA61" s="293"/>
      <c r="AB61" s="293"/>
      <c r="AC61" s="293"/>
      <c r="AD61" s="293"/>
      <c r="AE61" s="293"/>
      <c r="AF61" s="293"/>
      <c r="AG61" s="293"/>
      <c r="AH61" s="293"/>
      <c r="AI61" s="293"/>
      <c r="AJ61" s="293"/>
      <c r="AK61" s="293"/>
      <c r="AL61" s="293"/>
      <c r="AM61" s="293"/>
      <c r="AN61" s="293"/>
      <c r="AO61" s="293"/>
      <c r="AP61" s="293"/>
      <c r="AQ61" s="293"/>
      <c r="AR61" s="293"/>
      <c r="AS61" s="293"/>
      <c r="AT61" s="293"/>
      <c r="AU61" s="293"/>
      <c r="AV61" s="293"/>
      <c r="AW61" s="293"/>
      <c r="AX61" s="293"/>
      <c r="AY61" s="293"/>
      <c r="AZ61" s="293"/>
      <c r="BA61" s="293"/>
      <c r="BB61" s="293"/>
      <c r="BC61" s="293"/>
      <c r="BD61" s="293"/>
      <c r="BE61" s="293"/>
      <c r="BF61" s="293"/>
      <c r="BG61" s="293"/>
      <c r="BH61" s="293"/>
      <c r="BI61" s="293"/>
      <c r="BJ61" s="293"/>
      <c r="BK61" s="293"/>
      <c r="BL61" s="293"/>
      <c r="BM61" s="293"/>
      <c r="BN61" s="293"/>
      <c r="BO61" s="293"/>
      <c r="BP61" s="293"/>
      <c r="BQ61" s="293"/>
      <c r="BR61" s="293"/>
      <c r="BS61" s="293"/>
      <c r="BT61" s="293"/>
      <c r="BU61" s="293"/>
      <c r="BV61" s="293"/>
      <c r="BW61" s="293"/>
      <c r="BX61" s="293"/>
      <c r="BY61" s="293"/>
      <c r="BZ61" s="293"/>
      <c r="CA61" s="293"/>
      <c r="CB61" s="293"/>
      <c r="CC61" s="293"/>
      <c r="CD61" s="293"/>
      <c r="CE61" s="293"/>
      <c r="CF61" s="293"/>
      <c r="CG61" s="293"/>
      <c r="CH61" s="293"/>
      <c r="CI61" s="293"/>
      <c r="CJ61" s="293"/>
      <c r="CK61" s="293"/>
      <c r="CL61" s="293"/>
      <c r="CM61" s="293"/>
      <c r="CN61" s="293"/>
      <c r="CO61" s="293"/>
      <c r="CP61" s="293"/>
      <c r="CQ61" s="293"/>
      <c r="CR61" s="293"/>
      <c r="CS61" s="293"/>
      <c r="CT61" s="293"/>
      <c r="CU61" s="293"/>
      <c r="CV61" s="293"/>
      <c r="CW61" s="293"/>
      <c r="CX61" s="293"/>
      <c r="CY61" s="293"/>
      <c r="CZ61" s="293"/>
      <c r="DA61" s="293"/>
      <c r="DB61" s="293"/>
      <c r="DC61" s="293"/>
      <c r="DD61" s="293"/>
      <c r="DE61" s="293"/>
      <c r="DF61" s="293"/>
    </row>
    <row r="62" ht="14.25" customHeight="1">
      <c r="A62" s="293"/>
      <c r="B62" s="293"/>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3"/>
      <c r="AC62" s="293"/>
      <c r="AD62" s="293"/>
      <c r="AE62" s="293"/>
      <c r="AF62" s="293"/>
      <c r="AG62" s="293"/>
      <c r="AH62" s="293"/>
      <c r="AI62" s="293"/>
      <c r="AJ62" s="293"/>
      <c r="AK62" s="293"/>
      <c r="AL62" s="293"/>
      <c r="AM62" s="293"/>
      <c r="AN62" s="293"/>
      <c r="AO62" s="293"/>
      <c r="AP62" s="293"/>
      <c r="AQ62" s="293"/>
      <c r="AR62" s="293"/>
      <c r="AS62" s="293"/>
      <c r="AT62" s="293"/>
      <c r="AU62" s="293"/>
      <c r="AV62" s="293"/>
      <c r="AW62" s="293"/>
      <c r="AX62" s="293"/>
      <c r="AY62" s="293"/>
      <c r="AZ62" s="293"/>
      <c r="BA62" s="293"/>
      <c r="BB62" s="293"/>
      <c r="BC62" s="293"/>
      <c r="BD62" s="293"/>
      <c r="BE62" s="293"/>
      <c r="BF62" s="293"/>
      <c r="BG62" s="293"/>
      <c r="BH62" s="293"/>
      <c r="BI62" s="293"/>
      <c r="BJ62" s="293"/>
      <c r="BK62" s="293"/>
      <c r="BL62" s="293"/>
      <c r="BM62" s="293"/>
      <c r="BN62" s="293"/>
      <c r="BO62" s="293"/>
      <c r="BP62" s="293"/>
      <c r="BQ62" s="293"/>
      <c r="BR62" s="293"/>
      <c r="BS62" s="293"/>
      <c r="BT62" s="293"/>
      <c r="BU62" s="293"/>
      <c r="BV62" s="293"/>
      <c r="BW62" s="293"/>
      <c r="BX62" s="293"/>
      <c r="BY62" s="293"/>
      <c r="BZ62" s="293"/>
      <c r="CA62" s="293"/>
      <c r="CB62" s="293"/>
      <c r="CC62" s="293"/>
      <c r="CD62" s="293"/>
      <c r="CE62" s="293"/>
      <c r="CF62" s="293"/>
      <c r="CG62" s="293"/>
      <c r="CH62" s="293"/>
      <c r="CI62" s="293"/>
      <c r="CJ62" s="293"/>
      <c r="CK62" s="293"/>
      <c r="CL62" s="293"/>
      <c r="CM62" s="293"/>
      <c r="CN62" s="293"/>
      <c r="CO62" s="293"/>
      <c r="CP62" s="293"/>
      <c r="CQ62" s="293"/>
      <c r="CR62" s="293"/>
      <c r="CS62" s="293"/>
      <c r="CT62" s="293"/>
      <c r="CU62" s="293"/>
      <c r="CV62" s="293"/>
      <c r="CW62" s="293"/>
      <c r="CX62" s="293"/>
      <c r="CY62" s="293"/>
      <c r="CZ62" s="293"/>
      <c r="DA62" s="293"/>
      <c r="DB62" s="293"/>
      <c r="DC62" s="293"/>
      <c r="DD62" s="293"/>
      <c r="DE62" s="293"/>
      <c r="DF62" s="293"/>
    </row>
    <row r="63" ht="14.25" customHeight="1">
      <c r="A63" s="293"/>
      <c r="B63" s="293"/>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3"/>
      <c r="AC63" s="293"/>
      <c r="AD63" s="293"/>
      <c r="AE63" s="293"/>
      <c r="AF63" s="293"/>
      <c r="AG63" s="293"/>
      <c r="AH63" s="293"/>
      <c r="AI63" s="293"/>
      <c r="AJ63" s="293"/>
      <c r="AK63" s="293"/>
      <c r="AL63" s="293"/>
      <c r="AM63" s="293"/>
      <c r="AN63" s="293"/>
      <c r="AO63" s="293"/>
      <c r="AP63" s="293"/>
      <c r="AQ63" s="293"/>
      <c r="AR63" s="293"/>
      <c r="AS63" s="293"/>
      <c r="AT63" s="293"/>
      <c r="AU63" s="293"/>
      <c r="AV63" s="293"/>
      <c r="AW63" s="293"/>
      <c r="AX63" s="293"/>
      <c r="AY63" s="293"/>
      <c r="AZ63" s="293"/>
      <c r="BA63" s="293"/>
      <c r="BB63" s="293"/>
      <c r="BC63" s="293"/>
      <c r="BD63" s="293"/>
      <c r="BE63" s="293"/>
      <c r="BF63" s="293"/>
      <c r="BG63" s="293"/>
      <c r="BH63" s="293"/>
      <c r="BI63" s="293"/>
      <c r="BJ63" s="293"/>
      <c r="BK63" s="293"/>
      <c r="BL63" s="293"/>
      <c r="BM63" s="293"/>
      <c r="BN63" s="293"/>
      <c r="BO63" s="293"/>
      <c r="BP63" s="293"/>
      <c r="BQ63" s="293"/>
      <c r="BR63" s="293"/>
      <c r="BS63" s="293"/>
      <c r="BT63" s="293"/>
      <c r="BU63" s="293"/>
      <c r="BV63" s="293"/>
      <c r="BW63" s="293"/>
      <c r="BX63" s="293"/>
      <c r="BY63" s="293"/>
      <c r="BZ63" s="293"/>
      <c r="CA63" s="293"/>
      <c r="CB63" s="293"/>
      <c r="CC63" s="293"/>
      <c r="CD63" s="293"/>
      <c r="CE63" s="293"/>
      <c r="CF63" s="293"/>
      <c r="CG63" s="293"/>
      <c r="CH63" s="293"/>
      <c r="CI63" s="293"/>
      <c r="CJ63" s="293"/>
      <c r="CK63" s="293"/>
      <c r="CL63" s="293"/>
      <c r="CM63" s="293"/>
      <c r="CN63" s="293"/>
      <c r="CO63" s="293"/>
      <c r="CP63" s="293"/>
      <c r="CQ63" s="293"/>
      <c r="CR63" s="293"/>
      <c r="CS63" s="293"/>
      <c r="CT63" s="293"/>
      <c r="CU63" s="293"/>
      <c r="CV63" s="293"/>
      <c r="CW63" s="293"/>
      <c r="CX63" s="293"/>
      <c r="CY63" s="293"/>
      <c r="CZ63" s="293"/>
      <c r="DA63" s="293"/>
      <c r="DB63" s="293"/>
      <c r="DC63" s="293"/>
      <c r="DD63" s="293"/>
      <c r="DE63" s="293"/>
      <c r="DF63" s="293"/>
    </row>
    <row r="64" ht="14.25" customHeight="1">
      <c r="A64" s="293"/>
      <c r="B64" s="293"/>
      <c r="C64" s="293"/>
      <c r="D64" s="293"/>
      <c r="E64" s="293"/>
      <c r="F64" s="293"/>
      <c r="G64" s="293"/>
      <c r="H64" s="293"/>
      <c r="I64" s="293"/>
      <c r="J64" s="293"/>
      <c r="K64" s="293"/>
      <c r="L64" s="293"/>
      <c r="M64" s="293"/>
      <c r="N64" s="293"/>
      <c r="O64" s="293"/>
      <c r="P64" s="293"/>
      <c r="Q64" s="293"/>
      <c r="R64" s="293"/>
      <c r="S64" s="293"/>
      <c r="T64" s="293"/>
      <c r="U64" s="293"/>
      <c r="V64" s="293"/>
      <c r="W64" s="293"/>
      <c r="X64" s="293"/>
      <c r="Y64" s="293"/>
      <c r="Z64" s="293"/>
      <c r="AA64" s="293"/>
      <c r="AB64" s="293"/>
      <c r="AC64" s="293"/>
      <c r="AD64" s="293"/>
      <c r="AE64" s="293"/>
      <c r="AF64" s="293"/>
      <c r="AG64" s="293"/>
      <c r="AH64" s="293"/>
      <c r="AI64" s="293"/>
      <c r="AJ64" s="293"/>
      <c r="AK64" s="293"/>
      <c r="AL64" s="293"/>
      <c r="AM64" s="293"/>
      <c r="AN64" s="293"/>
      <c r="AO64" s="293"/>
      <c r="AP64" s="293"/>
      <c r="AQ64" s="293"/>
      <c r="AR64" s="293"/>
      <c r="AS64" s="293"/>
      <c r="AT64" s="293"/>
      <c r="AU64" s="293"/>
      <c r="AV64" s="293"/>
      <c r="AW64" s="293"/>
      <c r="AX64" s="293"/>
      <c r="AY64" s="293"/>
      <c r="AZ64" s="293"/>
      <c r="BA64" s="293"/>
      <c r="BB64" s="293"/>
      <c r="BC64" s="293"/>
      <c r="BD64" s="293"/>
      <c r="BE64" s="293"/>
      <c r="BF64" s="293"/>
      <c r="BG64" s="293"/>
      <c r="BH64" s="293"/>
      <c r="BI64" s="293"/>
      <c r="BJ64" s="293"/>
      <c r="BK64" s="293"/>
      <c r="BL64" s="293"/>
      <c r="BM64" s="293"/>
      <c r="BN64" s="293"/>
      <c r="BO64" s="293"/>
      <c r="BP64" s="293"/>
      <c r="BQ64" s="293"/>
      <c r="BR64" s="293"/>
      <c r="BS64" s="293"/>
      <c r="BT64" s="293"/>
      <c r="BU64" s="293"/>
      <c r="BV64" s="293"/>
      <c r="BW64" s="293"/>
      <c r="BX64" s="293"/>
      <c r="BY64" s="293"/>
      <c r="BZ64" s="293"/>
      <c r="CA64" s="293"/>
      <c r="CB64" s="293"/>
      <c r="CC64" s="293"/>
      <c r="CD64" s="293"/>
      <c r="CE64" s="293"/>
      <c r="CF64" s="293"/>
      <c r="CG64" s="293"/>
      <c r="CH64" s="293"/>
      <c r="CI64" s="293"/>
      <c r="CJ64" s="293"/>
      <c r="CK64" s="293"/>
      <c r="CL64" s="293"/>
      <c r="CM64" s="293"/>
      <c r="CN64" s="293"/>
      <c r="CO64" s="293"/>
      <c r="CP64" s="293"/>
      <c r="CQ64" s="293"/>
      <c r="CR64" s="293"/>
      <c r="CS64" s="293"/>
      <c r="CT64" s="293"/>
      <c r="CU64" s="293"/>
      <c r="CV64" s="293"/>
      <c r="CW64" s="293"/>
      <c r="CX64" s="293"/>
      <c r="CY64" s="293"/>
      <c r="CZ64" s="293"/>
      <c r="DA64" s="293"/>
      <c r="DB64" s="293"/>
      <c r="DC64" s="293"/>
      <c r="DD64" s="293"/>
      <c r="DE64" s="293"/>
      <c r="DF64" s="293"/>
    </row>
    <row r="65" ht="14.25" customHeight="1">
      <c r="A65" s="293"/>
      <c r="B65" s="293"/>
      <c r="C65" s="293"/>
      <c r="D65" s="293"/>
      <c r="E65" s="293"/>
      <c r="F65" s="293"/>
      <c r="G65" s="293"/>
      <c r="H65" s="293"/>
      <c r="I65" s="293"/>
      <c r="J65" s="293"/>
      <c r="K65" s="293"/>
      <c r="L65" s="293"/>
      <c r="M65" s="293"/>
      <c r="N65" s="293"/>
      <c r="O65" s="293"/>
      <c r="P65" s="293"/>
      <c r="Q65" s="293"/>
      <c r="R65" s="293"/>
      <c r="S65" s="293"/>
      <c r="T65" s="293"/>
      <c r="U65" s="293"/>
      <c r="V65" s="293"/>
      <c r="W65" s="293"/>
      <c r="X65" s="293"/>
      <c r="Y65" s="293"/>
      <c r="Z65" s="293"/>
      <c r="AA65" s="293"/>
      <c r="AB65" s="293"/>
      <c r="AC65" s="293"/>
      <c r="AD65" s="293"/>
      <c r="AE65" s="293"/>
      <c r="AF65" s="293"/>
      <c r="AG65" s="293"/>
      <c r="AH65" s="293"/>
      <c r="AI65" s="293"/>
      <c r="AJ65" s="293"/>
      <c r="AK65" s="293"/>
      <c r="AL65" s="293"/>
      <c r="AM65" s="293"/>
      <c r="AN65" s="293"/>
      <c r="AO65" s="293"/>
      <c r="AP65" s="293"/>
      <c r="AQ65" s="293"/>
      <c r="AR65" s="293"/>
      <c r="AS65" s="293"/>
      <c r="AT65" s="293"/>
      <c r="AU65" s="293"/>
      <c r="AV65" s="293"/>
      <c r="AW65" s="293"/>
      <c r="AX65" s="293"/>
      <c r="AY65" s="293"/>
      <c r="AZ65" s="293"/>
      <c r="BA65" s="293"/>
      <c r="BB65" s="293"/>
      <c r="BC65" s="293"/>
      <c r="BD65" s="293"/>
      <c r="BE65" s="293"/>
      <c r="BF65" s="293"/>
      <c r="BG65" s="293"/>
      <c r="BH65" s="293"/>
      <c r="BI65" s="293"/>
      <c r="BJ65" s="293"/>
      <c r="BK65" s="293"/>
      <c r="BL65" s="293"/>
      <c r="BM65" s="293"/>
      <c r="BN65" s="293"/>
      <c r="BO65" s="293"/>
      <c r="BP65" s="293"/>
      <c r="BQ65" s="293"/>
      <c r="BR65" s="293"/>
      <c r="BS65" s="293"/>
      <c r="BT65" s="293"/>
      <c r="BU65" s="293"/>
      <c r="BV65" s="293"/>
      <c r="BW65" s="293"/>
      <c r="BX65" s="293"/>
      <c r="BY65" s="293"/>
      <c r="BZ65" s="293"/>
      <c r="CA65" s="293"/>
      <c r="CB65" s="293"/>
      <c r="CC65" s="293"/>
      <c r="CD65" s="293"/>
      <c r="CE65" s="293"/>
      <c r="CF65" s="293"/>
      <c r="CG65" s="293"/>
      <c r="CH65" s="293"/>
      <c r="CI65" s="293"/>
      <c r="CJ65" s="293"/>
      <c r="CK65" s="293"/>
      <c r="CL65" s="293"/>
      <c r="CM65" s="293"/>
      <c r="CN65" s="293"/>
      <c r="CO65" s="293"/>
      <c r="CP65" s="293"/>
      <c r="CQ65" s="293"/>
      <c r="CR65" s="293"/>
      <c r="CS65" s="293"/>
      <c r="CT65" s="293"/>
      <c r="CU65" s="293"/>
      <c r="CV65" s="293"/>
      <c r="CW65" s="293"/>
      <c r="CX65" s="293"/>
      <c r="CY65" s="293"/>
      <c r="CZ65" s="293"/>
      <c r="DA65" s="293"/>
      <c r="DB65" s="293"/>
      <c r="DC65" s="293"/>
      <c r="DD65" s="293"/>
      <c r="DE65" s="293"/>
      <c r="DF65" s="293"/>
    </row>
    <row r="66" ht="14.25" customHeight="1">
      <c r="A66" s="293"/>
      <c r="B66" s="293"/>
      <c r="C66" s="293"/>
      <c r="D66" s="293"/>
      <c r="E66" s="293"/>
      <c r="F66" s="293"/>
      <c r="G66" s="293"/>
      <c r="H66" s="293"/>
      <c r="I66" s="293"/>
      <c r="J66" s="293"/>
      <c r="K66" s="293"/>
      <c r="L66" s="293"/>
      <c r="M66" s="293"/>
      <c r="N66" s="293"/>
      <c r="O66" s="293"/>
      <c r="P66" s="293"/>
      <c r="Q66" s="293"/>
      <c r="R66" s="293"/>
      <c r="S66" s="293"/>
      <c r="T66" s="293"/>
      <c r="U66" s="293"/>
      <c r="V66" s="293"/>
      <c r="W66" s="293"/>
      <c r="X66" s="293"/>
      <c r="Y66" s="293"/>
      <c r="Z66" s="293"/>
      <c r="AA66" s="293"/>
      <c r="AB66" s="293"/>
      <c r="AC66" s="293"/>
      <c r="AD66" s="293"/>
      <c r="AE66" s="293"/>
      <c r="AF66" s="293"/>
      <c r="AG66" s="293"/>
      <c r="AH66" s="293"/>
      <c r="AI66" s="293"/>
      <c r="AJ66" s="293"/>
      <c r="AK66" s="293"/>
      <c r="AL66" s="293"/>
      <c r="AM66" s="293"/>
      <c r="AN66" s="293"/>
      <c r="AO66" s="293"/>
      <c r="AP66" s="293"/>
      <c r="AQ66" s="293"/>
      <c r="AR66" s="293"/>
      <c r="AS66" s="293"/>
      <c r="AT66" s="293"/>
      <c r="AU66" s="293"/>
      <c r="AV66" s="293"/>
      <c r="AW66" s="293"/>
      <c r="AX66" s="293"/>
      <c r="AY66" s="293"/>
      <c r="AZ66" s="293"/>
      <c r="BA66" s="293"/>
      <c r="BB66" s="293"/>
      <c r="BC66" s="293"/>
      <c r="BD66" s="293"/>
      <c r="BE66" s="293"/>
      <c r="BF66" s="293"/>
      <c r="BG66" s="293"/>
      <c r="BH66" s="293"/>
      <c r="BI66" s="293"/>
      <c r="BJ66" s="293"/>
      <c r="BK66" s="293"/>
      <c r="BL66" s="293"/>
      <c r="BM66" s="293"/>
      <c r="BN66" s="293"/>
      <c r="BO66" s="293"/>
      <c r="BP66" s="293"/>
      <c r="BQ66" s="293"/>
      <c r="BR66" s="293"/>
      <c r="BS66" s="293"/>
      <c r="BT66" s="293"/>
      <c r="BU66" s="293"/>
      <c r="BV66" s="293"/>
      <c r="BW66" s="293"/>
      <c r="BX66" s="293"/>
      <c r="BY66" s="293"/>
      <c r="BZ66" s="293"/>
      <c r="CA66" s="293"/>
      <c r="CB66" s="293"/>
      <c r="CC66" s="293"/>
      <c r="CD66" s="293"/>
      <c r="CE66" s="293"/>
      <c r="CF66" s="293"/>
      <c r="CG66" s="293"/>
      <c r="CH66" s="293"/>
      <c r="CI66" s="293"/>
      <c r="CJ66" s="293"/>
      <c r="CK66" s="293"/>
      <c r="CL66" s="293"/>
      <c r="CM66" s="293"/>
      <c r="CN66" s="293"/>
      <c r="CO66" s="293"/>
      <c r="CP66" s="293"/>
      <c r="CQ66" s="293"/>
      <c r="CR66" s="293"/>
      <c r="CS66" s="293"/>
      <c r="CT66" s="293"/>
      <c r="CU66" s="293"/>
      <c r="CV66" s="293"/>
      <c r="CW66" s="293"/>
      <c r="CX66" s="293"/>
      <c r="CY66" s="293"/>
      <c r="CZ66" s="293"/>
      <c r="DA66" s="293"/>
      <c r="DB66" s="293"/>
      <c r="DC66" s="293"/>
      <c r="DD66" s="293"/>
      <c r="DE66" s="293"/>
      <c r="DF66" s="293"/>
    </row>
    <row r="67" ht="14.25" customHeight="1">
      <c r="A67" s="54"/>
      <c r="B67" s="327"/>
      <c r="C67" s="23"/>
      <c r="D67" s="23"/>
      <c r="E67" s="23"/>
      <c r="F67" s="329"/>
      <c r="G67" s="293"/>
      <c r="H67" s="293"/>
      <c r="I67" s="293"/>
      <c r="J67" s="293"/>
      <c r="K67" s="293"/>
      <c r="L67" s="293"/>
      <c r="M67" s="293"/>
      <c r="N67" s="293"/>
      <c r="O67" s="293"/>
      <c r="P67" s="293"/>
      <c r="Q67" s="293"/>
      <c r="R67" s="293"/>
      <c r="S67" s="293"/>
      <c r="T67" s="293"/>
      <c r="U67" s="293"/>
      <c r="V67" s="293"/>
      <c r="W67" s="293"/>
      <c r="X67" s="293"/>
      <c r="Y67" s="293"/>
      <c r="Z67" s="293"/>
      <c r="AA67" s="293"/>
      <c r="AB67" s="293"/>
      <c r="AC67" s="293"/>
      <c r="AD67" s="293"/>
      <c r="AE67" s="293"/>
      <c r="AF67" s="293"/>
      <c r="AG67" s="293"/>
      <c r="AH67" s="293"/>
      <c r="AI67" s="293"/>
      <c r="AJ67" s="293"/>
      <c r="AK67" s="293"/>
      <c r="AL67" s="293"/>
      <c r="AM67" s="293"/>
      <c r="AN67" s="293"/>
      <c r="AO67" s="293"/>
      <c r="AP67" s="293"/>
      <c r="AQ67" s="293"/>
      <c r="AR67" s="293"/>
      <c r="AS67" s="293"/>
      <c r="AT67" s="293"/>
      <c r="AU67" s="293"/>
      <c r="AV67" s="293"/>
      <c r="AW67" s="293"/>
      <c r="AX67" s="293"/>
      <c r="AY67" s="293"/>
      <c r="AZ67" s="293"/>
      <c r="BA67" s="293"/>
      <c r="BB67" s="293"/>
      <c r="BC67" s="293"/>
      <c r="BD67" s="293"/>
      <c r="BE67" s="293"/>
      <c r="BF67" s="293"/>
      <c r="BG67" s="293"/>
      <c r="BH67" s="293"/>
      <c r="BI67" s="293"/>
      <c r="BJ67" s="293"/>
      <c r="BK67" s="293"/>
      <c r="BL67" s="293"/>
      <c r="BM67" s="293"/>
      <c r="BN67" s="293"/>
      <c r="BO67" s="293"/>
      <c r="BP67" s="293"/>
      <c r="BQ67" s="293"/>
      <c r="BR67" s="293"/>
      <c r="BS67" s="293"/>
      <c r="BT67" s="293"/>
      <c r="BU67" s="293"/>
      <c r="BV67" s="293"/>
      <c r="BW67" s="293"/>
      <c r="BX67" s="293"/>
      <c r="BY67" s="293"/>
      <c r="BZ67" s="293"/>
      <c r="CA67" s="293"/>
      <c r="CB67" s="293"/>
      <c r="CC67" s="293"/>
      <c r="CD67" s="293"/>
      <c r="CE67" s="293"/>
      <c r="CF67" s="293"/>
      <c r="CG67" s="293"/>
      <c r="CH67" s="293"/>
      <c r="CI67" s="293"/>
      <c r="CJ67" s="293"/>
      <c r="CK67" s="293"/>
      <c r="CL67" s="293"/>
      <c r="CM67" s="293"/>
      <c r="CN67" s="293"/>
      <c r="CO67" s="293"/>
      <c r="CP67" s="293"/>
      <c r="CQ67" s="293"/>
      <c r="CR67" s="293"/>
      <c r="CS67" s="293"/>
      <c r="CT67" s="293"/>
      <c r="CU67" s="293"/>
      <c r="CV67" s="293"/>
      <c r="CW67" s="293"/>
      <c r="CX67" s="293"/>
      <c r="CY67" s="293"/>
      <c r="CZ67" s="293"/>
      <c r="DA67" s="293"/>
      <c r="DB67" s="293"/>
      <c r="DC67" s="293"/>
      <c r="DD67" s="293"/>
      <c r="DE67" s="293"/>
      <c r="DF67" s="293"/>
    </row>
    <row r="68" ht="14.25" customHeight="1">
      <c r="A68" s="293"/>
      <c r="B68" s="293"/>
      <c r="C68" s="293"/>
      <c r="D68" s="293"/>
      <c r="E68" s="293"/>
      <c r="F68" s="293"/>
      <c r="G68" s="293"/>
      <c r="H68" s="293"/>
      <c r="I68" s="293"/>
      <c r="J68" s="293"/>
      <c r="K68" s="293"/>
      <c r="L68" s="293"/>
      <c r="M68" s="293"/>
      <c r="N68" s="293"/>
      <c r="O68" s="293"/>
      <c r="P68" s="293"/>
      <c r="Q68" s="293"/>
      <c r="R68" s="293"/>
      <c r="S68" s="293"/>
      <c r="T68" s="293"/>
      <c r="U68" s="293"/>
      <c r="V68" s="293"/>
      <c r="W68" s="293"/>
      <c r="X68" s="293"/>
      <c r="Y68" s="293"/>
      <c r="Z68" s="293"/>
      <c r="AA68" s="293"/>
      <c r="AB68" s="293"/>
      <c r="AC68" s="293"/>
      <c r="AD68" s="293"/>
      <c r="AE68" s="293"/>
      <c r="AF68" s="293"/>
      <c r="AG68" s="293"/>
      <c r="AH68" s="293"/>
      <c r="AI68" s="293"/>
      <c r="AJ68" s="293"/>
      <c r="AK68" s="293"/>
      <c r="AL68" s="293"/>
      <c r="AM68" s="293"/>
      <c r="AN68" s="293"/>
      <c r="AO68" s="293"/>
      <c r="AP68" s="293"/>
      <c r="AQ68" s="293"/>
      <c r="AR68" s="293"/>
      <c r="AS68" s="293"/>
      <c r="AT68" s="293"/>
      <c r="AU68" s="293"/>
      <c r="AV68" s="293"/>
      <c r="AW68" s="293"/>
      <c r="AX68" s="293"/>
      <c r="AY68" s="293"/>
      <c r="AZ68" s="293"/>
      <c r="BA68" s="293"/>
      <c r="BB68" s="293"/>
      <c r="BC68" s="293"/>
      <c r="BD68" s="293"/>
      <c r="BE68" s="293"/>
      <c r="BF68" s="293"/>
      <c r="BG68" s="293"/>
      <c r="BH68" s="293"/>
      <c r="BI68" s="293"/>
      <c r="BJ68" s="293"/>
      <c r="BK68" s="293"/>
      <c r="BL68" s="293"/>
      <c r="BM68" s="293"/>
      <c r="BN68" s="293"/>
      <c r="BO68" s="293"/>
      <c r="BP68" s="293"/>
      <c r="BQ68" s="293"/>
      <c r="BR68" s="293"/>
      <c r="BS68" s="293"/>
      <c r="BT68" s="293"/>
      <c r="BU68" s="293"/>
      <c r="BV68" s="293"/>
      <c r="BW68" s="293"/>
      <c r="BX68" s="293"/>
      <c r="BY68" s="293"/>
      <c r="BZ68" s="293"/>
      <c r="CA68" s="293"/>
      <c r="CB68" s="293"/>
      <c r="CC68" s="293"/>
      <c r="CD68" s="293"/>
      <c r="CE68" s="293"/>
      <c r="CF68" s="293"/>
      <c r="CG68" s="293"/>
      <c r="CH68" s="293"/>
      <c r="CI68" s="293"/>
      <c r="CJ68" s="293"/>
      <c r="CK68" s="293"/>
      <c r="CL68" s="293"/>
      <c r="CM68" s="293"/>
      <c r="CN68" s="293"/>
      <c r="CO68" s="293"/>
      <c r="CP68" s="293"/>
      <c r="CQ68" s="293"/>
      <c r="CR68" s="293"/>
      <c r="CS68" s="293"/>
      <c r="CT68" s="293"/>
      <c r="CU68" s="293"/>
      <c r="CV68" s="293"/>
      <c r="CW68" s="293"/>
      <c r="CX68" s="293"/>
      <c r="CY68" s="293"/>
      <c r="CZ68" s="293"/>
      <c r="DA68" s="293"/>
      <c r="DB68" s="293"/>
      <c r="DC68" s="293"/>
      <c r="DD68" s="293"/>
      <c r="DE68" s="293"/>
      <c r="DF68" s="293"/>
    </row>
    <row r="69" ht="14.25" customHeight="1">
      <c r="A69" s="293"/>
      <c r="B69" s="293"/>
      <c r="C69" s="293"/>
      <c r="D69" s="293"/>
      <c r="E69" s="293"/>
      <c r="F69" s="293"/>
      <c r="G69" s="293"/>
      <c r="H69" s="293"/>
      <c r="I69" s="293"/>
      <c r="J69" s="293"/>
      <c r="K69" s="293"/>
      <c r="L69" s="293"/>
      <c r="M69" s="293"/>
      <c r="N69" s="293"/>
      <c r="O69" s="293"/>
      <c r="P69" s="293"/>
      <c r="Q69" s="293"/>
      <c r="R69" s="293"/>
      <c r="S69" s="293"/>
      <c r="T69" s="293"/>
      <c r="U69" s="293"/>
      <c r="V69" s="293"/>
      <c r="W69" s="293"/>
      <c r="X69" s="293"/>
      <c r="Y69" s="293"/>
      <c r="Z69" s="293"/>
      <c r="AA69" s="293"/>
      <c r="AB69" s="293"/>
      <c r="AC69" s="293"/>
      <c r="AD69" s="293"/>
      <c r="AE69" s="293"/>
      <c r="AF69" s="293"/>
      <c r="AG69" s="293"/>
      <c r="AH69" s="293"/>
      <c r="AI69" s="293"/>
      <c r="AJ69" s="293"/>
      <c r="AK69" s="293"/>
      <c r="AL69" s="293"/>
      <c r="AM69" s="293"/>
      <c r="AN69" s="293"/>
      <c r="AO69" s="293"/>
      <c r="AP69" s="293"/>
      <c r="AQ69" s="293"/>
      <c r="AR69" s="293"/>
      <c r="AS69" s="293"/>
      <c r="AT69" s="293"/>
      <c r="AU69" s="293"/>
      <c r="AV69" s="293"/>
      <c r="AW69" s="293"/>
      <c r="AX69" s="293"/>
      <c r="AY69" s="293"/>
      <c r="AZ69" s="293"/>
      <c r="BA69" s="293"/>
      <c r="BB69" s="293"/>
      <c r="BC69" s="293"/>
      <c r="BD69" s="293"/>
      <c r="BE69" s="293"/>
      <c r="BF69" s="293"/>
      <c r="BG69" s="293"/>
      <c r="BH69" s="293"/>
      <c r="BI69" s="293"/>
      <c r="BJ69" s="293"/>
      <c r="BK69" s="293"/>
      <c r="BL69" s="293"/>
      <c r="BM69" s="293"/>
      <c r="BN69" s="293"/>
      <c r="BO69" s="293"/>
      <c r="BP69" s="293"/>
      <c r="BQ69" s="293"/>
      <c r="BR69" s="293"/>
      <c r="BS69" s="293"/>
      <c r="BT69" s="293"/>
      <c r="BU69" s="293"/>
      <c r="BV69" s="293"/>
      <c r="BW69" s="293"/>
      <c r="BX69" s="293"/>
      <c r="BY69" s="293"/>
      <c r="BZ69" s="293"/>
      <c r="CA69" s="293"/>
      <c r="CB69" s="293"/>
      <c r="CC69" s="293"/>
      <c r="CD69" s="293"/>
      <c r="CE69" s="293"/>
      <c r="CF69" s="293"/>
      <c r="CG69" s="293"/>
      <c r="CH69" s="293"/>
      <c r="CI69" s="293"/>
      <c r="CJ69" s="293"/>
      <c r="CK69" s="293"/>
      <c r="CL69" s="293"/>
      <c r="CM69" s="293"/>
      <c r="CN69" s="293"/>
      <c r="CO69" s="293"/>
      <c r="CP69" s="293"/>
      <c r="CQ69" s="293"/>
      <c r="CR69" s="293"/>
      <c r="CS69" s="293"/>
      <c r="CT69" s="293"/>
      <c r="CU69" s="293"/>
      <c r="CV69" s="293"/>
      <c r="CW69" s="293"/>
      <c r="CX69" s="293"/>
      <c r="CY69" s="293"/>
      <c r="CZ69" s="293"/>
      <c r="DA69" s="293"/>
      <c r="DB69" s="293"/>
      <c r="DC69" s="293"/>
      <c r="DD69" s="293"/>
      <c r="DE69" s="293"/>
      <c r="DF69" s="293"/>
    </row>
    <row r="70" ht="14.25" customHeight="1">
      <c r="A70" s="293"/>
      <c r="B70" s="293"/>
      <c r="C70" s="293"/>
      <c r="D70" s="293"/>
      <c r="E70" s="293"/>
      <c r="F70" s="293"/>
      <c r="G70" s="293"/>
      <c r="H70" s="293"/>
      <c r="I70" s="293"/>
      <c r="J70" s="293"/>
      <c r="K70" s="293"/>
      <c r="L70" s="293"/>
      <c r="M70" s="293"/>
      <c r="N70" s="293"/>
      <c r="O70" s="293"/>
      <c r="P70" s="293"/>
      <c r="Q70" s="293"/>
      <c r="R70" s="293"/>
      <c r="S70" s="293"/>
      <c r="T70" s="293"/>
      <c r="U70" s="293"/>
      <c r="V70" s="293"/>
      <c r="W70" s="293"/>
      <c r="X70" s="293"/>
      <c r="Y70" s="293"/>
      <c r="Z70" s="293"/>
      <c r="AA70" s="293"/>
      <c r="AB70" s="293"/>
      <c r="AC70" s="293"/>
      <c r="AD70" s="293"/>
      <c r="AE70" s="293"/>
      <c r="AF70" s="293"/>
      <c r="AG70" s="293"/>
      <c r="AH70" s="293"/>
      <c r="AI70" s="293"/>
      <c r="AJ70" s="293"/>
      <c r="AK70" s="293"/>
      <c r="AL70" s="293"/>
      <c r="AM70" s="293"/>
      <c r="AN70" s="293"/>
      <c r="AO70" s="293"/>
      <c r="AP70" s="293"/>
      <c r="AQ70" s="293"/>
      <c r="AR70" s="293"/>
      <c r="AS70" s="293"/>
      <c r="AT70" s="293"/>
      <c r="AU70" s="293"/>
      <c r="AV70" s="293"/>
      <c r="AW70" s="293"/>
      <c r="AX70" s="293"/>
      <c r="AY70" s="293"/>
      <c r="AZ70" s="293"/>
      <c r="BA70" s="293"/>
      <c r="BB70" s="293"/>
      <c r="BC70" s="293"/>
      <c r="BD70" s="293"/>
      <c r="BE70" s="293"/>
      <c r="BF70" s="293"/>
      <c r="BG70" s="293"/>
      <c r="BH70" s="293"/>
      <c r="BI70" s="293"/>
      <c r="BJ70" s="293"/>
      <c r="BK70" s="293"/>
      <c r="BL70" s="293"/>
      <c r="BM70" s="293"/>
      <c r="BN70" s="293"/>
      <c r="BO70" s="293"/>
      <c r="BP70" s="293"/>
      <c r="BQ70" s="293"/>
      <c r="BR70" s="293"/>
      <c r="BS70" s="293"/>
      <c r="BT70" s="293"/>
      <c r="BU70" s="293"/>
      <c r="BV70" s="293"/>
      <c r="BW70" s="293"/>
      <c r="BX70" s="293"/>
      <c r="BY70" s="293"/>
      <c r="BZ70" s="293"/>
      <c r="CA70" s="293"/>
      <c r="CB70" s="293"/>
      <c r="CC70" s="293"/>
      <c r="CD70" s="293"/>
      <c r="CE70" s="293"/>
      <c r="CF70" s="293"/>
      <c r="CG70" s="293"/>
      <c r="CH70" s="293"/>
      <c r="CI70" s="293"/>
      <c r="CJ70" s="293"/>
      <c r="CK70" s="293"/>
      <c r="CL70" s="293"/>
      <c r="CM70" s="293"/>
      <c r="CN70" s="293"/>
      <c r="CO70" s="293"/>
      <c r="CP70" s="293"/>
      <c r="CQ70" s="293"/>
      <c r="CR70" s="293"/>
      <c r="CS70" s="293"/>
      <c r="CT70" s="293"/>
      <c r="CU70" s="293"/>
      <c r="CV70" s="293"/>
      <c r="CW70" s="293"/>
      <c r="CX70" s="293"/>
      <c r="CY70" s="293"/>
      <c r="CZ70" s="293"/>
      <c r="DA70" s="293"/>
      <c r="DB70" s="293"/>
      <c r="DC70" s="293"/>
      <c r="DD70" s="293"/>
      <c r="DE70" s="293"/>
      <c r="DF70" s="293"/>
    </row>
    <row r="71" ht="14.25" customHeight="1">
      <c r="A71" s="293"/>
      <c r="B71" s="293"/>
      <c r="C71" s="293"/>
      <c r="D71" s="293"/>
      <c r="E71" s="293"/>
      <c r="F71" s="293"/>
      <c r="G71" s="293"/>
      <c r="H71" s="293"/>
      <c r="I71" s="293"/>
      <c r="J71" s="293"/>
      <c r="K71" s="293"/>
      <c r="L71" s="293"/>
      <c r="M71" s="293"/>
      <c r="N71" s="293"/>
      <c r="O71" s="293"/>
      <c r="P71" s="293"/>
      <c r="Q71" s="293"/>
      <c r="R71" s="293"/>
      <c r="S71" s="293"/>
      <c r="T71" s="293"/>
      <c r="U71" s="293"/>
      <c r="V71" s="293"/>
      <c r="W71" s="293"/>
      <c r="X71" s="293"/>
      <c r="Y71" s="293"/>
      <c r="Z71" s="293"/>
      <c r="AA71" s="293"/>
      <c r="AB71" s="293"/>
      <c r="AC71" s="293"/>
      <c r="AD71" s="293"/>
      <c r="AE71" s="293"/>
      <c r="AF71" s="293"/>
      <c r="AG71" s="293"/>
      <c r="AH71" s="293"/>
      <c r="AI71" s="293"/>
      <c r="AJ71" s="293"/>
      <c r="AK71" s="293"/>
      <c r="AL71" s="293"/>
      <c r="AM71" s="293"/>
      <c r="AN71" s="293"/>
      <c r="AO71" s="293"/>
      <c r="AP71" s="293"/>
      <c r="AQ71" s="293"/>
      <c r="AR71" s="293"/>
      <c r="AS71" s="293"/>
      <c r="AT71" s="293"/>
      <c r="AU71" s="293"/>
      <c r="AV71" s="293"/>
      <c r="AW71" s="293"/>
      <c r="AX71" s="293"/>
      <c r="AY71" s="293"/>
      <c r="AZ71" s="293"/>
      <c r="BA71" s="293"/>
      <c r="BB71" s="293"/>
      <c r="BC71" s="293"/>
      <c r="BD71" s="293"/>
      <c r="BE71" s="293"/>
      <c r="BF71" s="293"/>
      <c r="BG71" s="293"/>
      <c r="BH71" s="293"/>
      <c r="BI71" s="293"/>
      <c r="BJ71" s="293"/>
      <c r="BK71" s="293"/>
      <c r="BL71" s="293"/>
      <c r="BM71" s="293"/>
      <c r="BN71" s="293"/>
      <c r="BO71" s="293"/>
      <c r="BP71" s="293"/>
      <c r="BQ71" s="293"/>
      <c r="BR71" s="293"/>
      <c r="BS71" s="293"/>
      <c r="BT71" s="293"/>
      <c r="BU71" s="293"/>
      <c r="BV71" s="293"/>
      <c r="BW71" s="293"/>
      <c r="BX71" s="293"/>
      <c r="BY71" s="293"/>
      <c r="BZ71" s="293"/>
      <c r="CA71" s="293"/>
      <c r="CB71" s="293"/>
      <c r="CC71" s="293"/>
      <c r="CD71" s="293"/>
      <c r="CE71" s="293"/>
      <c r="CF71" s="293"/>
      <c r="CG71" s="293"/>
      <c r="CH71" s="293"/>
      <c r="CI71" s="293"/>
      <c r="CJ71" s="293"/>
      <c r="CK71" s="293"/>
      <c r="CL71" s="293"/>
      <c r="CM71" s="293"/>
      <c r="CN71" s="293"/>
      <c r="CO71" s="293"/>
      <c r="CP71" s="293"/>
      <c r="CQ71" s="293"/>
      <c r="CR71" s="293"/>
      <c r="CS71" s="293"/>
      <c r="CT71" s="293"/>
      <c r="CU71" s="293"/>
      <c r="CV71" s="293"/>
      <c r="CW71" s="293"/>
      <c r="CX71" s="293"/>
      <c r="CY71" s="293"/>
      <c r="CZ71" s="293"/>
      <c r="DA71" s="293"/>
      <c r="DB71" s="293"/>
      <c r="DC71" s="293"/>
      <c r="DD71" s="293"/>
      <c r="DE71" s="293"/>
      <c r="DF71" s="293"/>
    </row>
    <row r="72" ht="14.25" customHeight="1">
      <c r="A72" s="293"/>
      <c r="B72" s="293"/>
      <c r="C72" s="293"/>
      <c r="D72" s="293"/>
      <c r="E72" s="293"/>
      <c r="F72" s="293"/>
      <c r="G72" s="293"/>
      <c r="H72" s="293"/>
      <c r="I72" s="293"/>
      <c r="J72" s="293"/>
      <c r="K72" s="293"/>
      <c r="L72" s="293"/>
      <c r="M72" s="293"/>
      <c r="N72" s="293"/>
      <c r="O72" s="293"/>
      <c r="P72" s="293"/>
      <c r="Q72" s="293"/>
      <c r="R72" s="293"/>
      <c r="S72" s="293"/>
      <c r="T72" s="293"/>
      <c r="U72" s="293"/>
      <c r="V72" s="293"/>
      <c r="W72" s="293"/>
      <c r="X72" s="293"/>
      <c r="Y72" s="293"/>
      <c r="Z72" s="293"/>
      <c r="AA72" s="293"/>
      <c r="AB72" s="293"/>
      <c r="AC72" s="293"/>
      <c r="AD72" s="293"/>
      <c r="AE72" s="293"/>
      <c r="AF72" s="293"/>
      <c r="AG72" s="293"/>
      <c r="AH72" s="293"/>
      <c r="AI72" s="293"/>
      <c r="AJ72" s="293"/>
      <c r="AK72" s="293"/>
      <c r="AL72" s="293"/>
      <c r="AM72" s="293"/>
      <c r="AN72" s="293"/>
      <c r="AO72" s="293"/>
      <c r="AP72" s="293"/>
      <c r="AQ72" s="293"/>
      <c r="AR72" s="293"/>
      <c r="AS72" s="293"/>
      <c r="AT72" s="293"/>
      <c r="AU72" s="293"/>
      <c r="AV72" s="293"/>
      <c r="AW72" s="293"/>
      <c r="AX72" s="293"/>
      <c r="AY72" s="293"/>
      <c r="AZ72" s="293"/>
      <c r="BA72" s="293"/>
      <c r="BB72" s="293"/>
      <c r="BC72" s="293"/>
      <c r="BD72" s="293"/>
      <c r="BE72" s="293"/>
      <c r="BF72" s="293"/>
      <c r="BG72" s="293"/>
      <c r="BH72" s="293"/>
      <c r="BI72" s="293"/>
      <c r="BJ72" s="293"/>
      <c r="BK72" s="293"/>
      <c r="BL72" s="293"/>
      <c r="BM72" s="293"/>
      <c r="BN72" s="293"/>
      <c r="BO72" s="293"/>
      <c r="BP72" s="293"/>
      <c r="BQ72" s="293"/>
      <c r="BR72" s="293"/>
      <c r="BS72" s="293"/>
      <c r="BT72" s="293"/>
      <c r="BU72" s="293"/>
      <c r="BV72" s="293"/>
      <c r="BW72" s="293"/>
      <c r="BX72" s="293"/>
      <c r="BY72" s="293"/>
      <c r="BZ72" s="293"/>
      <c r="CA72" s="293"/>
      <c r="CB72" s="293"/>
      <c r="CC72" s="293"/>
      <c r="CD72" s="293"/>
      <c r="CE72" s="293"/>
      <c r="CF72" s="293"/>
      <c r="CG72" s="293"/>
      <c r="CH72" s="293"/>
      <c r="CI72" s="293"/>
      <c r="CJ72" s="293"/>
      <c r="CK72" s="293"/>
      <c r="CL72" s="293"/>
      <c r="CM72" s="293"/>
      <c r="CN72" s="293"/>
      <c r="CO72" s="293"/>
      <c r="CP72" s="293"/>
      <c r="CQ72" s="293"/>
      <c r="CR72" s="293"/>
      <c r="CS72" s="293"/>
      <c r="CT72" s="293"/>
      <c r="CU72" s="293"/>
      <c r="CV72" s="293"/>
      <c r="CW72" s="293"/>
      <c r="CX72" s="293"/>
      <c r="CY72" s="293"/>
      <c r="CZ72" s="293"/>
      <c r="DA72" s="293"/>
      <c r="DB72" s="293"/>
      <c r="DC72" s="293"/>
      <c r="DD72" s="293"/>
      <c r="DE72" s="293"/>
      <c r="DF72" s="293"/>
    </row>
    <row r="73" ht="14.25" customHeight="1">
      <c r="A73" s="293"/>
      <c r="B73" s="293"/>
      <c r="C73" s="293"/>
      <c r="D73" s="293"/>
      <c r="E73" s="293"/>
      <c r="F73" s="293"/>
      <c r="G73" s="293"/>
      <c r="H73" s="293"/>
      <c r="I73" s="293"/>
      <c r="J73" s="293"/>
      <c r="K73" s="293"/>
      <c r="L73" s="293"/>
      <c r="M73" s="293"/>
      <c r="N73" s="293"/>
      <c r="O73" s="293"/>
      <c r="P73" s="293"/>
      <c r="Q73" s="293"/>
      <c r="R73" s="293"/>
      <c r="S73" s="293"/>
      <c r="T73" s="293"/>
      <c r="U73" s="293"/>
      <c r="V73" s="293"/>
      <c r="W73" s="293"/>
      <c r="X73" s="293"/>
      <c r="Y73" s="293"/>
      <c r="Z73" s="293"/>
      <c r="AA73" s="293"/>
      <c r="AB73" s="293"/>
      <c r="AC73" s="293"/>
      <c r="AD73" s="293"/>
      <c r="AE73" s="293"/>
      <c r="AF73" s="293"/>
      <c r="AG73" s="293"/>
      <c r="AH73" s="293"/>
      <c r="AI73" s="293"/>
      <c r="AJ73" s="293"/>
      <c r="AK73" s="293"/>
      <c r="AL73" s="293"/>
      <c r="AM73" s="293"/>
      <c r="AN73" s="293"/>
      <c r="AO73" s="293"/>
      <c r="AP73" s="293"/>
      <c r="AQ73" s="293"/>
      <c r="AR73" s="293"/>
      <c r="AS73" s="293"/>
      <c r="AT73" s="293"/>
      <c r="AU73" s="293"/>
      <c r="AV73" s="293"/>
      <c r="AW73" s="293"/>
      <c r="AX73" s="293"/>
      <c r="AY73" s="293"/>
      <c r="AZ73" s="293"/>
      <c r="BA73" s="293"/>
      <c r="BB73" s="293"/>
      <c r="BC73" s="293"/>
      <c r="BD73" s="293"/>
      <c r="BE73" s="293"/>
      <c r="BF73" s="293"/>
      <c r="BG73" s="293"/>
      <c r="BH73" s="293"/>
      <c r="BI73" s="293"/>
      <c r="BJ73" s="293"/>
      <c r="BK73" s="293"/>
      <c r="BL73" s="293"/>
      <c r="BM73" s="293"/>
      <c r="BN73" s="293"/>
      <c r="BO73" s="293"/>
      <c r="BP73" s="293"/>
      <c r="BQ73" s="293"/>
      <c r="BR73" s="293"/>
      <c r="BS73" s="293"/>
      <c r="BT73" s="293"/>
      <c r="BU73" s="293"/>
      <c r="BV73" s="293"/>
      <c r="BW73" s="293"/>
      <c r="BX73" s="293"/>
      <c r="BY73" s="293"/>
      <c r="BZ73" s="293"/>
      <c r="CA73" s="293"/>
      <c r="CB73" s="293"/>
      <c r="CC73" s="293"/>
      <c r="CD73" s="293"/>
      <c r="CE73" s="293"/>
      <c r="CF73" s="293"/>
      <c r="CG73" s="293"/>
      <c r="CH73" s="293"/>
      <c r="CI73" s="293"/>
      <c r="CJ73" s="293"/>
      <c r="CK73" s="293"/>
      <c r="CL73" s="293"/>
      <c r="CM73" s="293"/>
      <c r="CN73" s="293"/>
      <c r="CO73" s="293"/>
      <c r="CP73" s="293"/>
      <c r="CQ73" s="293"/>
      <c r="CR73" s="293"/>
      <c r="CS73" s="293"/>
      <c r="CT73" s="293"/>
      <c r="CU73" s="293"/>
      <c r="CV73" s="293"/>
      <c r="CW73" s="293"/>
      <c r="CX73" s="293"/>
      <c r="CY73" s="293"/>
      <c r="CZ73" s="293"/>
      <c r="DA73" s="293"/>
      <c r="DB73" s="293"/>
      <c r="DC73" s="293"/>
      <c r="DD73" s="293"/>
      <c r="DE73" s="293"/>
      <c r="DF73" s="293"/>
    </row>
    <row r="74" ht="14.25" customHeight="1">
      <c r="A74" s="293"/>
      <c r="B74" s="293"/>
      <c r="C74" s="293"/>
      <c r="D74" s="293"/>
      <c r="E74" s="293"/>
      <c r="F74" s="293"/>
      <c r="G74" s="293"/>
      <c r="H74" s="293"/>
      <c r="I74" s="293"/>
      <c r="J74" s="293"/>
      <c r="K74" s="293"/>
      <c r="L74" s="293"/>
      <c r="M74" s="293"/>
      <c r="N74" s="293"/>
      <c r="O74" s="293"/>
      <c r="P74" s="293"/>
      <c r="Q74" s="293"/>
      <c r="R74" s="293"/>
      <c r="S74" s="293"/>
      <c r="T74" s="293"/>
      <c r="U74" s="293"/>
      <c r="V74" s="293"/>
      <c r="W74" s="293"/>
      <c r="X74" s="293"/>
      <c r="Y74" s="293"/>
      <c r="Z74" s="293"/>
      <c r="AA74" s="293"/>
      <c r="AB74" s="293"/>
      <c r="AC74" s="293"/>
      <c r="AD74" s="293"/>
      <c r="AE74" s="293"/>
      <c r="AF74" s="293"/>
      <c r="AG74" s="293"/>
      <c r="AH74" s="293"/>
      <c r="AI74" s="293"/>
      <c r="AJ74" s="293"/>
      <c r="AK74" s="293"/>
      <c r="AL74" s="293"/>
      <c r="AM74" s="293"/>
      <c r="AN74" s="293"/>
      <c r="AO74" s="293"/>
      <c r="AP74" s="293"/>
      <c r="AQ74" s="293"/>
      <c r="AR74" s="293"/>
      <c r="AS74" s="293"/>
      <c r="AT74" s="293"/>
      <c r="AU74" s="293"/>
      <c r="AV74" s="293"/>
      <c r="AW74" s="293"/>
      <c r="AX74" s="293"/>
      <c r="AY74" s="293"/>
      <c r="AZ74" s="293"/>
      <c r="BA74" s="293"/>
      <c r="BB74" s="293"/>
      <c r="BC74" s="293"/>
      <c r="BD74" s="293"/>
      <c r="BE74" s="293"/>
      <c r="BF74" s="293"/>
      <c r="BG74" s="293"/>
      <c r="BH74" s="293"/>
      <c r="BI74" s="293"/>
      <c r="BJ74" s="293"/>
      <c r="BK74" s="293"/>
      <c r="BL74" s="293"/>
      <c r="BM74" s="293"/>
      <c r="BN74" s="293"/>
      <c r="BO74" s="293"/>
      <c r="BP74" s="293"/>
      <c r="BQ74" s="293"/>
      <c r="BR74" s="293"/>
      <c r="BS74" s="293"/>
      <c r="BT74" s="293"/>
      <c r="BU74" s="293"/>
      <c r="BV74" s="293"/>
      <c r="BW74" s="293"/>
      <c r="BX74" s="293"/>
      <c r="BY74" s="293"/>
      <c r="BZ74" s="293"/>
      <c r="CA74" s="293"/>
      <c r="CB74" s="293"/>
      <c r="CC74" s="293"/>
      <c r="CD74" s="293"/>
      <c r="CE74" s="293"/>
      <c r="CF74" s="293"/>
      <c r="CG74" s="293"/>
      <c r="CH74" s="293"/>
      <c r="CI74" s="293"/>
      <c r="CJ74" s="293"/>
      <c r="CK74" s="293"/>
      <c r="CL74" s="293"/>
      <c r="CM74" s="293"/>
      <c r="CN74" s="293"/>
      <c r="CO74" s="293"/>
      <c r="CP74" s="293"/>
      <c r="CQ74" s="293"/>
      <c r="CR74" s="293"/>
      <c r="CS74" s="293"/>
      <c r="CT74" s="293"/>
      <c r="CU74" s="293"/>
      <c r="CV74" s="293"/>
      <c r="CW74" s="293"/>
      <c r="CX74" s="293"/>
      <c r="CY74" s="293"/>
      <c r="CZ74" s="293"/>
      <c r="DA74" s="293"/>
      <c r="DB74" s="293"/>
      <c r="DC74" s="293"/>
      <c r="DD74" s="293"/>
      <c r="DE74" s="293"/>
      <c r="DF74" s="293"/>
    </row>
    <row r="75" ht="14.25" customHeight="1">
      <c r="A75" s="293"/>
      <c r="B75" s="293"/>
      <c r="C75" s="293"/>
      <c r="D75" s="293"/>
      <c r="E75" s="293"/>
      <c r="F75" s="293"/>
      <c r="G75" s="293"/>
      <c r="H75" s="293"/>
      <c r="I75" s="293"/>
      <c r="J75" s="293"/>
      <c r="K75" s="293"/>
      <c r="L75" s="293"/>
      <c r="M75" s="293"/>
      <c r="N75" s="293"/>
      <c r="O75" s="293"/>
      <c r="P75" s="293"/>
      <c r="Q75" s="293"/>
      <c r="R75" s="293"/>
      <c r="S75" s="293"/>
      <c r="T75" s="293"/>
      <c r="U75" s="293"/>
      <c r="V75" s="293"/>
      <c r="W75" s="293"/>
      <c r="X75" s="293"/>
      <c r="Y75" s="293"/>
      <c r="Z75" s="293"/>
      <c r="AA75" s="293"/>
      <c r="AB75" s="293"/>
      <c r="AC75" s="293"/>
      <c r="AD75" s="293"/>
      <c r="AE75" s="293"/>
      <c r="AF75" s="293"/>
      <c r="AG75" s="293"/>
      <c r="AH75" s="293"/>
      <c r="AI75" s="293"/>
      <c r="AJ75" s="293"/>
      <c r="AK75" s="293"/>
      <c r="AL75" s="293"/>
      <c r="AM75" s="293"/>
      <c r="AN75" s="293"/>
      <c r="AO75" s="293"/>
      <c r="AP75" s="293"/>
      <c r="AQ75" s="293"/>
      <c r="AR75" s="293"/>
      <c r="AS75" s="293"/>
      <c r="AT75" s="293"/>
      <c r="AU75" s="293"/>
      <c r="AV75" s="293"/>
      <c r="AW75" s="293"/>
      <c r="AX75" s="293"/>
      <c r="AY75" s="293"/>
      <c r="AZ75" s="293"/>
      <c r="BA75" s="293"/>
      <c r="BB75" s="293"/>
      <c r="BC75" s="293"/>
      <c r="BD75" s="293"/>
      <c r="BE75" s="293"/>
      <c r="BF75" s="293"/>
      <c r="BG75" s="293"/>
      <c r="BH75" s="293"/>
      <c r="BI75" s="293"/>
      <c r="BJ75" s="293"/>
      <c r="BK75" s="293"/>
      <c r="BL75" s="293"/>
      <c r="BM75" s="293"/>
      <c r="BN75" s="293"/>
      <c r="BO75" s="293"/>
      <c r="BP75" s="293"/>
      <c r="BQ75" s="293"/>
      <c r="BR75" s="293"/>
      <c r="BS75" s="293"/>
      <c r="BT75" s="293"/>
      <c r="BU75" s="293"/>
      <c r="BV75" s="293"/>
      <c r="BW75" s="293"/>
      <c r="BX75" s="293"/>
      <c r="BY75" s="293"/>
      <c r="BZ75" s="293"/>
      <c r="CA75" s="293"/>
      <c r="CB75" s="293"/>
      <c r="CC75" s="293"/>
      <c r="CD75" s="293"/>
      <c r="CE75" s="293"/>
      <c r="CF75" s="293"/>
      <c r="CG75" s="293"/>
      <c r="CH75" s="293"/>
      <c r="CI75" s="293"/>
      <c r="CJ75" s="293"/>
      <c r="CK75" s="293"/>
      <c r="CL75" s="293"/>
      <c r="CM75" s="293"/>
      <c r="CN75" s="293"/>
      <c r="CO75" s="293"/>
      <c r="CP75" s="293"/>
      <c r="CQ75" s="293"/>
      <c r="CR75" s="293"/>
      <c r="CS75" s="293"/>
      <c r="CT75" s="293"/>
      <c r="CU75" s="293"/>
      <c r="CV75" s="293"/>
      <c r="CW75" s="293"/>
      <c r="CX75" s="293"/>
      <c r="CY75" s="293"/>
      <c r="CZ75" s="293"/>
      <c r="DA75" s="293"/>
      <c r="DB75" s="293"/>
      <c r="DC75" s="293"/>
      <c r="DD75" s="293"/>
      <c r="DE75" s="293"/>
      <c r="DF75" s="293"/>
    </row>
    <row r="76" ht="14.25" customHeight="1">
      <c r="A76" s="293"/>
      <c r="B76" s="293"/>
      <c r="C76" s="293"/>
      <c r="D76" s="293"/>
      <c r="E76" s="293"/>
      <c r="F76" s="293"/>
      <c r="G76" s="293"/>
      <c r="H76" s="293"/>
      <c r="I76" s="293"/>
      <c r="J76" s="293"/>
      <c r="K76" s="293"/>
      <c r="L76" s="293"/>
      <c r="M76" s="293"/>
      <c r="N76" s="293"/>
      <c r="O76" s="293"/>
      <c r="P76" s="293"/>
      <c r="Q76" s="293"/>
      <c r="R76" s="293"/>
      <c r="S76" s="293"/>
      <c r="T76" s="293"/>
      <c r="U76" s="293"/>
      <c r="V76" s="293"/>
      <c r="W76" s="293"/>
      <c r="X76" s="293"/>
      <c r="Y76" s="293"/>
      <c r="Z76" s="293"/>
      <c r="AA76" s="293"/>
      <c r="AB76" s="293"/>
      <c r="AC76" s="293"/>
      <c r="AD76" s="293"/>
      <c r="AE76" s="293"/>
      <c r="AF76" s="293"/>
      <c r="AG76" s="293"/>
      <c r="AH76" s="293"/>
      <c r="AI76" s="293"/>
      <c r="AJ76" s="293"/>
      <c r="AK76" s="293"/>
      <c r="AL76" s="293"/>
      <c r="AM76" s="293"/>
      <c r="AN76" s="293"/>
      <c r="AO76" s="293"/>
      <c r="AP76" s="293"/>
      <c r="AQ76" s="293"/>
      <c r="AR76" s="293"/>
      <c r="AS76" s="293"/>
      <c r="AT76" s="293"/>
      <c r="AU76" s="293"/>
      <c r="AV76" s="293"/>
      <c r="AW76" s="293"/>
      <c r="AX76" s="293"/>
      <c r="AY76" s="293"/>
      <c r="AZ76" s="293"/>
      <c r="BA76" s="293"/>
      <c r="BB76" s="293"/>
      <c r="BC76" s="293"/>
      <c r="BD76" s="293"/>
      <c r="BE76" s="293"/>
      <c r="BF76" s="293"/>
      <c r="BG76" s="293"/>
      <c r="BH76" s="293"/>
      <c r="BI76" s="293"/>
      <c r="BJ76" s="293"/>
      <c r="BK76" s="293"/>
      <c r="BL76" s="293"/>
      <c r="BM76" s="293"/>
      <c r="BN76" s="293"/>
      <c r="BO76" s="293"/>
      <c r="BP76" s="293"/>
      <c r="BQ76" s="293"/>
      <c r="BR76" s="293"/>
      <c r="BS76" s="293"/>
      <c r="BT76" s="293"/>
      <c r="BU76" s="293"/>
      <c r="BV76" s="293"/>
      <c r="BW76" s="293"/>
      <c r="BX76" s="293"/>
      <c r="BY76" s="293"/>
      <c r="BZ76" s="293"/>
      <c r="CA76" s="293"/>
      <c r="CB76" s="293"/>
      <c r="CC76" s="293"/>
      <c r="CD76" s="293"/>
      <c r="CE76" s="293"/>
      <c r="CF76" s="293"/>
      <c r="CG76" s="293"/>
      <c r="CH76" s="293"/>
      <c r="CI76" s="293"/>
      <c r="CJ76" s="293"/>
      <c r="CK76" s="293"/>
      <c r="CL76" s="293"/>
      <c r="CM76" s="293"/>
      <c r="CN76" s="293"/>
      <c r="CO76" s="293"/>
      <c r="CP76" s="293"/>
      <c r="CQ76" s="293"/>
      <c r="CR76" s="293"/>
      <c r="CS76" s="293"/>
      <c r="CT76" s="293"/>
      <c r="CU76" s="293"/>
      <c r="CV76" s="293"/>
      <c r="CW76" s="293"/>
      <c r="CX76" s="293"/>
      <c r="CY76" s="293"/>
      <c r="CZ76" s="293"/>
      <c r="DA76" s="293"/>
      <c r="DB76" s="293"/>
      <c r="DC76" s="293"/>
      <c r="DD76" s="293"/>
      <c r="DE76" s="293"/>
      <c r="DF76" s="293"/>
    </row>
    <row r="77" ht="14.25" customHeight="1">
      <c r="A77" s="293"/>
      <c r="B77" s="293"/>
      <c r="C77" s="293"/>
      <c r="D77" s="293"/>
      <c r="E77" s="293"/>
      <c r="F77" s="293"/>
      <c r="G77" s="293"/>
      <c r="H77" s="293"/>
      <c r="I77" s="293"/>
      <c r="J77" s="293"/>
      <c r="K77" s="293"/>
      <c r="L77" s="293"/>
      <c r="M77" s="293"/>
      <c r="N77" s="293"/>
      <c r="O77" s="293"/>
      <c r="P77" s="293"/>
      <c r="Q77" s="293"/>
      <c r="R77" s="293"/>
      <c r="S77" s="293"/>
      <c r="T77" s="293"/>
      <c r="U77" s="293"/>
      <c r="V77" s="293"/>
      <c r="W77" s="293"/>
      <c r="X77" s="293"/>
      <c r="Y77" s="293"/>
      <c r="Z77" s="293"/>
      <c r="AA77" s="293"/>
      <c r="AB77" s="293"/>
      <c r="AC77" s="293"/>
      <c r="AD77" s="293"/>
      <c r="AE77" s="293"/>
      <c r="AF77" s="293"/>
      <c r="AG77" s="293"/>
      <c r="AH77" s="293"/>
      <c r="AI77" s="293"/>
      <c r="AJ77" s="293"/>
      <c r="AK77" s="293"/>
      <c r="AL77" s="293"/>
      <c r="AM77" s="293"/>
      <c r="AN77" s="293"/>
      <c r="AO77" s="293"/>
      <c r="AP77" s="293"/>
      <c r="AQ77" s="293"/>
      <c r="AR77" s="293"/>
      <c r="AS77" s="293"/>
      <c r="AT77" s="293"/>
      <c r="AU77" s="293"/>
      <c r="AV77" s="293"/>
      <c r="AW77" s="293"/>
      <c r="AX77" s="293"/>
      <c r="AY77" s="293"/>
      <c r="AZ77" s="293"/>
      <c r="BA77" s="293"/>
      <c r="BB77" s="293"/>
      <c r="BC77" s="293"/>
      <c r="BD77" s="293"/>
      <c r="BE77" s="293"/>
      <c r="BF77" s="293"/>
      <c r="BG77" s="293"/>
      <c r="BH77" s="293"/>
      <c r="BI77" s="293"/>
      <c r="BJ77" s="293"/>
      <c r="BK77" s="293"/>
      <c r="BL77" s="293"/>
      <c r="BM77" s="293"/>
      <c r="BN77" s="293"/>
      <c r="BO77" s="293"/>
      <c r="BP77" s="293"/>
      <c r="BQ77" s="293"/>
      <c r="BR77" s="293"/>
      <c r="BS77" s="293"/>
      <c r="BT77" s="293"/>
      <c r="BU77" s="293"/>
      <c r="BV77" s="293"/>
      <c r="BW77" s="293"/>
      <c r="BX77" s="293"/>
      <c r="BY77" s="293"/>
      <c r="BZ77" s="293"/>
      <c r="CA77" s="293"/>
      <c r="CB77" s="293"/>
      <c r="CC77" s="293"/>
      <c r="CD77" s="293"/>
      <c r="CE77" s="293"/>
      <c r="CF77" s="293"/>
      <c r="CG77" s="293"/>
      <c r="CH77" s="293"/>
      <c r="CI77" s="293"/>
      <c r="CJ77" s="293"/>
      <c r="CK77" s="293"/>
      <c r="CL77" s="293"/>
      <c r="CM77" s="293"/>
      <c r="CN77" s="293"/>
      <c r="CO77" s="293"/>
      <c r="CP77" s="293"/>
      <c r="CQ77" s="293"/>
      <c r="CR77" s="293"/>
      <c r="CS77" s="293"/>
      <c r="CT77" s="293"/>
      <c r="CU77" s="293"/>
      <c r="CV77" s="293"/>
      <c r="CW77" s="293"/>
      <c r="CX77" s="293"/>
      <c r="CY77" s="293"/>
      <c r="CZ77" s="293"/>
      <c r="DA77" s="293"/>
      <c r="DB77" s="293"/>
      <c r="DC77" s="293"/>
      <c r="DD77" s="293"/>
      <c r="DE77" s="293"/>
      <c r="DF77" s="293"/>
    </row>
    <row r="78" ht="14.25" customHeight="1">
      <c r="A78" s="293"/>
      <c r="B78" s="293"/>
      <c r="C78" s="293"/>
      <c r="D78" s="293"/>
      <c r="E78" s="293"/>
      <c r="F78" s="293"/>
      <c r="G78" s="293"/>
      <c r="H78" s="293"/>
      <c r="I78" s="293"/>
      <c r="J78" s="293"/>
      <c r="K78" s="293"/>
      <c r="L78" s="293"/>
      <c r="M78" s="293"/>
      <c r="N78" s="293"/>
      <c r="O78" s="293"/>
      <c r="P78" s="293"/>
      <c r="Q78" s="293"/>
      <c r="R78" s="293"/>
      <c r="S78" s="293"/>
      <c r="T78" s="293"/>
      <c r="U78" s="293"/>
      <c r="V78" s="293"/>
      <c r="W78" s="293"/>
      <c r="X78" s="293"/>
      <c r="Y78" s="293"/>
      <c r="Z78" s="293"/>
      <c r="AA78" s="293"/>
      <c r="AB78" s="293"/>
      <c r="AC78" s="293"/>
      <c r="AD78" s="293"/>
      <c r="AE78" s="293"/>
      <c r="AF78" s="293"/>
      <c r="AG78" s="293"/>
      <c r="AH78" s="293"/>
      <c r="AI78" s="293"/>
      <c r="AJ78" s="293"/>
      <c r="AK78" s="293"/>
      <c r="AL78" s="293"/>
      <c r="AM78" s="293"/>
      <c r="AN78" s="293"/>
      <c r="AO78" s="293"/>
      <c r="AP78" s="293"/>
      <c r="AQ78" s="293"/>
      <c r="AR78" s="293"/>
      <c r="AS78" s="293"/>
      <c r="AT78" s="293"/>
      <c r="AU78" s="293"/>
      <c r="AV78" s="293"/>
      <c r="AW78" s="293"/>
      <c r="AX78" s="293"/>
      <c r="AY78" s="293"/>
      <c r="AZ78" s="293"/>
      <c r="BA78" s="293"/>
      <c r="BB78" s="293"/>
      <c r="BC78" s="293"/>
      <c r="BD78" s="293"/>
      <c r="BE78" s="293"/>
      <c r="BF78" s="293"/>
      <c r="BG78" s="293"/>
      <c r="BH78" s="293"/>
      <c r="BI78" s="293"/>
      <c r="BJ78" s="293"/>
      <c r="BK78" s="293"/>
      <c r="BL78" s="293"/>
      <c r="BM78" s="293"/>
      <c r="BN78" s="293"/>
      <c r="BO78" s="293"/>
      <c r="BP78" s="293"/>
      <c r="BQ78" s="293"/>
      <c r="BR78" s="293"/>
      <c r="BS78" s="293"/>
      <c r="BT78" s="293"/>
      <c r="BU78" s="293"/>
      <c r="BV78" s="293"/>
      <c r="BW78" s="293"/>
      <c r="BX78" s="293"/>
      <c r="BY78" s="293"/>
      <c r="BZ78" s="293"/>
      <c r="CA78" s="293"/>
      <c r="CB78" s="293"/>
      <c r="CC78" s="293"/>
      <c r="CD78" s="293"/>
      <c r="CE78" s="293"/>
      <c r="CF78" s="293"/>
      <c r="CG78" s="293"/>
      <c r="CH78" s="293"/>
      <c r="CI78" s="293"/>
      <c r="CJ78" s="293"/>
      <c r="CK78" s="293"/>
      <c r="CL78" s="293"/>
      <c r="CM78" s="293"/>
      <c r="CN78" s="293"/>
      <c r="CO78" s="293"/>
      <c r="CP78" s="293"/>
      <c r="CQ78" s="293"/>
      <c r="CR78" s="293"/>
      <c r="CS78" s="293"/>
      <c r="CT78" s="293"/>
      <c r="CU78" s="293"/>
      <c r="CV78" s="293"/>
      <c r="CW78" s="293"/>
      <c r="CX78" s="293"/>
      <c r="CY78" s="293"/>
      <c r="CZ78" s="293"/>
      <c r="DA78" s="293"/>
      <c r="DB78" s="293"/>
      <c r="DC78" s="293"/>
      <c r="DD78" s="293"/>
      <c r="DE78" s="293"/>
      <c r="DF78" s="293"/>
    </row>
    <row r="79" ht="14.25" customHeight="1">
      <c r="A79" s="293"/>
      <c r="B79" s="293"/>
      <c r="C79" s="293"/>
      <c r="D79" s="293"/>
      <c r="E79" s="293"/>
      <c r="F79" s="293"/>
      <c r="G79" s="293"/>
      <c r="H79" s="293"/>
      <c r="I79" s="293"/>
      <c r="J79" s="293"/>
      <c r="K79" s="293"/>
      <c r="L79" s="293"/>
      <c r="M79" s="293"/>
      <c r="N79" s="293"/>
      <c r="O79" s="293"/>
      <c r="P79" s="293"/>
      <c r="Q79" s="293"/>
      <c r="R79" s="293"/>
      <c r="S79" s="293"/>
      <c r="T79" s="293"/>
      <c r="U79" s="293"/>
      <c r="V79" s="293"/>
      <c r="W79" s="293"/>
      <c r="X79" s="293"/>
      <c r="Y79" s="293"/>
      <c r="Z79" s="293"/>
      <c r="AA79" s="293"/>
      <c r="AB79" s="293"/>
      <c r="AC79" s="293"/>
      <c r="AD79" s="293"/>
      <c r="AE79" s="293"/>
      <c r="AF79" s="293"/>
      <c r="AG79" s="293"/>
      <c r="AH79" s="293"/>
      <c r="AI79" s="293"/>
      <c r="AJ79" s="293"/>
      <c r="AK79" s="293"/>
      <c r="AL79" s="293"/>
      <c r="AM79" s="293"/>
      <c r="AN79" s="293"/>
      <c r="AO79" s="293"/>
      <c r="AP79" s="293"/>
      <c r="AQ79" s="293"/>
      <c r="AR79" s="293"/>
      <c r="AS79" s="293"/>
      <c r="AT79" s="293"/>
      <c r="AU79" s="293"/>
      <c r="AV79" s="293"/>
      <c r="AW79" s="293"/>
      <c r="AX79" s="293"/>
      <c r="AY79" s="293"/>
      <c r="AZ79" s="293"/>
      <c r="BA79" s="293"/>
      <c r="BB79" s="293"/>
      <c r="BC79" s="293"/>
      <c r="BD79" s="293"/>
      <c r="BE79" s="293"/>
      <c r="BF79" s="293"/>
      <c r="BG79" s="293"/>
      <c r="BH79" s="293"/>
      <c r="BI79" s="293"/>
      <c r="BJ79" s="293"/>
      <c r="BK79" s="293"/>
      <c r="BL79" s="293"/>
      <c r="BM79" s="293"/>
      <c r="BN79" s="293"/>
      <c r="BO79" s="293"/>
      <c r="BP79" s="293"/>
      <c r="BQ79" s="293"/>
      <c r="BR79" s="293"/>
      <c r="BS79" s="293"/>
      <c r="BT79" s="293"/>
      <c r="BU79" s="293"/>
      <c r="BV79" s="293"/>
      <c r="BW79" s="293"/>
      <c r="BX79" s="293"/>
      <c r="BY79" s="293"/>
      <c r="BZ79" s="293"/>
      <c r="CA79" s="293"/>
      <c r="CB79" s="293"/>
      <c r="CC79" s="293"/>
      <c r="CD79" s="293"/>
      <c r="CE79" s="293"/>
      <c r="CF79" s="293"/>
      <c r="CG79" s="293"/>
      <c r="CH79" s="293"/>
      <c r="CI79" s="293"/>
      <c r="CJ79" s="293"/>
      <c r="CK79" s="293"/>
      <c r="CL79" s="293"/>
      <c r="CM79" s="293"/>
      <c r="CN79" s="293"/>
      <c r="CO79" s="293"/>
      <c r="CP79" s="293"/>
      <c r="CQ79" s="293"/>
      <c r="CR79" s="293"/>
      <c r="CS79" s="293"/>
      <c r="CT79" s="293"/>
      <c r="CU79" s="293"/>
      <c r="CV79" s="293"/>
      <c r="CW79" s="293"/>
      <c r="CX79" s="293"/>
      <c r="CY79" s="293"/>
      <c r="CZ79" s="293"/>
      <c r="DA79" s="293"/>
      <c r="DB79" s="293"/>
      <c r="DC79" s="293"/>
      <c r="DD79" s="293"/>
      <c r="DE79" s="293"/>
      <c r="DF79" s="293"/>
    </row>
    <row r="80" ht="14.25" customHeight="1">
      <c r="A80" s="293"/>
      <c r="B80" s="293"/>
      <c r="C80" s="293"/>
      <c r="D80" s="293"/>
      <c r="E80" s="293"/>
      <c r="F80" s="293"/>
      <c r="G80" s="293"/>
      <c r="H80" s="293"/>
      <c r="I80" s="293"/>
      <c r="J80" s="293"/>
      <c r="K80" s="293"/>
      <c r="L80" s="293"/>
      <c r="M80" s="293"/>
      <c r="N80" s="293"/>
      <c r="O80" s="293"/>
      <c r="P80" s="293"/>
      <c r="Q80" s="293"/>
      <c r="R80" s="293"/>
      <c r="S80" s="293"/>
      <c r="T80" s="293"/>
      <c r="U80" s="293"/>
      <c r="V80" s="293"/>
      <c r="W80" s="293"/>
      <c r="X80" s="293"/>
      <c r="Y80" s="293"/>
      <c r="Z80" s="293"/>
      <c r="AA80" s="293"/>
      <c r="AB80" s="293"/>
      <c r="AC80" s="293"/>
      <c r="AD80" s="293"/>
      <c r="AE80" s="293"/>
      <c r="AF80" s="293"/>
      <c r="AG80" s="293"/>
      <c r="AH80" s="293"/>
      <c r="AI80" s="293"/>
      <c r="AJ80" s="293"/>
      <c r="AK80" s="293"/>
      <c r="AL80" s="293"/>
      <c r="AM80" s="293"/>
      <c r="AN80" s="293"/>
      <c r="AO80" s="293"/>
      <c r="AP80" s="293"/>
      <c r="AQ80" s="293"/>
      <c r="AR80" s="293"/>
      <c r="AS80" s="293"/>
      <c r="AT80" s="293"/>
      <c r="AU80" s="293"/>
      <c r="AV80" s="293"/>
      <c r="AW80" s="293"/>
      <c r="AX80" s="293"/>
      <c r="AY80" s="293"/>
      <c r="AZ80" s="293"/>
      <c r="BA80" s="293"/>
      <c r="BB80" s="293"/>
      <c r="BC80" s="293"/>
      <c r="BD80" s="293"/>
      <c r="BE80" s="293"/>
      <c r="BF80" s="293"/>
      <c r="BG80" s="293"/>
      <c r="BH80" s="293"/>
      <c r="BI80" s="293"/>
      <c r="BJ80" s="293"/>
      <c r="BK80" s="293"/>
      <c r="BL80" s="293"/>
      <c r="BM80" s="293"/>
      <c r="BN80" s="293"/>
      <c r="BO80" s="293"/>
      <c r="BP80" s="293"/>
      <c r="BQ80" s="293"/>
      <c r="BR80" s="293"/>
      <c r="BS80" s="293"/>
      <c r="BT80" s="293"/>
      <c r="BU80" s="293"/>
      <c r="BV80" s="293"/>
      <c r="BW80" s="293"/>
      <c r="BX80" s="293"/>
      <c r="BY80" s="293"/>
      <c r="BZ80" s="293"/>
      <c r="CA80" s="293"/>
      <c r="CB80" s="293"/>
      <c r="CC80" s="293"/>
      <c r="CD80" s="293"/>
      <c r="CE80" s="293"/>
      <c r="CF80" s="293"/>
      <c r="CG80" s="293"/>
      <c r="CH80" s="293"/>
      <c r="CI80" s="293"/>
      <c r="CJ80" s="293"/>
      <c r="CK80" s="293"/>
      <c r="CL80" s="293"/>
      <c r="CM80" s="293"/>
      <c r="CN80" s="293"/>
      <c r="CO80" s="293"/>
      <c r="CP80" s="293"/>
      <c r="CQ80" s="293"/>
      <c r="CR80" s="293"/>
      <c r="CS80" s="293"/>
      <c r="CT80" s="293"/>
      <c r="CU80" s="293"/>
      <c r="CV80" s="293"/>
      <c r="CW80" s="293"/>
      <c r="CX80" s="293"/>
      <c r="CY80" s="293"/>
      <c r="CZ80" s="293"/>
      <c r="DA80" s="293"/>
      <c r="DB80" s="293"/>
      <c r="DC80" s="293"/>
      <c r="DD80" s="293"/>
      <c r="DE80" s="293"/>
      <c r="DF80" s="293"/>
    </row>
    <row r="81" ht="14.25" customHeight="1">
      <c r="A81" s="293"/>
      <c r="B81" s="293"/>
      <c r="C81" s="293"/>
      <c r="D81" s="293"/>
      <c r="E81" s="293"/>
      <c r="F81" s="293"/>
      <c r="G81" s="293"/>
      <c r="H81" s="293"/>
      <c r="I81" s="293"/>
      <c r="J81" s="293"/>
      <c r="K81" s="293"/>
      <c r="L81" s="293"/>
      <c r="M81" s="293"/>
      <c r="N81" s="293"/>
      <c r="O81" s="293"/>
      <c r="P81" s="293"/>
      <c r="Q81" s="293"/>
      <c r="R81" s="293"/>
      <c r="S81" s="293"/>
      <c r="T81" s="293"/>
      <c r="U81" s="293"/>
      <c r="V81" s="293"/>
      <c r="W81" s="293"/>
      <c r="X81" s="293"/>
      <c r="Y81" s="293"/>
      <c r="Z81" s="293"/>
      <c r="AA81" s="293"/>
      <c r="AB81" s="293"/>
      <c r="AC81" s="293"/>
      <c r="AD81" s="293"/>
      <c r="AE81" s="293"/>
      <c r="AF81" s="293"/>
      <c r="AG81" s="293"/>
      <c r="AH81" s="293"/>
      <c r="AI81" s="293"/>
      <c r="AJ81" s="293"/>
      <c r="AK81" s="293"/>
      <c r="AL81" s="293"/>
      <c r="AM81" s="293"/>
      <c r="AN81" s="293"/>
      <c r="AO81" s="293"/>
      <c r="AP81" s="293"/>
      <c r="AQ81" s="293"/>
      <c r="AR81" s="293"/>
      <c r="AS81" s="293"/>
      <c r="AT81" s="293"/>
      <c r="AU81" s="293"/>
      <c r="AV81" s="293"/>
      <c r="AW81" s="293"/>
      <c r="AX81" s="293"/>
      <c r="AY81" s="293"/>
      <c r="AZ81" s="293"/>
      <c r="BA81" s="293"/>
      <c r="BB81" s="293"/>
      <c r="BC81" s="293"/>
      <c r="BD81" s="293"/>
      <c r="BE81" s="293"/>
      <c r="BF81" s="293"/>
      <c r="BG81" s="293"/>
      <c r="BH81" s="293"/>
      <c r="BI81" s="293"/>
      <c r="BJ81" s="293"/>
      <c r="BK81" s="293"/>
      <c r="BL81" s="293"/>
      <c r="BM81" s="293"/>
      <c r="BN81" s="293"/>
      <c r="BO81" s="293"/>
      <c r="BP81" s="293"/>
      <c r="BQ81" s="293"/>
      <c r="BR81" s="293"/>
      <c r="BS81" s="293"/>
      <c r="BT81" s="293"/>
      <c r="BU81" s="293"/>
      <c r="BV81" s="293"/>
      <c r="BW81" s="293"/>
      <c r="BX81" s="293"/>
      <c r="BY81" s="293"/>
      <c r="BZ81" s="293"/>
      <c r="CA81" s="293"/>
      <c r="CB81" s="293"/>
      <c r="CC81" s="293"/>
      <c r="CD81" s="293"/>
      <c r="CE81" s="293"/>
      <c r="CF81" s="293"/>
      <c r="CG81" s="293"/>
      <c r="CH81" s="293"/>
      <c r="CI81" s="293"/>
      <c r="CJ81" s="293"/>
      <c r="CK81" s="293"/>
      <c r="CL81" s="293"/>
      <c r="CM81" s="293"/>
      <c r="CN81" s="293"/>
      <c r="CO81" s="293"/>
      <c r="CP81" s="293"/>
      <c r="CQ81" s="293"/>
      <c r="CR81" s="293"/>
      <c r="CS81" s="293"/>
      <c r="CT81" s="293"/>
      <c r="CU81" s="293"/>
      <c r="CV81" s="293"/>
      <c r="CW81" s="293"/>
      <c r="CX81" s="293"/>
      <c r="CY81" s="293"/>
      <c r="CZ81" s="293"/>
      <c r="DA81" s="293"/>
      <c r="DB81" s="293"/>
      <c r="DC81" s="293"/>
      <c r="DD81" s="293"/>
      <c r="DE81" s="293"/>
      <c r="DF81" s="293"/>
    </row>
    <row r="82" ht="14.25" customHeight="1">
      <c r="A82" s="293"/>
      <c r="B82" s="293"/>
      <c r="C82" s="293"/>
      <c r="D82" s="293"/>
      <c r="E82" s="293"/>
      <c r="F82" s="293"/>
      <c r="G82" s="293"/>
      <c r="H82" s="293"/>
      <c r="I82" s="293"/>
      <c r="J82" s="293"/>
      <c r="K82" s="293"/>
      <c r="L82" s="293"/>
      <c r="M82" s="293"/>
      <c r="N82" s="293"/>
      <c r="O82" s="293"/>
      <c r="P82" s="293"/>
      <c r="Q82" s="293"/>
      <c r="R82" s="293"/>
      <c r="S82" s="293"/>
      <c r="T82" s="293"/>
      <c r="U82" s="293"/>
      <c r="V82" s="293"/>
      <c r="W82" s="293"/>
      <c r="X82" s="293"/>
      <c r="Y82" s="293"/>
      <c r="Z82" s="293"/>
      <c r="AA82" s="293"/>
      <c r="AB82" s="293"/>
      <c r="AC82" s="293"/>
      <c r="AD82" s="293"/>
      <c r="AE82" s="293"/>
      <c r="AF82" s="293"/>
      <c r="AG82" s="293"/>
      <c r="AH82" s="293"/>
      <c r="AI82" s="293"/>
      <c r="AJ82" s="293"/>
      <c r="AK82" s="293"/>
      <c r="AL82" s="293"/>
      <c r="AM82" s="293"/>
      <c r="AN82" s="293"/>
      <c r="AO82" s="293"/>
      <c r="AP82" s="293"/>
      <c r="AQ82" s="293"/>
      <c r="AR82" s="293"/>
      <c r="AS82" s="293"/>
      <c r="AT82" s="293"/>
      <c r="AU82" s="293"/>
      <c r="AV82" s="293"/>
      <c r="AW82" s="293"/>
      <c r="AX82" s="293"/>
      <c r="AY82" s="293"/>
      <c r="AZ82" s="293"/>
      <c r="BA82" s="293"/>
      <c r="BB82" s="293"/>
      <c r="BC82" s="293"/>
      <c r="BD82" s="293"/>
      <c r="BE82" s="293"/>
      <c r="BF82" s="293"/>
      <c r="BG82" s="293"/>
      <c r="BH82" s="293"/>
      <c r="BI82" s="293"/>
      <c r="BJ82" s="293"/>
      <c r="BK82" s="293"/>
      <c r="BL82" s="293"/>
      <c r="BM82" s="293"/>
      <c r="BN82" s="293"/>
      <c r="BO82" s="293"/>
      <c r="BP82" s="293"/>
      <c r="BQ82" s="293"/>
      <c r="BR82" s="293"/>
      <c r="BS82" s="293"/>
      <c r="BT82" s="293"/>
      <c r="BU82" s="293"/>
      <c r="BV82" s="293"/>
      <c r="BW82" s="293"/>
      <c r="BX82" s="293"/>
      <c r="BY82" s="293"/>
      <c r="BZ82" s="293"/>
      <c r="CA82" s="293"/>
      <c r="CB82" s="293"/>
      <c r="CC82" s="293"/>
      <c r="CD82" s="293"/>
      <c r="CE82" s="293"/>
      <c r="CF82" s="293"/>
      <c r="CG82" s="293"/>
      <c r="CH82" s="293"/>
      <c r="CI82" s="293"/>
      <c r="CJ82" s="293"/>
      <c r="CK82" s="293"/>
      <c r="CL82" s="293"/>
      <c r="CM82" s="293"/>
      <c r="CN82" s="293"/>
      <c r="CO82" s="293"/>
      <c r="CP82" s="293"/>
      <c r="CQ82" s="293"/>
      <c r="CR82" s="293"/>
      <c r="CS82" s="293"/>
      <c r="CT82" s="293"/>
      <c r="CU82" s="293"/>
      <c r="CV82" s="293"/>
      <c r="CW82" s="293"/>
      <c r="CX82" s="293"/>
      <c r="CY82" s="293"/>
      <c r="CZ82" s="293"/>
      <c r="DA82" s="293"/>
      <c r="DB82" s="293"/>
      <c r="DC82" s="293"/>
      <c r="DD82" s="293"/>
      <c r="DE82" s="293"/>
      <c r="DF82" s="293"/>
    </row>
    <row r="83" ht="14.25" customHeight="1">
      <c r="A83" s="293"/>
      <c r="B83" s="293"/>
      <c r="C83" s="293"/>
      <c r="D83" s="293"/>
      <c r="E83" s="293"/>
      <c r="F83" s="293"/>
      <c r="G83" s="293"/>
      <c r="H83" s="293"/>
      <c r="I83" s="293"/>
      <c r="J83" s="293"/>
      <c r="K83" s="293"/>
      <c r="L83" s="293"/>
      <c r="M83" s="293"/>
      <c r="N83" s="293"/>
      <c r="O83" s="293"/>
      <c r="P83" s="293"/>
      <c r="Q83" s="293"/>
      <c r="R83" s="293"/>
      <c r="S83" s="293"/>
      <c r="T83" s="293"/>
      <c r="U83" s="293"/>
      <c r="V83" s="293"/>
      <c r="W83" s="293"/>
      <c r="X83" s="293"/>
      <c r="Y83" s="293"/>
      <c r="Z83" s="293"/>
      <c r="AA83" s="293"/>
      <c r="AB83" s="293"/>
      <c r="AC83" s="293"/>
      <c r="AD83" s="293"/>
      <c r="AE83" s="293"/>
      <c r="AF83" s="293"/>
      <c r="AG83" s="293"/>
      <c r="AH83" s="293"/>
      <c r="AI83" s="293"/>
      <c r="AJ83" s="293"/>
      <c r="AK83" s="293"/>
      <c r="AL83" s="293"/>
      <c r="AM83" s="293"/>
      <c r="AN83" s="293"/>
      <c r="AO83" s="293"/>
      <c r="AP83" s="293"/>
      <c r="AQ83" s="293"/>
      <c r="AR83" s="293"/>
      <c r="AS83" s="293"/>
      <c r="AT83" s="293"/>
      <c r="AU83" s="293"/>
      <c r="AV83" s="293"/>
      <c r="AW83" s="293"/>
      <c r="AX83" s="293"/>
      <c r="AY83" s="293"/>
      <c r="AZ83" s="293"/>
      <c r="BA83" s="293"/>
      <c r="BB83" s="293"/>
      <c r="BC83" s="293"/>
      <c r="BD83" s="293"/>
      <c r="BE83" s="293"/>
      <c r="BF83" s="293"/>
      <c r="BG83" s="293"/>
      <c r="BH83" s="293"/>
      <c r="BI83" s="293"/>
      <c r="BJ83" s="293"/>
      <c r="BK83" s="293"/>
      <c r="BL83" s="293"/>
      <c r="BM83" s="293"/>
      <c r="BN83" s="293"/>
      <c r="BO83" s="293"/>
      <c r="BP83" s="293"/>
      <c r="BQ83" s="293"/>
      <c r="BR83" s="293"/>
      <c r="BS83" s="293"/>
      <c r="BT83" s="293"/>
      <c r="BU83" s="293"/>
      <c r="BV83" s="293"/>
      <c r="BW83" s="293"/>
      <c r="BX83" s="293"/>
      <c r="BY83" s="293"/>
      <c r="BZ83" s="293"/>
      <c r="CA83" s="293"/>
      <c r="CB83" s="293"/>
      <c r="CC83" s="293"/>
      <c r="CD83" s="293"/>
      <c r="CE83" s="293"/>
      <c r="CF83" s="293"/>
      <c r="CG83" s="293"/>
      <c r="CH83" s="293"/>
      <c r="CI83" s="293"/>
      <c r="CJ83" s="293"/>
      <c r="CK83" s="293"/>
      <c r="CL83" s="293"/>
      <c r="CM83" s="293"/>
      <c r="CN83" s="293"/>
      <c r="CO83" s="293"/>
      <c r="CP83" s="293"/>
      <c r="CQ83" s="293"/>
      <c r="CR83" s="293"/>
      <c r="CS83" s="293"/>
      <c r="CT83" s="293"/>
      <c r="CU83" s="293"/>
      <c r="CV83" s="293"/>
      <c r="CW83" s="293"/>
      <c r="CX83" s="293"/>
      <c r="CY83" s="293"/>
      <c r="CZ83" s="293"/>
      <c r="DA83" s="293"/>
      <c r="DB83" s="293"/>
      <c r="DC83" s="293"/>
      <c r="DD83" s="293"/>
      <c r="DE83" s="293"/>
      <c r="DF83" s="293"/>
    </row>
    <row r="84" ht="14.25" customHeight="1">
      <c r="A84" s="293"/>
      <c r="B84" s="293"/>
      <c r="C84" s="293"/>
      <c r="D84" s="293"/>
      <c r="E84" s="293"/>
      <c r="F84" s="293"/>
      <c r="G84" s="293"/>
      <c r="H84" s="293"/>
      <c r="I84" s="293"/>
      <c r="J84" s="293"/>
      <c r="K84" s="293"/>
      <c r="L84" s="293"/>
      <c r="M84" s="293"/>
      <c r="N84" s="293"/>
      <c r="O84" s="293"/>
      <c r="P84" s="293"/>
      <c r="Q84" s="293"/>
      <c r="R84" s="293"/>
      <c r="S84" s="293"/>
      <c r="T84" s="293"/>
      <c r="U84" s="293"/>
      <c r="V84" s="293"/>
      <c r="W84" s="293"/>
      <c r="X84" s="293"/>
      <c r="Y84" s="293"/>
      <c r="Z84" s="293"/>
      <c r="AA84" s="293"/>
      <c r="AB84" s="293"/>
      <c r="AC84" s="293"/>
      <c r="AD84" s="293"/>
      <c r="AE84" s="293"/>
      <c r="AF84" s="293"/>
      <c r="AG84" s="293"/>
      <c r="AH84" s="293"/>
      <c r="AI84" s="293"/>
      <c r="AJ84" s="293"/>
      <c r="AK84" s="293"/>
      <c r="AL84" s="293"/>
      <c r="AM84" s="293"/>
      <c r="AN84" s="293"/>
      <c r="AO84" s="293"/>
      <c r="AP84" s="293"/>
      <c r="AQ84" s="293"/>
      <c r="AR84" s="293"/>
      <c r="AS84" s="293"/>
      <c r="AT84" s="293"/>
      <c r="AU84" s="293"/>
      <c r="AV84" s="293"/>
      <c r="AW84" s="293"/>
      <c r="AX84" s="293"/>
      <c r="AY84" s="293"/>
      <c r="AZ84" s="293"/>
      <c r="BA84" s="293"/>
      <c r="BB84" s="293"/>
      <c r="BC84" s="293"/>
      <c r="BD84" s="293"/>
      <c r="BE84" s="293"/>
      <c r="BF84" s="293"/>
      <c r="BG84" s="293"/>
      <c r="BH84" s="293"/>
      <c r="BI84" s="293"/>
      <c r="BJ84" s="293"/>
      <c r="BK84" s="293"/>
      <c r="BL84" s="293"/>
      <c r="BM84" s="293"/>
      <c r="BN84" s="293"/>
      <c r="BO84" s="293"/>
      <c r="BP84" s="293"/>
      <c r="BQ84" s="293"/>
      <c r="BR84" s="293"/>
      <c r="BS84" s="293"/>
      <c r="BT84" s="293"/>
      <c r="BU84" s="293"/>
      <c r="BV84" s="293"/>
      <c r="BW84" s="293"/>
      <c r="BX84" s="293"/>
      <c r="BY84" s="293"/>
      <c r="BZ84" s="293"/>
      <c r="CA84" s="293"/>
      <c r="CB84" s="293"/>
      <c r="CC84" s="293"/>
      <c r="CD84" s="293"/>
      <c r="CE84" s="293"/>
      <c r="CF84" s="293"/>
      <c r="CG84" s="293"/>
      <c r="CH84" s="293"/>
      <c r="CI84" s="293"/>
      <c r="CJ84" s="293"/>
      <c r="CK84" s="293"/>
      <c r="CL84" s="293"/>
      <c r="CM84" s="293"/>
      <c r="CN84" s="293"/>
      <c r="CO84" s="293"/>
      <c r="CP84" s="293"/>
      <c r="CQ84" s="293"/>
      <c r="CR84" s="293"/>
      <c r="CS84" s="293"/>
      <c r="CT84" s="293"/>
      <c r="CU84" s="293"/>
      <c r="CV84" s="293"/>
      <c r="CW84" s="293"/>
      <c r="CX84" s="293"/>
      <c r="CY84" s="293"/>
      <c r="CZ84" s="293"/>
      <c r="DA84" s="293"/>
      <c r="DB84" s="293"/>
      <c r="DC84" s="293"/>
      <c r="DD84" s="293"/>
      <c r="DE84" s="293"/>
      <c r="DF84" s="293"/>
    </row>
    <row r="85" ht="14.25" customHeight="1">
      <c r="A85" s="293"/>
      <c r="B85" s="293"/>
      <c r="C85" s="293"/>
      <c r="D85" s="293"/>
      <c r="E85" s="293"/>
      <c r="F85" s="293"/>
      <c r="G85" s="293"/>
      <c r="H85" s="293"/>
      <c r="I85" s="293"/>
      <c r="J85" s="293"/>
      <c r="K85" s="293"/>
      <c r="L85" s="293"/>
      <c r="M85" s="293"/>
      <c r="N85" s="293"/>
      <c r="O85" s="293"/>
      <c r="P85" s="293"/>
      <c r="Q85" s="293"/>
      <c r="R85" s="293"/>
      <c r="S85" s="293"/>
      <c r="T85" s="293"/>
      <c r="U85" s="293"/>
      <c r="V85" s="293"/>
      <c r="W85" s="293"/>
      <c r="X85" s="293"/>
      <c r="Y85" s="293"/>
      <c r="Z85" s="293"/>
      <c r="AA85" s="293"/>
      <c r="AB85" s="293"/>
      <c r="AC85" s="293"/>
      <c r="AD85" s="293"/>
      <c r="AE85" s="293"/>
      <c r="AF85" s="293"/>
      <c r="AG85" s="293"/>
      <c r="AH85" s="293"/>
      <c r="AI85" s="293"/>
      <c r="AJ85" s="293"/>
      <c r="AK85" s="293"/>
      <c r="AL85" s="293"/>
      <c r="AM85" s="293"/>
      <c r="AN85" s="293"/>
      <c r="AO85" s="293"/>
      <c r="AP85" s="293"/>
      <c r="AQ85" s="293"/>
      <c r="AR85" s="293"/>
      <c r="AS85" s="293"/>
      <c r="AT85" s="293"/>
      <c r="AU85" s="293"/>
      <c r="AV85" s="293"/>
      <c r="AW85" s="293"/>
      <c r="AX85" s="293"/>
      <c r="AY85" s="293"/>
      <c r="AZ85" s="293"/>
      <c r="BA85" s="293"/>
      <c r="BB85" s="293"/>
      <c r="BC85" s="293"/>
      <c r="BD85" s="293"/>
      <c r="BE85" s="293"/>
      <c r="BF85" s="293"/>
      <c r="BG85" s="293"/>
      <c r="BH85" s="293"/>
      <c r="BI85" s="293"/>
      <c r="BJ85" s="293"/>
      <c r="BK85" s="293"/>
      <c r="BL85" s="293"/>
      <c r="BM85" s="293"/>
      <c r="BN85" s="293"/>
      <c r="BO85" s="293"/>
      <c r="BP85" s="293"/>
      <c r="BQ85" s="293"/>
      <c r="BR85" s="293"/>
      <c r="BS85" s="293"/>
      <c r="BT85" s="293"/>
      <c r="BU85" s="293"/>
      <c r="BV85" s="293"/>
      <c r="BW85" s="293"/>
      <c r="BX85" s="293"/>
      <c r="BY85" s="293"/>
      <c r="BZ85" s="293"/>
      <c r="CA85" s="293"/>
      <c r="CB85" s="293"/>
      <c r="CC85" s="293"/>
      <c r="CD85" s="293"/>
      <c r="CE85" s="293"/>
      <c r="CF85" s="293"/>
      <c r="CG85" s="293"/>
      <c r="CH85" s="293"/>
      <c r="CI85" s="293"/>
      <c r="CJ85" s="293"/>
      <c r="CK85" s="293"/>
      <c r="CL85" s="293"/>
      <c r="CM85" s="293"/>
      <c r="CN85" s="293"/>
      <c r="CO85" s="293"/>
      <c r="CP85" s="293"/>
      <c r="CQ85" s="293"/>
      <c r="CR85" s="293"/>
      <c r="CS85" s="293"/>
      <c r="CT85" s="293"/>
      <c r="CU85" s="293"/>
      <c r="CV85" s="293"/>
      <c r="CW85" s="293"/>
      <c r="CX85" s="293"/>
      <c r="CY85" s="293"/>
      <c r="CZ85" s="293"/>
      <c r="DA85" s="293"/>
      <c r="DB85" s="293"/>
      <c r="DC85" s="293"/>
      <c r="DD85" s="293"/>
      <c r="DE85" s="293"/>
      <c r="DF85" s="293"/>
    </row>
    <row r="86" ht="14.25" customHeight="1">
      <c r="A86" s="293"/>
      <c r="B86" s="293"/>
      <c r="C86" s="293"/>
      <c r="D86" s="293"/>
      <c r="E86" s="293"/>
      <c r="F86" s="293"/>
      <c r="G86" s="293"/>
      <c r="H86" s="293"/>
      <c r="I86" s="293"/>
      <c r="J86" s="293"/>
      <c r="K86" s="293"/>
      <c r="L86" s="293"/>
      <c r="M86" s="293"/>
      <c r="N86" s="293"/>
      <c r="O86" s="293"/>
      <c r="P86" s="293"/>
      <c r="Q86" s="293"/>
      <c r="R86" s="293"/>
      <c r="S86" s="293"/>
      <c r="T86" s="293"/>
      <c r="U86" s="293"/>
      <c r="V86" s="293"/>
      <c r="W86" s="293"/>
      <c r="X86" s="293"/>
      <c r="Y86" s="293"/>
      <c r="Z86" s="293"/>
      <c r="AA86" s="293"/>
      <c r="AB86" s="293"/>
      <c r="AC86" s="293"/>
      <c r="AD86" s="293"/>
      <c r="AE86" s="293"/>
      <c r="AF86" s="293"/>
      <c r="AG86" s="293"/>
      <c r="AH86" s="293"/>
      <c r="AI86" s="293"/>
      <c r="AJ86" s="293"/>
      <c r="AK86" s="293"/>
      <c r="AL86" s="293"/>
      <c r="AM86" s="293"/>
      <c r="AN86" s="293"/>
      <c r="AO86" s="293"/>
      <c r="AP86" s="293"/>
      <c r="AQ86" s="293"/>
      <c r="AR86" s="293"/>
      <c r="AS86" s="293"/>
      <c r="AT86" s="293"/>
      <c r="AU86" s="293"/>
      <c r="AV86" s="293"/>
      <c r="AW86" s="293"/>
      <c r="AX86" s="293"/>
      <c r="AY86" s="293"/>
      <c r="AZ86" s="293"/>
      <c r="BA86" s="293"/>
      <c r="BB86" s="293"/>
      <c r="BC86" s="293"/>
      <c r="BD86" s="293"/>
      <c r="BE86" s="293"/>
      <c r="BF86" s="293"/>
      <c r="BG86" s="293"/>
      <c r="BH86" s="293"/>
      <c r="BI86" s="293"/>
      <c r="BJ86" s="293"/>
      <c r="BK86" s="293"/>
      <c r="BL86" s="293"/>
      <c r="BM86" s="293"/>
      <c r="BN86" s="293"/>
      <c r="BO86" s="293"/>
      <c r="BP86" s="293"/>
      <c r="BQ86" s="293"/>
      <c r="BR86" s="293"/>
      <c r="BS86" s="293"/>
      <c r="BT86" s="293"/>
      <c r="BU86" s="293"/>
      <c r="BV86" s="293"/>
      <c r="BW86" s="293"/>
      <c r="BX86" s="293"/>
      <c r="BY86" s="293"/>
      <c r="BZ86" s="293"/>
      <c r="CA86" s="293"/>
      <c r="CB86" s="293"/>
      <c r="CC86" s="293"/>
      <c r="CD86" s="293"/>
      <c r="CE86" s="293"/>
      <c r="CF86" s="293"/>
      <c r="CG86" s="293"/>
      <c r="CH86" s="293"/>
      <c r="CI86" s="293"/>
      <c r="CJ86" s="293"/>
      <c r="CK86" s="293"/>
      <c r="CL86" s="293"/>
      <c r="CM86" s="293"/>
      <c r="CN86" s="293"/>
      <c r="CO86" s="293"/>
      <c r="CP86" s="293"/>
      <c r="CQ86" s="293"/>
      <c r="CR86" s="293"/>
      <c r="CS86" s="293"/>
      <c r="CT86" s="293"/>
      <c r="CU86" s="293"/>
      <c r="CV86" s="293"/>
      <c r="CW86" s="293"/>
      <c r="CX86" s="293"/>
      <c r="CY86" s="293"/>
      <c r="CZ86" s="293"/>
      <c r="DA86" s="293"/>
      <c r="DB86" s="293"/>
      <c r="DC86" s="293"/>
      <c r="DD86" s="293"/>
      <c r="DE86" s="293"/>
      <c r="DF86" s="293"/>
    </row>
    <row r="87" ht="14.25" customHeight="1">
      <c r="A87" s="293"/>
      <c r="B87" s="293"/>
      <c r="C87" s="293"/>
      <c r="D87" s="293"/>
      <c r="E87" s="293"/>
      <c r="F87" s="293"/>
      <c r="G87" s="293"/>
      <c r="H87" s="293"/>
      <c r="I87" s="293"/>
      <c r="J87" s="293"/>
      <c r="K87" s="293"/>
      <c r="L87" s="293"/>
      <c r="M87" s="293"/>
      <c r="N87" s="293"/>
      <c r="O87" s="293"/>
      <c r="P87" s="293"/>
      <c r="Q87" s="293"/>
      <c r="R87" s="293"/>
      <c r="S87" s="293"/>
      <c r="T87" s="293"/>
      <c r="U87" s="293"/>
      <c r="V87" s="293"/>
      <c r="W87" s="293"/>
      <c r="X87" s="293"/>
      <c r="Y87" s="293"/>
      <c r="Z87" s="293"/>
      <c r="AA87" s="293"/>
      <c r="AB87" s="293"/>
      <c r="AC87" s="293"/>
      <c r="AD87" s="293"/>
      <c r="AE87" s="293"/>
      <c r="AF87" s="293"/>
      <c r="AG87" s="293"/>
      <c r="AH87" s="293"/>
      <c r="AI87" s="293"/>
      <c r="AJ87" s="293"/>
      <c r="AK87" s="293"/>
      <c r="AL87" s="293"/>
      <c r="AM87" s="293"/>
      <c r="AN87" s="293"/>
      <c r="AO87" s="293"/>
      <c r="AP87" s="293"/>
      <c r="AQ87" s="293"/>
      <c r="AR87" s="293"/>
      <c r="AS87" s="293"/>
      <c r="AT87" s="293"/>
      <c r="AU87" s="293"/>
      <c r="AV87" s="293"/>
      <c r="AW87" s="293"/>
      <c r="AX87" s="293"/>
      <c r="AY87" s="293"/>
      <c r="AZ87" s="293"/>
      <c r="BA87" s="293"/>
      <c r="BB87" s="293"/>
      <c r="BC87" s="293"/>
      <c r="BD87" s="293"/>
      <c r="BE87" s="293"/>
      <c r="BF87" s="293"/>
      <c r="BG87" s="293"/>
      <c r="BH87" s="293"/>
      <c r="BI87" s="293"/>
      <c r="BJ87" s="293"/>
      <c r="BK87" s="293"/>
      <c r="BL87" s="293"/>
      <c r="BM87" s="293"/>
      <c r="BN87" s="293"/>
      <c r="BO87" s="293"/>
      <c r="BP87" s="293"/>
      <c r="BQ87" s="293"/>
      <c r="BR87" s="293"/>
      <c r="BS87" s="293"/>
      <c r="BT87" s="293"/>
      <c r="BU87" s="293"/>
      <c r="BV87" s="293"/>
      <c r="BW87" s="293"/>
      <c r="BX87" s="293"/>
      <c r="BY87" s="293"/>
      <c r="BZ87" s="293"/>
      <c r="CA87" s="293"/>
      <c r="CB87" s="293"/>
      <c r="CC87" s="293"/>
      <c r="CD87" s="293"/>
      <c r="CE87" s="293"/>
      <c r="CF87" s="293"/>
      <c r="CG87" s="293"/>
      <c r="CH87" s="293"/>
      <c r="CI87" s="293"/>
      <c r="CJ87" s="293"/>
      <c r="CK87" s="293"/>
      <c r="CL87" s="293"/>
      <c r="CM87" s="293"/>
      <c r="CN87" s="293"/>
      <c r="CO87" s="293"/>
      <c r="CP87" s="293"/>
      <c r="CQ87" s="293"/>
      <c r="CR87" s="293"/>
      <c r="CS87" s="293"/>
      <c r="CT87" s="293"/>
      <c r="CU87" s="293"/>
      <c r="CV87" s="293"/>
      <c r="CW87" s="293"/>
      <c r="CX87" s="293"/>
      <c r="CY87" s="293"/>
      <c r="CZ87" s="293"/>
      <c r="DA87" s="293"/>
      <c r="DB87" s="293"/>
      <c r="DC87" s="293"/>
      <c r="DD87" s="293"/>
      <c r="DE87" s="293"/>
      <c r="DF87" s="293"/>
    </row>
    <row r="88" ht="14.25" customHeight="1">
      <c r="A88" s="293"/>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c r="AD88" s="293"/>
      <c r="AE88" s="293"/>
      <c r="AF88" s="293"/>
      <c r="AG88" s="293"/>
      <c r="AH88" s="293"/>
      <c r="AI88" s="293"/>
      <c r="AJ88" s="293"/>
      <c r="AK88" s="293"/>
      <c r="AL88" s="293"/>
      <c r="AM88" s="293"/>
      <c r="AN88" s="293"/>
      <c r="AO88" s="293"/>
      <c r="AP88" s="293"/>
      <c r="AQ88" s="293"/>
      <c r="AR88" s="293"/>
      <c r="AS88" s="293"/>
      <c r="AT88" s="293"/>
      <c r="AU88" s="293"/>
      <c r="AV88" s="293"/>
      <c r="AW88" s="293"/>
      <c r="AX88" s="293"/>
      <c r="AY88" s="293"/>
      <c r="AZ88" s="293"/>
      <c r="BA88" s="293"/>
      <c r="BB88" s="293"/>
      <c r="BC88" s="293"/>
      <c r="BD88" s="293"/>
      <c r="BE88" s="293"/>
      <c r="BF88" s="293"/>
      <c r="BG88" s="293"/>
      <c r="BH88" s="293"/>
      <c r="BI88" s="293"/>
      <c r="BJ88" s="293"/>
      <c r="BK88" s="293"/>
      <c r="BL88" s="293"/>
      <c r="BM88" s="293"/>
      <c r="BN88" s="293"/>
      <c r="BO88" s="293"/>
      <c r="BP88" s="293"/>
      <c r="BQ88" s="293"/>
      <c r="BR88" s="293"/>
      <c r="BS88" s="293"/>
      <c r="BT88" s="293"/>
      <c r="BU88" s="293"/>
      <c r="BV88" s="293"/>
      <c r="BW88" s="293"/>
      <c r="BX88" s="293"/>
      <c r="BY88" s="293"/>
      <c r="BZ88" s="293"/>
      <c r="CA88" s="293"/>
      <c r="CB88" s="293"/>
      <c r="CC88" s="293"/>
      <c r="CD88" s="293"/>
      <c r="CE88" s="293"/>
      <c r="CF88" s="293"/>
      <c r="CG88" s="293"/>
      <c r="CH88" s="293"/>
      <c r="CI88" s="293"/>
      <c r="CJ88" s="293"/>
      <c r="CK88" s="293"/>
      <c r="CL88" s="293"/>
      <c r="CM88" s="293"/>
      <c r="CN88" s="293"/>
      <c r="CO88" s="293"/>
      <c r="CP88" s="293"/>
      <c r="CQ88" s="293"/>
      <c r="CR88" s="293"/>
      <c r="CS88" s="293"/>
      <c r="CT88" s="293"/>
      <c r="CU88" s="293"/>
      <c r="CV88" s="293"/>
      <c r="CW88" s="293"/>
      <c r="CX88" s="293"/>
      <c r="CY88" s="293"/>
      <c r="CZ88" s="293"/>
      <c r="DA88" s="293"/>
      <c r="DB88" s="293"/>
      <c r="DC88" s="293"/>
      <c r="DD88" s="293"/>
      <c r="DE88" s="293"/>
      <c r="DF88" s="293"/>
    </row>
    <row r="89" ht="14.25" customHeight="1">
      <c r="A89" s="293"/>
      <c r="B89" s="293"/>
      <c r="C89" s="293"/>
      <c r="D89" s="293"/>
      <c r="E89" s="293"/>
      <c r="F89" s="293"/>
      <c r="G89" s="293"/>
      <c r="H89" s="293"/>
      <c r="I89" s="293"/>
      <c r="J89" s="293"/>
      <c r="K89" s="293"/>
      <c r="L89" s="293"/>
      <c r="M89" s="293"/>
      <c r="N89" s="293"/>
      <c r="O89" s="293"/>
      <c r="P89" s="293"/>
      <c r="Q89" s="293"/>
      <c r="R89" s="293"/>
      <c r="S89" s="293"/>
      <c r="T89" s="293"/>
      <c r="U89" s="293"/>
      <c r="V89" s="293"/>
      <c r="W89" s="293"/>
      <c r="X89" s="293"/>
      <c r="Y89" s="293"/>
      <c r="Z89" s="293"/>
      <c r="AA89" s="293"/>
      <c r="AB89" s="293"/>
      <c r="AC89" s="293"/>
      <c r="AD89" s="293"/>
      <c r="AE89" s="293"/>
      <c r="AF89" s="293"/>
      <c r="AG89" s="293"/>
      <c r="AH89" s="293"/>
      <c r="AI89" s="293"/>
      <c r="AJ89" s="293"/>
      <c r="AK89" s="293"/>
      <c r="AL89" s="293"/>
      <c r="AM89" s="293"/>
      <c r="AN89" s="293"/>
      <c r="AO89" s="293"/>
      <c r="AP89" s="293"/>
      <c r="AQ89" s="293"/>
      <c r="AR89" s="293"/>
      <c r="AS89" s="293"/>
      <c r="AT89" s="293"/>
      <c r="AU89" s="293"/>
      <c r="AV89" s="293"/>
      <c r="AW89" s="293"/>
      <c r="AX89" s="293"/>
      <c r="AY89" s="293"/>
      <c r="AZ89" s="293"/>
      <c r="BA89" s="293"/>
      <c r="BB89" s="293"/>
      <c r="BC89" s="293"/>
      <c r="BD89" s="293"/>
      <c r="BE89" s="293"/>
      <c r="BF89" s="293"/>
      <c r="BG89" s="293"/>
      <c r="BH89" s="293"/>
      <c r="BI89" s="293"/>
      <c r="BJ89" s="293"/>
      <c r="BK89" s="293"/>
      <c r="BL89" s="293"/>
      <c r="BM89" s="293"/>
      <c r="BN89" s="293"/>
      <c r="BO89" s="293"/>
      <c r="BP89" s="293"/>
      <c r="BQ89" s="293"/>
      <c r="BR89" s="293"/>
      <c r="BS89" s="293"/>
      <c r="BT89" s="293"/>
      <c r="BU89" s="293"/>
      <c r="BV89" s="293"/>
      <c r="BW89" s="293"/>
      <c r="BX89" s="293"/>
      <c r="BY89" s="293"/>
      <c r="BZ89" s="293"/>
      <c r="CA89" s="293"/>
      <c r="CB89" s="293"/>
      <c r="CC89" s="293"/>
      <c r="CD89" s="293"/>
      <c r="CE89" s="293"/>
      <c r="CF89" s="293"/>
      <c r="CG89" s="293"/>
      <c r="CH89" s="293"/>
      <c r="CI89" s="293"/>
      <c r="CJ89" s="293"/>
      <c r="CK89" s="293"/>
      <c r="CL89" s="293"/>
      <c r="CM89" s="293"/>
      <c r="CN89" s="293"/>
      <c r="CO89" s="293"/>
      <c r="CP89" s="293"/>
      <c r="CQ89" s="293"/>
      <c r="CR89" s="293"/>
      <c r="CS89" s="293"/>
      <c r="CT89" s="293"/>
      <c r="CU89" s="293"/>
      <c r="CV89" s="293"/>
      <c r="CW89" s="293"/>
      <c r="CX89" s="293"/>
      <c r="CY89" s="293"/>
      <c r="CZ89" s="293"/>
      <c r="DA89" s="293"/>
      <c r="DB89" s="293"/>
      <c r="DC89" s="293"/>
      <c r="DD89" s="293"/>
      <c r="DE89" s="293"/>
      <c r="DF89" s="293"/>
    </row>
    <row r="90" ht="14.25" customHeight="1">
      <c r="A90" s="293"/>
      <c r="B90" s="293"/>
      <c r="C90" s="293"/>
      <c r="D90" s="293"/>
      <c r="E90" s="293"/>
      <c r="F90" s="293"/>
      <c r="G90" s="293"/>
      <c r="H90" s="293"/>
      <c r="I90" s="293"/>
      <c r="J90" s="293"/>
      <c r="K90" s="293"/>
      <c r="L90" s="293"/>
      <c r="M90" s="293"/>
      <c r="N90" s="293"/>
      <c r="O90" s="293"/>
      <c r="P90" s="293"/>
      <c r="Q90" s="293"/>
      <c r="R90" s="293"/>
      <c r="S90" s="293"/>
      <c r="T90" s="293"/>
      <c r="U90" s="293"/>
      <c r="V90" s="293"/>
      <c r="W90" s="293"/>
      <c r="X90" s="293"/>
      <c r="Y90" s="293"/>
      <c r="Z90" s="293"/>
      <c r="AA90" s="293"/>
      <c r="AB90" s="293"/>
      <c r="AC90" s="293"/>
      <c r="AD90" s="293"/>
      <c r="AE90" s="293"/>
      <c r="AF90" s="293"/>
      <c r="AG90" s="293"/>
      <c r="AH90" s="293"/>
      <c r="AI90" s="293"/>
      <c r="AJ90" s="293"/>
      <c r="AK90" s="293"/>
      <c r="AL90" s="293"/>
      <c r="AM90" s="293"/>
      <c r="AN90" s="293"/>
      <c r="AO90" s="293"/>
      <c r="AP90" s="293"/>
      <c r="AQ90" s="293"/>
      <c r="AR90" s="293"/>
      <c r="AS90" s="293"/>
      <c r="AT90" s="293"/>
      <c r="AU90" s="293"/>
      <c r="AV90" s="293"/>
      <c r="AW90" s="293"/>
      <c r="AX90" s="293"/>
      <c r="AY90" s="293"/>
      <c r="AZ90" s="293"/>
      <c r="BA90" s="293"/>
      <c r="BB90" s="293"/>
      <c r="BC90" s="293"/>
      <c r="BD90" s="293"/>
      <c r="BE90" s="293"/>
      <c r="BF90" s="293"/>
      <c r="BG90" s="293"/>
      <c r="BH90" s="293"/>
      <c r="BI90" s="293"/>
      <c r="BJ90" s="293"/>
      <c r="BK90" s="293"/>
      <c r="BL90" s="293"/>
      <c r="BM90" s="293"/>
      <c r="BN90" s="293"/>
      <c r="BO90" s="293"/>
      <c r="BP90" s="293"/>
      <c r="BQ90" s="293"/>
      <c r="BR90" s="293"/>
      <c r="BS90" s="293"/>
      <c r="BT90" s="293"/>
      <c r="BU90" s="293"/>
      <c r="BV90" s="293"/>
      <c r="BW90" s="293"/>
      <c r="BX90" s="293"/>
      <c r="BY90" s="293"/>
      <c r="BZ90" s="293"/>
      <c r="CA90" s="293"/>
      <c r="CB90" s="293"/>
      <c r="CC90" s="293"/>
      <c r="CD90" s="293"/>
      <c r="CE90" s="293"/>
      <c r="CF90" s="293"/>
      <c r="CG90" s="293"/>
      <c r="CH90" s="293"/>
      <c r="CI90" s="293"/>
      <c r="CJ90" s="293"/>
      <c r="CK90" s="293"/>
      <c r="CL90" s="293"/>
      <c r="CM90" s="293"/>
      <c r="CN90" s="293"/>
      <c r="CO90" s="293"/>
      <c r="CP90" s="293"/>
      <c r="CQ90" s="293"/>
      <c r="CR90" s="293"/>
      <c r="CS90" s="293"/>
      <c r="CT90" s="293"/>
      <c r="CU90" s="293"/>
      <c r="CV90" s="293"/>
      <c r="CW90" s="293"/>
      <c r="CX90" s="293"/>
      <c r="CY90" s="293"/>
      <c r="CZ90" s="293"/>
      <c r="DA90" s="293"/>
      <c r="DB90" s="293"/>
      <c r="DC90" s="293"/>
      <c r="DD90" s="293"/>
      <c r="DE90" s="293"/>
      <c r="DF90" s="293"/>
    </row>
    <row r="91" ht="14.25" customHeight="1">
      <c r="A91" s="293"/>
      <c r="B91" s="293"/>
      <c r="C91" s="293"/>
      <c r="D91" s="293"/>
      <c r="E91" s="293"/>
      <c r="F91" s="293"/>
      <c r="G91" s="293"/>
      <c r="H91" s="293"/>
      <c r="I91" s="293"/>
      <c r="J91" s="293"/>
      <c r="K91" s="293"/>
      <c r="L91" s="293"/>
      <c r="M91" s="293"/>
      <c r="N91" s="293"/>
      <c r="O91" s="293"/>
      <c r="P91" s="293"/>
      <c r="Q91" s="293"/>
      <c r="R91" s="293"/>
      <c r="S91" s="293"/>
      <c r="T91" s="293"/>
      <c r="U91" s="293"/>
      <c r="V91" s="293"/>
      <c r="W91" s="293"/>
      <c r="X91" s="293"/>
      <c r="Y91" s="293"/>
      <c r="Z91" s="293"/>
      <c r="AA91" s="293"/>
      <c r="AB91" s="293"/>
      <c r="AC91" s="293"/>
      <c r="AD91" s="293"/>
      <c r="AE91" s="293"/>
      <c r="AF91" s="293"/>
      <c r="AG91" s="293"/>
      <c r="AH91" s="293"/>
      <c r="AI91" s="293"/>
      <c r="AJ91" s="293"/>
      <c r="AK91" s="293"/>
      <c r="AL91" s="293"/>
      <c r="AM91" s="293"/>
      <c r="AN91" s="293"/>
      <c r="AO91" s="293"/>
      <c r="AP91" s="293"/>
      <c r="AQ91" s="293"/>
      <c r="AR91" s="293"/>
      <c r="AS91" s="293"/>
      <c r="AT91" s="293"/>
      <c r="AU91" s="293"/>
      <c r="AV91" s="293"/>
      <c r="AW91" s="293"/>
      <c r="AX91" s="293"/>
      <c r="AY91" s="293"/>
      <c r="AZ91" s="293"/>
      <c r="BA91" s="293"/>
      <c r="BB91" s="293"/>
      <c r="BC91" s="293"/>
      <c r="BD91" s="293"/>
      <c r="BE91" s="293"/>
      <c r="BF91" s="293"/>
      <c r="BG91" s="293"/>
      <c r="BH91" s="293"/>
      <c r="BI91" s="293"/>
      <c r="BJ91" s="293"/>
      <c r="BK91" s="293"/>
      <c r="BL91" s="293"/>
      <c r="BM91" s="293"/>
      <c r="BN91" s="293"/>
      <c r="BO91" s="293"/>
      <c r="BP91" s="293"/>
      <c r="BQ91" s="293"/>
      <c r="BR91" s="293"/>
      <c r="BS91" s="293"/>
      <c r="BT91" s="293"/>
      <c r="BU91" s="293"/>
      <c r="BV91" s="293"/>
      <c r="BW91" s="293"/>
      <c r="BX91" s="293"/>
      <c r="BY91" s="293"/>
      <c r="BZ91" s="293"/>
      <c r="CA91" s="293"/>
      <c r="CB91" s="293"/>
      <c r="CC91" s="293"/>
      <c r="CD91" s="293"/>
      <c r="CE91" s="293"/>
      <c r="CF91" s="293"/>
      <c r="CG91" s="293"/>
      <c r="CH91" s="293"/>
      <c r="CI91" s="293"/>
      <c r="CJ91" s="293"/>
      <c r="CK91" s="293"/>
      <c r="CL91" s="293"/>
      <c r="CM91" s="293"/>
      <c r="CN91" s="293"/>
      <c r="CO91" s="293"/>
      <c r="CP91" s="293"/>
      <c r="CQ91" s="293"/>
      <c r="CR91" s="293"/>
      <c r="CS91" s="293"/>
      <c r="CT91" s="293"/>
      <c r="CU91" s="293"/>
      <c r="CV91" s="293"/>
      <c r="CW91" s="293"/>
      <c r="CX91" s="293"/>
      <c r="CY91" s="293"/>
      <c r="CZ91" s="293"/>
      <c r="DA91" s="293"/>
      <c r="DB91" s="293"/>
      <c r="DC91" s="293"/>
      <c r="DD91" s="293"/>
      <c r="DE91" s="293"/>
      <c r="DF91" s="293"/>
    </row>
    <row r="92" ht="14.25" customHeight="1">
      <c r="A92" s="293"/>
      <c r="B92" s="293"/>
      <c r="C92" s="293"/>
      <c r="D92" s="293"/>
      <c r="E92" s="293"/>
      <c r="F92" s="293"/>
      <c r="G92" s="293"/>
      <c r="H92" s="293"/>
      <c r="I92" s="293"/>
      <c r="J92" s="293"/>
      <c r="K92" s="293"/>
      <c r="L92" s="293"/>
      <c r="M92" s="293"/>
      <c r="N92" s="293"/>
      <c r="O92" s="293"/>
      <c r="P92" s="293"/>
      <c r="Q92" s="293"/>
      <c r="R92" s="293"/>
      <c r="S92" s="293"/>
      <c r="T92" s="293"/>
      <c r="U92" s="293"/>
      <c r="V92" s="293"/>
      <c r="W92" s="293"/>
      <c r="X92" s="293"/>
      <c r="Y92" s="293"/>
      <c r="Z92" s="293"/>
      <c r="AA92" s="293"/>
      <c r="AB92" s="293"/>
      <c r="AC92" s="293"/>
      <c r="AD92" s="293"/>
      <c r="AE92" s="293"/>
      <c r="AF92" s="293"/>
      <c r="AG92" s="293"/>
      <c r="AH92" s="293"/>
      <c r="AI92" s="293"/>
      <c r="AJ92" s="293"/>
      <c r="AK92" s="293"/>
      <c r="AL92" s="293"/>
      <c r="AM92" s="293"/>
      <c r="AN92" s="293"/>
      <c r="AO92" s="293"/>
      <c r="AP92" s="293"/>
      <c r="AQ92" s="293"/>
      <c r="AR92" s="293"/>
      <c r="AS92" s="293"/>
      <c r="AT92" s="293"/>
      <c r="AU92" s="293"/>
      <c r="AV92" s="293"/>
      <c r="AW92" s="293"/>
      <c r="AX92" s="293"/>
      <c r="AY92" s="293"/>
      <c r="AZ92" s="293"/>
      <c r="BA92" s="293"/>
      <c r="BB92" s="293"/>
      <c r="BC92" s="293"/>
      <c r="BD92" s="293"/>
      <c r="BE92" s="293"/>
      <c r="BF92" s="293"/>
      <c r="BG92" s="293"/>
      <c r="BH92" s="293"/>
      <c r="BI92" s="293"/>
      <c r="BJ92" s="293"/>
      <c r="BK92" s="293"/>
      <c r="BL92" s="293"/>
      <c r="BM92" s="293"/>
      <c r="BN92" s="293"/>
      <c r="BO92" s="293"/>
      <c r="BP92" s="293"/>
      <c r="BQ92" s="293"/>
      <c r="BR92" s="293"/>
      <c r="BS92" s="293"/>
      <c r="BT92" s="293"/>
      <c r="BU92" s="293"/>
      <c r="BV92" s="293"/>
      <c r="BW92" s="293"/>
      <c r="BX92" s="293"/>
      <c r="BY92" s="293"/>
      <c r="BZ92" s="293"/>
      <c r="CA92" s="293"/>
      <c r="CB92" s="293"/>
      <c r="CC92" s="293"/>
      <c r="CD92" s="293"/>
      <c r="CE92" s="293"/>
      <c r="CF92" s="293"/>
      <c r="CG92" s="293"/>
      <c r="CH92" s="293"/>
      <c r="CI92" s="293"/>
      <c r="CJ92" s="293"/>
      <c r="CK92" s="293"/>
      <c r="CL92" s="293"/>
      <c r="CM92" s="293"/>
      <c r="CN92" s="293"/>
      <c r="CO92" s="293"/>
      <c r="CP92" s="293"/>
      <c r="CQ92" s="293"/>
      <c r="CR92" s="293"/>
      <c r="CS92" s="293"/>
      <c r="CT92" s="293"/>
      <c r="CU92" s="293"/>
      <c r="CV92" s="293"/>
      <c r="CW92" s="293"/>
      <c r="CX92" s="293"/>
      <c r="CY92" s="293"/>
      <c r="CZ92" s="293"/>
      <c r="DA92" s="293"/>
      <c r="DB92" s="293"/>
      <c r="DC92" s="293"/>
      <c r="DD92" s="293"/>
      <c r="DE92" s="293"/>
      <c r="DF92" s="293"/>
    </row>
    <row r="93" ht="14.25" customHeight="1">
      <c r="A93" s="293"/>
      <c r="B93" s="293"/>
      <c r="C93" s="293"/>
      <c r="D93" s="293"/>
      <c r="E93" s="293"/>
      <c r="F93" s="293"/>
      <c r="G93" s="293"/>
      <c r="H93" s="293"/>
      <c r="I93" s="293"/>
      <c r="J93" s="293"/>
      <c r="K93" s="293"/>
      <c r="L93" s="293"/>
      <c r="M93" s="293"/>
      <c r="N93" s="293"/>
      <c r="O93" s="293"/>
      <c r="P93" s="293"/>
      <c r="Q93" s="293"/>
      <c r="R93" s="293"/>
      <c r="S93" s="293"/>
      <c r="T93" s="293"/>
      <c r="U93" s="293"/>
      <c r="V93" s="293"/>
      <c r="W93" s="293"/>
      <c r="X93" s="293"/>
      <c r="Y93" s="293"/>
      <c r="Z93" s="293"/>
      <c r="AA93" s="293"/>
      <c r="AB93" s="293"/>
      <c r="AC93" s="293"/>
      <c r="AD93" s="293"/>
      <c r="AE93" s="293"/>
      <c r="AF93" s="293"/>
      <c r="AG93" s="293"/>
      <c r="AH93" s="293"/>
      <c r="AI93" s="293"/>
      <c r="AJ93" s="293"/>
      <c r="AK93" s="293"/>
      <c r="AL93" s="293"/>
      <c r="AM93" s="293"/>
      <c r="AN93" s="293"/>
      <c r="AO93" s="293"/>
      <c r="AP93" s="293"/>
      <c r="AQ93" s="293"/>
      <c r="AR93" s="293"/>
      <c r="AS93" s="293"/>
      <c r="AT93" s="293"/>
      <c r="AU93" s="293"/>
      <c r="AV93" s="293"/>
      <c r="AW93" s="293"/>
      <c r="AX93" s="293"/>
      <c r="AY93" s="293"/>
      <c r="AZ93" s="293"/>
      <c r="BA93" s="293"/>
      <c r="BB93" s="293"/>
      <c r="BC93" s="293"/>
      <c r="BD93" s="293"/>
      <c r="BE93" s="293"/>
      <c r="BF93" s="293"/>
      <c r="BG93" s="293"/>
      <c r="BH93" s="293"/>
      <c r="BI93" s="293"/>
      <c r="BJ93" s="293"/>
      <c r="BK93" s="293"/>
      <c r="BL93" s="293"/>
      <c r="BM93" s="293"/>
      <c r="BN93" s="293"/>
      <c r="BO93" s="293"/>
      <c r="BP93" s="293"/>
      <c r="BQ93" s="293"/>
      <c r="BR93" s="293"/>
      <c r="BS93" s="293"/>
      <c r="BT93" s="293"/>
      <c r="BU93" s="293"/>
      <c r="BV93" s="293"/>
      <c r="BW93" s="293"/>
      <c r="BX93" s="293"/>
      <c r="BY93" s="293"/>
      <c r="BZ93" s="293"/>
      <c r="CA93" s="293"/>
      <c r="CB93" s="293"/>
      <c r="CC93" s="293"/>
      <c r="CD93" s="293"/>
      <c r="CE93" s="293"/>
      <c r="CF93" s="293"/>
      <c r="CG93" s="293"/>
      <c r="CH93" s="293"/>
      <c r="CI93" s="293"/>
      <c r="CJ93" s="293"/>
      <c r="CK93" s="293"/>
      <c r="CL93" s="293"/>
      <c r="CM93" s="293"/>
      <c r="CN93" s="293"/>
      <c r="CO93" s="293"/>
      <c r="CP93" s="293"/>
      <c r="CQ93" s="293"/>
      <c r="CR93" s="293"/>
      <c r="CS93" s="293"/>
      <c r="CT93" s="293"/>
      <c r="CU93" s="293"/>
      <c r="CV93" s="293"/>
      <c r="CW93" s="293"/>
      <c r="CX93" s="293"/>
      <c r="CY93" s="293"/>
      <c r="CZ93" s="293"/>
      <c r="DA93" s="293"/>
      <c r="DB93" s="293"/>
      <c r="DC93" s="293"/>
      <c r="DD93" s="293"/>
      <c r="DE93" s="293"/>
      <c r="DF93" s="293"/>
    </row>
    <row r="94" ht="14.25" customHeight="1">
      <c r="A94" s="293"/>
      <c r="B94" s="293"/>
      <c r="C94" s="293"/>
      <c r="D94" s="293"/>
      <c r="E94" s="293"/>
      <c r="F94" s="293"/>
      <c r="G94" s="293"/>
      <c r="H94" s="293"/>
      <c r="I94" s="293"/>
      <c r="J94" s="293"/>
      <c r="K94" s="293"/>
      <c r="L94" s="293"/>
      <c r="M94" s="293"/>
      <c r="N94" s="293"/>
      <c r="O94" s="293"/>
      <c r="P94" s="293"/>
      <c r="Q94" s="293"/>
      <c r="R94" s="293"/>
      <c r="S94" s="293"/>
      <c r="T94" s="293"/>
      <c r="U94" s="293"/>
      <c r="V94" s="293"/>
      <c r="W94" s="293"/>
      <c r="X94" s="293"/>
      <c r="Y94" s="293"/>
      <c r="Z94" s="293"/>
      <c r="AA94" s="293"/>
      <c r="AB94" s="293"/>
      <c r="AC94" s="293"/>
      <c r="AD94" s="293"/>
      <c r="AE94" s="293"/>
      <c r="AF94" s="293"/>
      <c r="AG94" s="293"/>
      <c r="AH94" s="293"/>
      <c r="AI94" s="293"/>
      <c r="AJ94" s="293"/>
      <c r="AK94" s="293"/>
      <c r="AL94" s="293"/>
      <c r="AM94" s="293"/>
      <c r="AN94" s="293"/>
      <c r="AO94" s="293"/>
      <c r="AP94" s="293"/>
      <c r="AQ94" s="293"/>
      <c r="AR94" s="293"/>
      <c r="AS94" s="293"/>
      <c r="AT94" s="293"/>
      <c r="AU94" s="293"/>
      <c r="AV94" s="293"/>
      <c r="AW94" s="293"/>
      <c r="AX94" s="293"/>
      <c r="AY94" s="293"/>
      <c r="AZ94" s="293"/>
      <c r="BA94" s="293"/>
      <c r="BB94" s="293"/>
      <c r="BC94" s="293"/>
      <c r="BD94" s="293"/>
      <c r="BE94" s="293"/>
      <c r="BF94" s="293"/>
      <c r="BG94" s="293"/>
      <c r="BH94" s="293"/>
      <c r="BI94" s="293"/>
      <c r="BJ94" s="293"/>
      <c r="BK94" s="293"/>
      <c r="BL94" s="293"/>
      <c r="BM94" s="293"/>
      <c r="BN94" s="293"/>
      <c r="BO94" s="293"/>
      <c r="BP94" s="293"/>
      <c r="BQ94" s="293"/>
      <c r="BR94" s="293"/>
      <c r="BS94" s="293"/>
      <c r="BT94" s="293"/>
      <c r="BU94" s="293"/>
      <c r="BV94" s="293"/>
      <c r="BW94" s="293"/>
      <c r="BX94" s="293"/>
      <c r="BY94" s="293"/>
      <c r="BZ94" s="293"/>
      <c r="CA94" s="293"/>
      <c r="CB94" s="293"/>
      <c r="CC94" s="293"/>
      <c r="CD94" s="293"/>
      <c r="CE94" s="293"/>
      <c r="CF94" s="293"/>
      <c r="CG94" s="293"/>
      <c r="CH94" s="293"/>
      <c r="CI94" s="293"/>
      <c r="CJ94" s="293"/>
      <c r="CK94" s="293"/>
      <c r="CL94" s="293"/>
      <c r="CM94" s="293"/>
      <c r="CN94" s="293"/>
      <c r="CO94" s="293"/>
      <c r="CP94" s="293"/>
      <c r="CQ94" s="293"/>
      <c r="CR94" s="293"/>
      <c r="CS94" s="293"/>
      <c r="CT94" s="293"/>
      <c r="CU94" s="293"/>
      <c r="CV94" s="293"/>
      <c r="CW94" s="293"/>
      <c r="CX94" s="293"/>
      <c r="CY94" s="293"/>
      <c r="CZ94" s="293"/>
      <c r="DA94" s="293"/>
      <c r="DB94" s="293"/>
      <c r="DC94" s="293"/>
      <c r="DD94" s="293"/>
      <c r="DE94" s="293"/>
      <c r="DF94" s="293"/>
    </row>
    <row r="95" ht="14.25" customHeight="1">
      <c r="A95" s="293"/>
      <c r="B95" s="293"/>
      <c r="C95" s="293"/>
      <c r="D95" s="293"/>
      <c r="E95" s="293"/>
      <c r="F95" s="293"/>
      <c r="G95" s="293"/>
      <c r="H95" s="293"/>
      <c r="I95" s="293"/>
      <c r="J95" s="293"/>
      <c r="K95" s="293"/>
      <c r="L95" s="293"/>
      <c r="M95" s="293"/>
      <c r="N95" s="293"/>
      <c r="O95" s="293"/>
      <c r="P95" s="293"/>
      <c r="Q95" s="293"/>
      <c r="R95" s="293"/>
      <c r="S95" s="293"/>
      <c r="T95" s="293"/>
      <c r="U95" s="293"/>
      <c r="V95" s="293"/>
      <c r="W95" s="293"/>
      <c r="X95" s="293"/>
      <c r="Y95" s="293"/>
      <c r="Z95" s="293"/>
      <c r="AA95" s="293"/>
      <c r="AB95" s="293"/>
      <c r="AC95" s="293"/>
      <c r="AD95" s="293"/>
      <c r="AE95" s="293"/>
      <c r="AF95" s="293"/>
      <c r="AG95" s="293"/>
      <c r="AH95" s="293"/>
      <c r="AI95" s="293"/>
      <c r="AJ95" s="293"/>
      <c r="AK95" s="293"/>
      <c r="AL95" s="293"/>
      <c r="AM95" s="293"/>
      <c r="AN95" s="293"/>
      <c r="AO95" s="293"/>
      <c r="AP95" s="293"/>
      <c r="AQ95" s="293"/>
      <c r="AR95" s="293"/>
      <c r="AS95" s="293"/>
      <c r="AT95" s="293"/>
      <c r="AU95" s="293"/>
      <c r="AV95" s="293"/>
      <c r="AW95" s="293"/>
      <c r="AX95" s="293"/>
      <c r="AY95" s="293"/>
      <c r="AZ95" s="293"/>
      <c r="BA95" s="293"/>
      <c r="BB95" s="293"/>
      <c r="BC95" s="293"/>
      <c r="BD95" s="293"/>
      <c r="BE95" s="293"/>
      <c r="BF95" s="293"/>
      <c r="BG95" s="293"/>
      <c r="BH95" s="293"/>
      <c r="BI95" s="293"/>
      <c r="BJ95" s="293"/>
      <c r="BK95" s="293"/>
      <c r="BL95" s="293"/>
      <c r="BM95" s="293"/>
      <c r="BN95" s="293"/>
      <c r="BO95" s="293"/>
      <c r="BP95" s="293"/>
      <c r="BQ95" s="293"/>
      <c r="BR95" s="293"/>
      <c r="BS95" s="293"/>
      <c r="BT95" s="293"/>
      <c r="BU95" s="293"/>
      <c r="BV95" s="293"/>
      <c r="BW95" s="293"/>
      <c r="BX95" s="293"/>
      <c r="BY95" s="293"/>
      <c r="BZ95" s="293"/>
      <c r="CA95" s="293"/>
      <c r="CB95" s="293"/>
      <c r="CC95" s="293"/>
      <c r="CD95" s="293"/>
      <c r="CE95" s="293"/>
      <c r="CF95" s="293"/>
      <c r="CG95" s="293"/>
      <c r="CH95" s="293"/>
      <c r="CI95" s="293"/>
      <c r="CJ95" s="293"/>
      <c r="CK95" s="293"/>
      <c r="CL95" s="293"/>
      <c r="CM95" s="293"/>
      <c r="CN95" s="293"/>
      <c r="CO95" s="293"/>
      <c r="CP95" s="293"/>
      <c r="CQ95" s="293"/>
      <c r="CR95" s="293"/>
      <c r="CS95" s="293"/>
      <c r="CT95" s="293"/>
      <c r="CU95" s="293"/>
      <c r="CV95" s="293"/>
      <c r="CW95" s="293"/>
      <c r="CX95" s="293"/>
      <c r="CY95" s="293"/>
      <c r="CZ95" s="293"/>
      <c r="DA95" s="293"/>
      <c r="DB95" s="293"/>
      <c r="DC95" s="293"/>
      <c r="DD95" s="293"/>
      <c r="DE95" s="293"/>
      <c r="DF95" s="293"/>
    </row>
    <row r="96" ht="14.25" customHeight="1">
      <c r="A96" s="293"/>
      <c r="B96" s="293"/>
      <c r="C96" s="293"/>
      <c r="D96" s="293"/>
      <c r="E96" s="293"/>
      <c r="F96" s="293"/>
      <c r="G96" s="293"/>
      <c r="H96" s="293"/>
      <c r="I96" s="293"/>
      <c r="J96" s="293"/>
      <c r="K96" s="293"/>
      <c r="L96" s="293"/>
      <c r="M96" s="293"/>
      <c r="N96" s="293"/>
      <c r="O96" s="293"/>
      <c r="P96" s="293"/>
      <c r="Q96" s="293"/>
      <c r="R96" s="293"/>
      <c r="S96" s="293"/>
      <c r="T96" s="293"/>
      <c r="U96" s="293"/>
      <c r="V96" s="293"/>
      <c r="W96" s="293"/>
      <c r="X96" s="293"/>
      <c r="Y96" s="293"/>
      <c r="Z96" s="293"/>
      <c r="AA96" s="293"/>
      <c r="AB96" s="293"/>
      <c r="AC96" s="293"/>
      <c r="AD96" s="293"/>
      <c r="AE96" s="293"/>
      <c r="AF96" s="293"/>
      <c r="AG96" s="293"/>
      <c r="AH96" s="293"/>
      <c r="AI96" s="293"/>
      <c r="AJ96" s="293"/>
      <c r="AK96" s="293"/>
      <c r="AL96" s="293"/>
      <c r="AM96" s="293"/>
      <c r="AN96" s="293"/>
      <c r="AO96" s="293"/>
      <c r="AP96" s="293"/>
      <c r="AQ96" s="293"/>
      <c r="AR96" s="293"/>
      <c r="AS96" s="293"/>
      <c r="AT96" s="293"/>
      <c r="AU96" s="293"/>
      <c r="AV96" s="293"/>
      <c r="AW96" s="293"/>
      <c r="AX96" s="293"/>
      <c r="AY96" s="293"/>
      <c r="AZ96" s="293"/>
      <c r="BA96" s="293"/>
      <c r="BB96" s="293"/>
      <c r="BC96" s="293"/>
      <c r="BD96" s="293"/>
      <c r="BE96" s="293"/>
      <c r="BF96" s="293"/>
      <c r="BG96" s="293"/>
      <c r="BH96" s="293"/>
      <c r="BI96" s="293"/>
      <c r="BJ96" s="293"/>
      <c r="BK96" s="293"/>
      <c r="BL96" s="293"/>
      <c r="BM96" s="293"/>
      <c r="BN96" s="293"/>
      <c r="BO96" s="293"/>
      <c r="BP96" s="293"/>
      <c r="BQ96" s="293"/>
      <c r="BR96" s="293"/>
      <c r="BS96" s="293"/>
      <c r="BT96" s="293"/>
      <c r="BU96" s="293"/>
      <c r="BV96" s="293"/>
      <c r="BW96" s="293"/>
      <c r="BX96" s="293"/>
      <c r="BY96" s="293"/>
      <c r="BZ96" s="293"/>
      <c r="CA96" s="293"/>
      <c r="CB96" s="293"/>
      <c r="CC96" s="293"/>
      <c r="CD96" s="293"/>
      <c r="CE96" s="293"/>
      <c r="CF96" s="293"/>
      <c r="CG96" s="293"/>
      <c r="CH96" s="293"/>
      <c r="CI96" s="293"/>
      <c r="CJ96" s="293"/>
      <c r="CK96" s="293"/>
      <c r="CL96" s="293"/>
      <c r="CM96" s="293"/>
      <c r="CN96" s="293"/>
      <c r="CO96" s="293"/>
      <c r="CP96" s="293"/>
      <c r="CQ96" s="293"/>
      <c r="CR96" s="293"/>
      <c r="CS96" s="293"/>
      <c r="CT96" s="293"/>
      <c r="CU96" s="293"/>
      <c r="CV96" s="293"/>
      <c r="CW96" s="293"/>
      <c r="CX96" s="293"/>
      <c r="CY96" s="293"/>
      <c r="CZ96" s="293"/>
      <c r="DA96" s="293"/>
      <c r="DB96" s="293"/>
      <c r="DC96" s="293"/>
      <c r="DD96" s="293"/>
      <c r="DE96" s="293"/>
      <c r="DF96" s="293"/>
    </row>
    <row r="97" ht="14.25" customHeight="1">
      <c r="A97" s="293"/>
      <c r="B97" s="293"/>
      <c r="C97" s="293"/>
      <c r="D97" s="293"/>
      <c r="E97" s="293"/>
      <c r="F97" s="293"/>
      <c r="G97" s="293"/>
      <c r="H97" s="293"/>
      <c r="I97" s="293"/>
      <c r="J97" s="293"/>
      <c r="K97" s="293"/>
      <c r="L97" s="293"/>
      <c r="M97" s="293"/>
      <c r="N97" s="293"/>
      <c r="O97" s="293"/>
      <c r="P97" s="293"/>
      <c r="Q97" s="293"/>
      <c r="R97" s="293"/>
      <c r="S97" s="293"/>
      <c r="T97" s="293"/>
      <c r="U97" s="293"/>
      <c r="V97" s="293"/>
      <c r="W97" s="293"/>
      <c r="X97" s="293"/>
      <c r="Y97" s="293"/>
      <c r="Z97" s="293"/>
      <c r="AA97" s="293"/>
      <c r="AB97" s="293"/>
      <c r="AC97" s="293"/>
      <c r="AD97" s="293"/>
      <c r="AE97" s="293"/>
      <c r="AF97" s="293"/>
      <c r="AG97" s="293"/>
      <c r="AH97" s="293"/>
      <c r="AI97" s="293"/>
      <c r="AJ97" s="293"/>
      <c r="AK97" s="293"/>
      <c r="AL97" s="293"/>
      <c r="AM97" s="293"/>
      <c r="AN97" s="293"/>
      <c r="AO97" s="293"/>
      <c r="AP97" s="293"/>
      <c r="AQ97" s="293"/>
      <c r="AR97" s="293"/>
      <c r="AS97" s="293"/>
      <c r="AT97" s="293"/>
      <c r="AU97" s="293"/>
      <c r="AV97" s="293"/>
      <c r="AW97" s="293"/>
      <c r="AX97" s="293"/>
      <c r="AY97" s="293"/>
      <c r="AZ97" s="293"/>
      <c r="BA97" s="293"/>
      <c r="BB97" s="293"/>
      <c r="BC97" s="293"/>
      <c r="BD97" s="293"/>
      <c r="BE97" s="293"/>
      <c r="BF97" s="293"/>
      <c r="BG97" s="293"/>
      <c r="BH97" s="293"/>
      <c r="BI97" s="293"/>
      <c r="BJ97" s="293"/>
      <c r="BK97" s="293"/>
      <c r="BL97" s="293"/>
      <c r="BM97" s="293"/>
      <c r="BN97" s="293"/>
      <c r="BO97" s="293"/>
      <c r="BP97" s="293"/>
      <c r="BQ97" s="293"/>
      <c r="BR97" s="293"/>
      <c r="BS97" s="293"/>
      <c r="BT97" s="293"/>
      <c r="BU97" s="293"/>
      <c r="BV97" s="293"/>
      <c r="BW97" s="293"/>
      <c r="BX97" s="293"/>
      <c r="BY97" s="293"/>
      <c r="BZ97" s="293"/>
      <c r="CA97" s="293"/>
      <c r="CB97" s="293"/>
      <c r="CC97" s="293"/>
      <c r="CD97" s="293"/>
      <c r="CE97" s="293"/>
      <c r="CF97" s="293"/>
      <c r="CG97" s="293"/>
      <c r="CH97" s="293"/>
      <c r="CI97" s="293"/>
      <c r="CJ97" s="293"/>
      <c r="CK97" s="293"/>
      <c r="CL97" s="293"/>
      <c r="CM97" s="293"/>
      <c r="CN97" s="293"/>
      <c r="CO97" s="293"/>
      <c r="CP97" s="293"/>
      <c r="CQ97" s="293"/>
      <c r="CR97" s="293"/>
      <c r="CS97" s="293"/>
      <c r="CT97" s="293"/>
      <c r="CU97" s="293"/>
      <c r="CV97" s="293"/>
      <c r="CW97" s="293"/>
      <c r="CX97" s="293"/>
      <c r="CY97" s="293"/>
      <c r="CZ97" s="293"/>
      <c r="DA97" s="293"/>
      <c r="DB97" s="293"/>
      <c r="DC97" s="293"/>
      <c r="DD97" s="293"/>
      <c r="DE97" s="293"/>
      <c r="DF97" s="293"/>
    </row>
    <row r="98" ht="14.25" customHeight="1">
      <c r="A98" s="293"/>
      <c r="B98" s="293"/>
      <c r="C98" s="293"/>
      <c r="D98" s="293"/>
      <c r="E98" s="293"/>
      <c r="F98" s="293"/>
      <c r="G98" s="293"/>
      <c r="H98" s="293"/>
      <c r="I98" s="293"/>
      <c r="J98" s="293"/>
      <c r="K98" s="293"/>
      <c r="L98" s="293"/>
      <c r="M98" s="293"/>
      <c r="N98" s="293"/>
      <c r="O98" s="293"/>
      <c r="P98" s="293"/>
      <c r="Q98" s="293"/>
      <c r="R98" s="293"/>
      <c r="S98" s="293"/>
      <c r="T98" s="293"/>
      <c r="U98" s="293"/>
      <c r="V98" s="293"/>
      <c r="W98" s="293"/>
      <c r="X98" s="293"/>
      <c r="Y98" s="293"/>
      <c r="Z98" s="293"/>
      <c r="AA98" s="293"/>
      <c r="AB98" s="293"/>
      <c r="AC98" s="293"/>
      <c r="AD98" s="293"/>
      <c r="AE98" s="293"/>
      <c r="AF98" s="293"/>
      <c r="AG98" s="293"/>
      <c r="AH98" s="293"/>
      <c r="AI98" s="293"/>
      <c r="AJ98" s="293"/>
      <c r="AK98" s="293"/>
      <c r="AL98" s="293"/>
      <c r="AM98" s="293"/>
      <c r="AN98" s="293"/>
      <c r="AO98" s="293"/>
      <c r="AP98" s="293"/>
      <c r="AQ98" s="293"/>
      <c r="AR98" s="293"/>
      <c r="AS98" s="293"/>
      <c r="AT98" s="293"/>
      <c r="AU98" s="293"/>
      <c r="AV98" s="293"/>
      <c r="AW98" s="293"/>
      <c r="AX98" s="293"/>
      <c r="AY98" s="293"/>
      <c r="AZ98" s="293"/>
      <c r="BA98" s="293"/>
      <c r="BB98" s="293"/>
      <c r="BC98" s="293"/>
      <c r="BD98" s="293"/>
      <c r="BE98" s="293"/>
      <c r="BF98" s="293"/>
      <c r="BG98" s="293"/>
      <c r="BH98" s="293"/>
      <c r="BI98" s="293"/>
      <c r="BJ98" s="293"/>
      <c r="BK98" s="293"/>
      <c r="BL98" s="293"/>
      <c r="BM98" s="293"/>
      <c r="BN98" s="293"/>
      <c r="BO98" s="293"/>
      <c r="BP98" s="293"/>
      <c r="BQ98" s="293"/>
      <c r="BR98" s="293"/>
      <c r="BS98" s="293"/>
      <c r="BT98" s="293"/>
      <c r="BU98" s="293"/>
      <c r="BV98" s="293"/>
      <c r="BW98" s="293"/>
      <c r="BX98" s="293"/>
      <c r="BY98" s="293"/>
      <c r="BZ98" s="293"/>
      <c r="CA98" s="293"/>
      <c r="CB98" s="293"/>
      <c r="CC98" s="293"/>
      <c r="CD98" s="293"/>
      <c r="CE98" s="293"/>
      <c r="CF98" s="293"/>
      <c r="CG98" s="293"/>
      <c r="CH98" s="293"/>
      <c r="CI98" s="293"/>
      <c r="CJ98" s="293"/>
      <c r="CK98" s="293"/>
      <c r="CL98" s="293"/>
      <c r="CM98" s="293"/>
      <c r="CN98" s="293"/>
      <c r="CO98" s="293"/>
      <c r="CP98" s="293"/>
      <c r="CQ98" s="293"/>
      <c r="CR98" s="293"/>
      <c r="CS98" s="293"/>
      <c r="CT98" s="293"/>
      <c r="CU98" s="293"/>
      <c r="CV98" s="293"/>
      <c r="CW98" s="293"/>
      <c r="CX98" s="293"/>
      <c r="CY98" s="293"/>
      <c r="CZ98" s="293"/>
      <c r="DA98" s="293"/>
      <c r="DB98" s="293"/>
      <c r="DC98" s="293"/>
      <c r="DD98" s="293"/>
      <c r="DE98" s="293"/>
      <c r="DF98" s="293"/>
    </row>
    <row r="99" ht="14.25" customHeight="1">
      <c r="A99" s="293"/>
      <c r="B99" s="293"/>
      <c r="C99" s="293"/>
      <c r="D99" s="293"/>
      <c r="E99" s="293"/>
      <c r="F99" s="293"/>
      <c r="G99" s="293"/>
      <c r="H99" s="293"/>
      <c r="I99" s="293"/>
      <c r="J99" s="293"/>
      <c r="K99" s="293"/>
      <c r="L99" s="293"/>
      <c r="M99" s="293"/>
      <c r="N99" s="293"/>
      <c r="O99" s="293"/>
      <c r="P99" s="293"/>
      <c r="Q99" s="293"/>
      <c r="R99" s="293"/>
      <c r="S99" s="293"/>
      <c r="T99" s="293"/>
      <c r="U99" s="293"/>
      <c r="V99" s="293"/>
      <c r="W99" s="293"/>
      <c r="X99" s="293"/>
      <c r="Y99" s="293"/>
      <c r="Z99" s="293"/>
      <c r="AA99" s="293"/>
      <c r="AB99" s="293"/>
      <c r="AC99" s="293"/>
      <c r="AD99" s="293"/>
      <c r="AE99" s="293"/>
      <c r="AF99" s="293"/>
      <c r="AG99" s="293"/>
      <c r="AH99" s="293"/>
      <c r="AI99" s="293"/>
      <c r="AJ99" s="293"/>
      <c r="AK99" s="293"/>
      <c r="AL99" s="293"/>
      <c r="AM99" s="293"/>
      <c r="AN99" s="293"/>
      <c r="AO99" s="293"/>
      <c r="AP99" s="293"/>
      <c r="AQ99" s="293"/>
      <c r="AR99" s="293"/>
      <c r="AS99" s="293"/>
      <c r="AT99" s="293"/>
      <c r="AU99" s="293"/>
      <c r="AV99" s="293"/>
      <c r="AW99" s="293"/>
      <c r="AX99" s="293"/>
      <c r="AY99" s="293"/>
      <c r="AZ99" s="293"/>
      <c r="BA99" s="293"/>
      <c r="BB99" s="293"/>
      <c r="BC99" s="293"/>
      <c r="BD99" s="293"/>
      <c r="BE99" s="293"/>
      <c r="BF99" s="293"/>
      <c r="BG99" s="293"/>
      <c r="BH99" s="293"/>
      <c r="BI99" s="293"/>
      <c r="BJ99" s="293"/>
      <c r="BK99" s="293"/>
      <c r="BL99" s="293"/>
      <c r="BM99" s="293"/>
      <c r="BN99" s="293"/>
      <c r="BO99" s="293"/>
      <c r="BP99" s="293"/>
      <c r="BQ99" s="293"/>
      <c r="BR99" s="293"/>
      <c r="BS99" s="293"/>
      <c r="BT99" s="293"/>
      <c r="BU99" s="293"/>
      <c r="BV99" s="293"/>
      <c r="BW99" s="293"/>
      <c r="BX99" s="293"/>
      <c r="BY99" s="293"/>
      <c r="BZ99" s="293"/>
      <c r="CA99" s="293"/>
      <c r="CB99" s="293"/>
      <c r="CC99" s="293"/>
      <c r="CD99" s="293"/>
      <c r="CE99" s="293"/>
      <c r="CF99" s="293"/>
      <c r="CG99" s="293"/>
      <c r="CH99" s="293"/>
      <c r="CI99" s="293"/>
      <c r="CJ99" s="293"/>
      <c r="CK99" s="293"/>
      <c r="CL99" s="293"/>
      <c r="CM99" s="293"/>
      <c r="CN99" s="293"/>
      <c r="CO99" s="293"/>
      <c r="CP99" s="293"/>
      <c r="CQ99" s="293"/>
      <c r="CR99" s="293"/>
      <c r="CS99" s="293"/>
      <c r="CT99" s="293"/>
      <c r="CU99" s="293"/>
      <c r="CV99" s="293"/>
      <c r="CW99" s="293"/>
      <c r="CX99" s="293"/>
      <c r="CY99" s="293"/>
      <c r="CZ99" s="293"/>
      <c r="DA99" s="293"/>
      <c r="DB99" s="293"/>
      <c r="DC99" s="293"/>
      <c r="DD99" s="293"/>
      <c r="DE99" s="293"/>
      <c r="DF99" s="293"/>
    </row>
    <row r="100" ht="14.25" customHeight="1">
      <c r="A100" s="293"/>
      <c r="B100" s="293"/>
      <c r="C100" s="293"/>
      <c r="D100" s="293"/>
      <c r="E100" s="293"/>
      <c r="F100" s="293"/>
      <c r="G100" s="293"/>
      <c r="H100" s="293"/>
      <c r="I100" s="293"/>
      <c r="J100" s="293"/>
      <c r="K100" s="293"/>
      <c r="L100" s="293"/>
      <c r="M100" s="293"/>
      <c r="N100" s="293"/>
      <c r="O100" s="293"/>
      <c r="P100" s="293"/>
      <c r="Q100" s="293"/>
      <c r="R100" s="293"/>
      <c r="S100" s="293"/>
      <c r="T100" s="293"/>
      <c r="U100" s="293"/>
      <c r="V100" s="293"/>
      <c r="W100" s="293"/>
      <c r="X100" s="293"/>
      <c r="Y100" s="293"/>
      <c r="Z100" s="293"/>
      <c r="AA100" s="293"/>
      <c r="AB100" s="293"/>
      <c r="AC100" s="293"/>
      <c r="AD100" s="293"/>
      <c r="AE100" s="293"/>
      <c r="AF100" s="293"/>
      <c r="AG100" s="293"/>
      <c r="AH100" s="293"/>
      <c r="AI100" s="293"/>
      <c r="AJ100" s="293"/>
      <c r="AK100" s="293"/>
      <c r="AL100" s="293"/>
      <c r="AM100" s="293"/>
      <c r="AN100" s="293"/>
      <c r="AO100" s="293"/>
      <c r="AP100" s="293"/>
      <c r="AQ100" s="293"/>
      <c r="AR100" s="293"/>
      <c r="AS100" s="293"/>
      <c r="AT100" s="293"/>
      <c r="AU100" s="293"/>
      <c r="AV100" s="293"/>
      <c r="AW100" s="293"/>
      <c r="AX100" s="293"/>
      <c r="AY100" s="293"/>
      <c r="AZ100" s="293"/>
      <c r="BA100" s="293"/>
      <c r="BB100" s="293"/>
      <c r="BC100" s="293"/>
      <c r="BD100" s="293"/>
      <c r="BE100" s="293"/>
      <c r="BF100" s="293"/>
      <c r="BG100" s="293"/>
      <c r="BH100" s="293"/>
      <c r="BI100" s="293"/>
      <c r="BJ100" s="293"/>
      <c r="BK100" s="293"/>
      <c r="BL100" s="293"/>
      <c r="BM100" s="293"/>
      <c r="BN100" s="293"/>
      <c r="BO100" s="293"/>
      <c r="BP100" s="293"/>
      <c r="BQ100" s="293"/>
      <c r="BR100" s="293"/>
      <c r="BS100" s="293"/>
      <c r="BT100" s="293"/>
      <c r="BU100" s="293"/>
      <c r="BV100" s="293"/>
      <c r="BW100" s="293"/>
      <c r="BX100" s="293"/>
      <c r="BY100" s="293"/>
      <c r="BZ100" s="293"/>
      <c r="CA100" s="293"/>
      <c r="CB100" s="293"/>
      <c r="CC100" s="293"/>
      <c r="CD100" s="293"/>
      <c r="CE100" s="293"/>
      <c r="CF100" s="293"/>
      <c r="CG100" s="293"/>
      <c r="CH100" s="293"/>
      <c r="CI100" s="293"/>
      <c r="CJ100" s="293"/>
      <c r="CK100" s="293"/>
      <c r="CL100" s="293"/>
      <c r="CM100" s="293"/>
      <c r="CN100" s="293"/>
      <c r="CO100" s="293"/>
      <c r="CP100" s="293"/>
      <c r="CQ100" s="293"/>
      <c r="CR100" s="293"/>
      <c r="CS100" s="293"/>
      <c r="CT100" s="293"/>
      <c r="CU100" s="293"/>
      <c r="CV100" s="293"/>
      <c r="CW100" s="293"/>
      <c r="CX100" s="293"/>
      <c r="CY100" s="293"/>
      <c r="CZ100" s="293"/>
      <c r="DA100" s="293"/>
      <c r="DB100" s="293"/>
      <c r="DC100" s="293"/>
      <c r="DD100" s="293"/>
      <c r="DE100" s="293"/>
      <c r="DF100" s="293"/>
    </row>
    <row r="101" ht="14.25" customHeight="1">
      <c r="A101" s="293"/>
      <c r="B101" s="293"/>
      <c r="C101" s="293"/>
      <c r="D101" s="293"/>
      <c r="E101" s="293"/>
      <c r="F101" s="293"/>
      <c r="G101" s="293"/>
      <c r="H101" s="293"/>
      <c r="I101" s="293"/>
      <c r="J101" s="293"/>
      <c r="K101" s="293"/>
      <c r="L101" s="293"/>
      <c r="M101" s="293"/>
      <c r="N101" s="293"/>
      <c r="O101" s="293"/>
      <c r="P101" s="293"/>
      <c r="Q101" s="293"/>
      <c r="R101" s="293"/>
      <c r="S101" s="293"/>
      <c r="T101" s="293"/>
      <c r="U101" s="293"/>
      <c r="V101" s="293"/>
      <c r="W101" s="293"/>
      <c r="X101" s="293"/>
      <c r="Y101" s="293"/>
      <c r="Z101" s="293"/>
      <c r="AA101" s="293"/>
      <c r="AB101" s="293"/>
      <c r="AC101" s="293"/>
      <c r="AD101" s="293"/>
      <c r="AE101" s="293"/>
      <c r="AF101" s="293"/>
      <c r="AG101" s="293"/>
      <c r="AH101" s="293"/>
      <c r="AI101" s="293"/>
      <c r="AJ101" s="293"/>
      <c r="AK101" s="293"/>
      <c r="AL101" s="293"/>
      <c r="AM101" s="293"/>
      <c r="AN101" s="293"/>
      <c r="AO101" s="293"/>
      <c r="AP101" s="293"/>
      <c r="AQ101" s="293"/>
      <c r="AR101" s="293"/>
      <c r="AS101" s="293"/>
      <c r="AT101" s="293"/>
      <c r="AU101" s="293"/>
      <c r="AV101" s="293"/>
      <c r="AW101" s="293"/>
      <c r="AX101" s="293"/>
      <c r="AY101" s="293"/>
      <c r="AZ101" s="293"/>
      <c r="BA101" s="293"/>
      <c r="BB101" s="293"/>
      <c r="BC101" s="293"/>
      <c r="BD101" s="293"/>
      <c r="BE101" s="293"/>
      <c r="BF101" s="293"/>
      <c r="BG101" s="293"/>
      <c r="BH101" s="293"/>
      <c r="BI101" s="293"/>
      <c r="BJ101" s="293"/>
      <c r="BK101" s="293"/>
      <c r="BL101" s="293"/>
      <c r="BM101" s="293"/>
      <c r="BN101" s="293"/>
      <c r="BO101" s="293"/>
      <c r="BP101" s="293"/>
      <c r="BQ101" s="293"/>
      <c r="BR101" s="293"/>
      <c r="BS101" s="293"/>
      <c r="BT101" s="293"/>
      <c r="BU101" s="293"/>
      <c r="BV101" s="293"/>
      <c r="BW101" s="293"/>
      <c r="BX101" s="293"/>
      <c r="BY101" s="293"/>
      <c r="BZ101" s="293"/>
      <c r="CA101" s="293"/>
      <c r="CB101" s="293"/>
      <c r="CC101" s="293"/>
      <c r="CD101" s="293"/>
      <c r="CE101" s="293"/>
      <c r="CF101" s="293"/>
      <c r="CG101" s="293"/>
      <c r="CH101" s="293"/>
      <c r="CI101" s="293"/>
      <c r="CJ101" s="293"/>
      <c r="CK101" s="293"/>
      <c r="CL101" s="293"/>
      <c r="CM101" s="293"/>
      <c r="CN101" s="293"/>
      <c r="CO101" s="293"/>
      <c r="CP101" s="293"/>
      <c r="CQ101" s="293"/>
      <c r="CR101" s="293"/>
      <c r="CS101" s="293"/>
      <c r="CT101" s="293"/>
      <c r="CU101" s="293"/>
      <c r="CV101" s="293"/>
      <c r="CW101" s="293"/>
      <c r="CX101" s="293"/>
      <c r="CY101" s="293"/>
      <c r="CZ101" s="293"/>
      <c r="DA101" s="293"/>
      <c r="DB101" s="293"/>
      <c r="DC101" s="293"/>
      <c r="DD101" s="293"/>
      <c r="DE101" s="293"/>
      <c r="DF101" s="293"/>
    </row>
    <row r="102" ht="14.25" customHeight="1">
      <c r="A102" s="293"/>
      <c r="B102" s="293"/>
      <c r="C102" s="293"/>
      <c r="D102" s="293"/>
      <c r="E102" s="293"/>
      <c r="F102" s="293"/>
      <c r="G102" s="293"/>
      <c r="H102" s="293"/>
      <c r="I102" s="293"/>
      <c r="J102" s="293"/>
      <c r="K102" s="293"/>
      <c r="L102" s="293"/>
      <c r="M102" s="293"/>
      <c r="N102" s="293"/>
      <c r="O102" s="293"/>
      <c r="P102" s="293"/>
      <c r="Q102" s="293"/>
      <c r="R102" s="293"/>
      <c r="S102" s="293"/>
      <c r="T102" s="293"/>
      <c r="U102" s="293"/>
      <c r="V102" s="293"/>
      <c r="W102" s="293"/>
      <c r="X102" s="293"/>
      <c r="Y102" s="293"/>
      <c r="Z102" s="293"/>
      <c r="AA102" s="293"/>
      <c r="AB102" s="293"/>
      <c r="AC102" s="293"/>
      <c r="AD102" s="293"/>
      <c r="AE102" s="293"/>
      <c r="AF102" s="293"/>
      <c r="AG102" s="293"/>
      <c r="AH102" s="293"/>
      <c r="AI102" s="293"/>
      <c r="AJ102" s="293"/>
      <c r="AK102" s="293"/>
      <c r="AL102" s="293"/>
      <c r="AM102" s="293"/>
      <c r="AN102" s="293"/>
      <c r="AO102" s="293"/>
      <c r="AP102" s="293"/>
      <c r="AQ102" s="293"/>
      <c r="AR102" s="293"/>
      <c r="AS102" s="293"/>
      <c r="AT102" s="293"/>
      <c r="AU102" s="293"/>
      <c r="AV102" s="293"/>
      <c r="AW102" s="293"/>
      <c r="AX102" s="293"/>
      <c r="AY102" s="293"/>
      <c r="AZ102" s="293"/>
      <c r="BA102" s="293"/>
      <c r="BB102" s="293"/>
      <c r="BC102" s="293"/>
      <c r="BD102" s="293"/>
      <c r="BE102" s="293"/>
      <c r="BF102" s="293"/>
      <c r="BG102" s="293"/>
      <c r="BH102" s="293"/>
      <c r="BI102" s="293"/>
      <c r="BJ102" s="293"/>
      <c r="BK102" s="293"/>
      <c r="BL102" s="293"/>
      <c r="BM102" s="293"/>
      <c r="BN102" s="293"/>
      <c r="BO102" s="293"/>
      <c r="BP102" s="293"/>
      <c r="BQ102" s="293"/>
      <c r="BR102" s="293"/>
      <c r="BS102" s="293"/>
      <c r="BT102" s="293"/>
      <c r="BU102" s="293"/>
      <c r="BV102" s="293"/>
      <c r="BW102" s="293"/>
      <c r="BX102" s="293"/>
      <c r="BY102" s="293"/>
      <c r="BZ102" s="293"/>
      <c r="CA102" s="293"/>
      <c r="CB102" s="293"/>
      <c r="CC102" s="293"/>
      <c r="CD102" s="293"/>
      <c r="CE102" s="293"/>
      <c r="CF102" s="293"/>
      <c r="CG102" s="293"/>
      <c r="CH102" s="293"/>
      <c r="CI102" s="293"/>
      <c r="CJ102" s="293"/>
      <c r="CK102" s="293"/>
      <c r="CL102" s="293"/>
      <c r="CM102" s="293"/>
      <c r="CN102" s="293"/>
      <c r="CO102" s="293"/>
      <c r="CP102" s="293"/>
      <c r="CQ102" s="293"/>
      <c r="CR102" s="293"/>
      <c r="CS102" s="293"/>
      <c r="CT102" s="293"/>
      <c r="CU102" s="293"/>
      <c r="CV102" s="293"/>
      <c r="CW102" s="293"/>
      <c r="CX102" s="293"/>
      <c r="CY102" s="293"/>
      <c r="CZ102" s="293"/>
      <c r="DA102" s="293"/>
      <c r="DB102" s="293"/>
      <c r="DC102" s="293"/>
      <c r="DD102" s="293"/>
      <c r="DE102" s="293"/>
      <c r="DF102" s="293"/>
    </row>
    <row r="103" ht="14.25" customHeight="1">
      <c r="A103" s="293"/>
      <c r="B103" s="293"/>
      <c r="C103" s="293"/>
      <c r="D103" s="293"/>
      <c r="E103" s="293"/>
      <c r="F103" s="293"/>
      <c r="G103" s="293"/>
      <c r="H103" s="293"/>
      <c r="I103" s="293"/>
      <c r="J103" s="293"/>
      <c r="K103" s="293"/>
      <c r="L103" s="293"/>
      <c r="M103" s="293"/>
      <c r="N103" s="293"/>
      <c r="O103" s="293"/>
      <c r="P103" s="293"/>
      <c r="Q103" s="293"/>
      <c r="R103" s="293"/>
      <c r="S103" s="293"/>
      <c r="T103" s="293"/>
      <c r="U103" s="293"/>
      <c r="V103" s="293"/>
      <c r="W103" s="293"/>
      <c r="X103" s="293"/>
      <c r="Y103" s="293"/>
      <c r="Z103" s="293"/>
      <c r="AA103" s="293"/>
      <c r="AB103" s="293"/>
      <c r="AC103" s="293"/>
      <c r="AD103" s="293"/>
      <c r="AE103" s="293"/>
      <c r="AF103" s="293"/>
      <c r="AG103" s="293"/>
      <c r="AH103" s="293"/>
      <c r="AI103" s="293"/>
      <c r="AJ103" s="293"/>
      <c r="AK103" s="293"/>
      <c r="AL103" s="293"/>
      <c r="AM103" s="293"/>
      <c r="AN103" s="293"/>
      <c r="AO103" s="293"/>
      <c r="AP103" s="293"/>
      <c r="AQ103" s="293"/>
      <c r="AR103" s="293"/>
      <c r="AS103" s="293"/>
      <c r="AT103" s="293"/>
      <c r="AU103" s="293"/>
      <c r="AV103" s="293"/>
      <c r="AW103" s="293"/>
      <c r="AX103" s="293"/>
      <c r="AY103" s="293"/>
      <c r="AZ103" s="293"/>
      <c r="BA103" s="293"/>
      <c r="BB103" s="293"/>
      <c r="BC103" s="293"/>
      <c r="BD103" s="293"/>
      <c r="BE103" s="293"/>
      <c r="BF103" s="293"/>
      <c r="BG103" s="293"/>
      <c r="BH103" s="293"/>
      <c r="BI103" s="293"/>
      <c r="BJ103" s="293"/>
      <c r="BK103" s="293"/>
      <c r="BL103" s="293"/>
      <c r="BM103" s="293"/>
      <c r="BN103" s="293"/>
      <c r="BO103" s="293"/>
      <c r="BP103" s="293"/>
      <c r="BQ103" s="293"/>
      <c r="BR103" s="293"/>
      <c r="BS103" s="293"/>
      <c r="BT103" s="293"/>
      <c r="BU103" s="293"/>
      <c r="BV103" s="293"/>
      <c r="BW103" s="293"/>
      <c r="BX103" s="293"/>
      <c r="BY103" s="293"/>
      <c r="BZ103" s="293"/>
      <c r="CA103" s="293"/>
      <c r="CB103" s="293"/>
      <c r="CC103" s="293"/>
      <c r="CD103" s="293"/>
      <c r="CE103" s="293"/>
      <c r="CF103" s="293"/>
      <c r="CG103" s="293"/>
      <c r="CH103" s="293"/>
      <c r="CI103" s="293"/>
      <c r="CJ103" s="293"/>
      <c r="CK103" s="293"/>
      <c r="CL103" s="293"/>
      <c r="CM103" s="293"/>
      <c r="CN103" s="293"/>
      <c r="CO103" s="293"/>
      <c r="CP103" s="293"/>
      <c r="CQ103" s="293"/>
      <c r="CR103" s="293"/>
      <c r="CS103" s="293"/>
      <c r="CT103" s="293"/>
      <c r="CU103" s="293"/>
      <c r="CV103" s="293"/>
      <c r="CW103" s="293"/>
      <c r="CX103" s="293"/>
      <c r="CY103" s="293"/>
      <c r="CZ103" s="293"/>
      <c r="DA103" s="293"/>
      <c r="DB103" s="293"/>
      <c r="DC103" s="293"/>
      <c r="DD103" s="293"/>
      <c r="DE103" s="293"/>
      <c r="DF103" s="293"/>
    </row>
    <row r="104" ht="14.25" customHeight="1">
      <c r="A104" s="293"/>
      <c r="B104" s="293"/>
      <c r="C104" s="293"/>
      <c r="D104" s="293"/>
      <c r="E104" s="293"/>
      <c r="F104" s="293"/>
      <c r="G104" s="293"/>
      <c r="H104" s="293"/>
      <c r="I104" s="293"/>
      <c r="J104" s="293"/>
      <c r="K104" s="293"/>
      <c r="L104" s="293"/>
      <c r="M104" s="293"/>
      <c r="N104" s="293"/>
      <c r="O104" s="293"/>
      <c r="P104" s="293"/>
      <c r="Q104" s="293"/>
      <c r="R104" s="293"/>
      <c r="S104" s="293"/>
      <c r="T104" s="293"/>
      <c r="U104" s="293"/>
      <c r="V104" s="293"/>
      <c r="W104" s="293"/>
      <c r="X104" s="293"/>
      <c r="Y104" s="293"/>
      <c r="Z104" s="293"/>
      <c r="AA104" s="293"/>
      <c r="AB104" s="293"/>
      <c r="AC104" s="293"/>
      <c r="AD104" s="293"/>
      <c r="AE104" s="293"/>
      <c r="AF104" s="293"/>
      <c r="AG104" s="293"/>
      <c r="AH104" s="293"/>
      <c r="AI104" s="293"/>
      <c r="AJ104" s="293"/>
      <c r="AK104" s="293"/>
      <c r="AL104" s="293"/>
      <c r="AM104" s="293"/>
      <c r="AN104" s="293"/>
      <c r="AO104" s="293"/>
      <c r="AP104" s="293"/>
      <c r="AQ104" s="293"/>
      <c r="AR104" s="293"/>
      <c r="AS104" s="293"/>
      <c r="AT104" s="293"/>
      <c r="AU104" s="293"/>
      <c r="AV104" s="293"/>
      <c r="AW104" s="293"/>
      <c r="AX104" s="293"/>
      <c r="AY104" s="293"/>
      <c r="AZ104" s="293"/>
      <c r="BA104" s="293"/>
      <c r="BB104" s="293"/>
      <c r="BC104" s="293"/>
      <c r="BD104" s="293"/>
      <c r="BE104" s="293"/>
      <c r="BF104" s="293"/>
      <c r="BG104" s="293"/>
      <c r="BH104" s="293"/>
      <c r="BI104" s="293"/>
      <c r="BJ104" s="293"/>
      <c r="BK104" s="293"/>
      <c r="BL104" s="293"/>
      <c r="BM104" s="293"/>
      <c r="BN104" s="293"/>
      <c r="BO104" s="293"/>
      <c r="BP104" s="293"/>
      <c r="BQ104" s="293"/>
      <c r="BR104" s="293"/>
      <c r="BS104" s="293"/>
      <c r="BT104" s="293"/>
      <c r="BU104" s="293"/>
      <c r="BV104" s="293"/>
      <c r="BW104" s="293"/>
      <c r="BX104" s="293"/>
      <c r="BY104" s="293"/>
      <c r="BZ104" s="293"/>
      <c r="CA104" s="293"/>
      <c r="CB104" s="293"/>
      <c r="CC104" s="293"/>
      <c r="CD104" s="293"/>
      <c r="CE104" s="293"/>
      <c r="CF104" s="293"/>
      <c r="CG104" s="293"/>
      <c r="CH104" s="293"/>
      <c r="CI104" s="293"/>
      <c r="CJ104" s="293"/>
      <c r="CK104" s="293"/>
      <c r="CL104" s="293"/>
      <c r="CM104" s="293"/>
      <c r="CN104" s="293"/>
      <c r="CO104" s="293"/>
      <c r="CP104" s="293"/>
      <c r="CQ104" s="293"/>
      <c r="CR104" s="293"/>
      <c r="CS104" s="293"/>
      <c r="CT104" s="293"/>
      <c r="CU104" s="293"/>
      <c r="CV104" s="293"/>
      <c r="CW104" s="293"/>
      <c r="CX104" s="293"/>
      <c r="CY104" s="293"/>
      <c r="CZ104" s="293"/>
      <c r="DA104" s="293"/>
      <c r="DB104" s="293"/>
      <c r="DC104" s="293"/>
      <c r="DD104" s="293"/>
      <c r="DE104" s="293"/>
      <c r="DF104" s="293"/>
    </row>
    <row r="105" ht="14.25" customHeight="1">
      <c r="A105" s="293"/>
      <c r="B105" s="293"/>
      <c r="C105" s="293"/>
      <c r="D105" s="293"/>
      <c r="E105" s="293"/>
      <c r="F105" s="293"/>
      <c r="G105" s="293"/>
      <c r="H105" s="293"/>
      <c r="I105" s="293"/>
      <c r="J105" s="293"/>
      <c r="K105" s="293"/>
      <c r="L105" s="293"/>
      <c r="M105" s="293"/>
      <c r="N105" s="293"/>
      <c r="O105" s="293"/>
      <c r="P105" s="293"/>
      <c r="Q105" s="293"/>
      <c r="R105" s="293"/>
      <c r="S105" s="293"/>
      <c r="T105" s="293"/>
      <c r="U105" s="293"/>
      <c r="V105" s="293"/>
      <c r="W105" s="293"/>
      <c r="X105" s="293"/>
      <c r="Y105" s="293"/>
      <c r="Z105" s="293"/>
      <c r="AA105" s="293"/>
      <c r="AB105" s="293"/>
      <c r="AC105" s="293"/>
      <c r="AD105" s="293"/>
      <c r="AE105" s="293"/>
      <c r="AF105" s="293"/>
      <c r="AG105" s="293"/>
      <c r="AH105" s="293"/>
      <c r="AI105" s="293"/>
      <c r="AJ105" s="293"/>
      <c r="AK105" s="293"/>
      <c r="AL105" s="293"/>
      <c r="AM105" s="293"/>
      <c r="AN105" s="293"/>
      <c r="AO105" s="293"/>
      <c r="AP105" s="293"/>
      <c r="AQ105" s="293"/>
      <c r="AR105" s="293"/>
      <c r="AS105" s="293"/>
      <c r="AT105" s="293"/>
      <c r="AU105" s="293"/>
      <c r="AV105" s="293"/>
      <c r="AW105" s="293"/>
      <c r="AX105" s="293"/>
      <c r="AY105" s="293"/>
      <c r="AZ105" s="293"/>
      <c r="BA105" s="293"/>
      <c r="BB105" s="293"/>
      <c r="BC105" s="293"/>
      <c r="BD105" s="293"/>
      <c r="BE105" s="293"/>
      <c r="BF105" s="293"/>
      <c r="BG105" s="293"/>
      <c r="BH105" s="293"/>
      <c r="BI105" s="293"/>
      <c r="BJ105" s="293"/>
      <c r="BK105" s="293"/>
      <c r="BL105" s="293"/>
      <c r="BM105" s="293"/>
      <c r="BN105" s="293"/>
      <c r="BO105" s="293"/>
      <c r="BP105" s="293"/>
      <c r="BQ105" s="293"/>
      <c r="BR105" s="293"/>
      <c r="BS105" s="293"/>
      <c r="BT105" s="293"/>
      <c r="BU105" s="293"/>
      <c r="BV105" s="293"/>
      <c r="BW105" s="293"/>
      <c r="BX105" s="293"/>
      <c r="BY105" s="293"/>
      <c r="BZ105" s="293"/>
      <c r="CA105" s="293"/>
      <c r="CB105" s="293"/>
      <c r="CC105" s="293"/>
      <c r="CD105" s="293"/>
      <c r="CE105" s="293"/>
      <c r="CF105" s="293"/>
      <c r="CG105" s="293"/>
      <c r="CH105" s="293"/>
      <c r="CI105" s="293"/>
      <c r="CJ105" s="293"/>
      <c r="CK105" s="293"/>
      <c r="CL105" s="293"/>
      <c r="CM105" s="293"/>
      <c r="CN105" s="293"/>
      <c r="CO105" s="293"/>
      <c r="CP105" s="293"/>
      <c r="CQ105" s="293"/>
      <c r="CR105" s="293"/>
      <c r="CS105" s="293"/>
      <c r="CT105" s="293"/>
      <c r="CU105" s="293"/>
      <c r="CV105" s="293"/>
      <c r="CW105" s="293"/>
      <c r="CX105" s="293"/>
      <c r="CY105" s="293"/>
      <c r="CZ105" s="293"/>
      <c r="DA105" s="293"/>
      <c r="DB105" s="293"/>
      <c r="DC105" s="293"/>
      <c r="DD105" s="293"/>
      <c r="DE105" s="293"/>
      <c r="DF105" s="293"/>
    </row>
    <row r="106" ht="14.25" customHeight="1">
      <c r="A106" s="293"/>
      <c r="B106" s="293"/>
      <c r="C106" s="293"/>
      <c r="D106" s="293"/>
      <c r="E106" s="293"/>
      <c r="F106" s="293"/>
      <c r="G106" s="293"/>
      <c r="H106" s="293"/>
      <c r="I106" s="293"/>
      <c r="J106" s="293"/>
      <c r="K106" s="293"/>
      <c r="L106" s="293"/>
      <c r="M106" s="293"/>
      <c r="N106" s="293"/>
      <c r="O106" s="293"/>
      <c r="P106" s="293"/>
      <c r="Q106" s="293"/>
      <c r="R106" s="293"/>
      <c r="S106" s="293"/>
      <c r="T106" s="293"/>
      <c r="U106" s="293"/>
      <c r="V106" s="293"/>
      <c r="W106" s="293"/>
      <c r="X106" s="293"/>
      <c r="Y106" s="293"/>
      <c r="Z106" s="293"/>
      <c r="AA106" s="293"/>
      <c r="AB106" s="293"/>
      <c r="AC106" s="293"/>
      <c r="AD106" s="293"/>
      <c r="AE106" s="293"/>
      <c r="AF106" s="293"/>
      <c r="AG106" s="293"/>
      <c r="AH106" s="293"/>
      <c r="AI106" s="293"/>
      <c r="AJ106" s="293"/>
      <c r="AK106" s="293"/>
      <c r="AL106" s="293"/>
      <c r="AM106" s="293"/>
      <c r="AN106" s="293"/>
      <c r="AO106" s="293"/>
      <c r="AP106" s="293"/>
      <c r="AQ106" s="293"/>
      <c r="AR106" s="293"/>
      <c r="AS106" s="293"/>
      <c r="AT106" s="293"/>
      <c r="AU106" s="293"/>
      <c r="AV106" s="293"/>
      <c r="AW106" s="293"/>
      <c r="AX106" s="293"/>
      <c r="AY106" s="293"/>
      <c r="AZ106" s="293"/>
      <c r="BA106" s="293"/>
      <c r="BB106" s="293"/>
      <c r="BC106" s="293"/>
      <c r="BD106" s="293"/>
      <c r="BE106" s="293"/>
      <c r="BF106" s="293"/>
      <c r="BG106" s="293"/>
      <c r="BH106" s="293"/>
      <c r="BI106" s="293"/>
      <c r="BJ106" s="293"/>
      <c r="BK106" s="293"/>
      <c r="BL106" s="293"/>
      <c r="BM106" s="293"/>
      <c r="BN106" s="293"/>
      <c r="BO106" s="293"/>
      <c r="BP106" s="293"/>
      <c r="BQ106" s="293"/>
      <c r="BR106" s="293"/>
      <c r="BS106" s="293"/>
      <c r="BT106" s="293"/>
      <c r="BU106" s="293"/>
      <c r="BV106" s="293"/>
      <c r="BW106" s="293"/>
      <c r="BX106" s="293"/>
      <c r="BY106" s="293"/>
      <c r="BZ106" s="293"/>
      <c r="CA106" s="293"/>
      <c r="CB106" s="293"/>
      <c r="CC106" s="293"/>
      <c r="CD106" s="293"/>
      <c r="CE106" s="293"/>
      <c r="CF106" s="293"/>
      <c r="CG106" s="293"/>
      <c r="CH106" s="293"/>
      <c r="CI106" s="293"/>
      <c r="CJ106" s="293"/>
      <c r="CK106" s="293"/>
      <c r="CL106" s="293"/>
      <c r="CM106" s="293"/>
      <c r="CN106" s="293"/>
      <c r="CO106" s="293"/>
      <c r="CP106" s="293"/>
      <c r="CQ106" s="293"/>
      <c r="CR106" s="293"/>
      <c r="CS106" s="293"/>
      <c r="CT106" s="293"/>
      <c r="CU106" s="293"/>
      <c r="CV106" s="293"/>
      <c r="CW106" s="293"/>
      <c r="CX106" s="293"/>
      <c r="CY106" s="293"/>
      <c r="CZ106" s="293"/>
      <c r="DA106" s="293"/>
      <c r="DB106" s="293"/>
      <c r="DC106" s="293"/>
      <c r="DD106" s="293"/>
      <c r="DE106" s="293"/>
      <c r="DF106" s="293"/>
    </row>
    <row r="107" ht="14.25" customHeight="1">
      <c r="A107" s="293"/>
      <c r="B107" s="293"/>
      <c r="C107" s="293"/>
      <c r="D107" s="293"/>
      <c r="E107" s="293"/>
      <c r="F107" s="293"/>
      <c r="G107" s="293"/>
      <c r="H107" s="293"/>
      <c r="I107" s="293"/>
      <c r="J107" s="293"/>
      <c r="K107" s="293"/>
      <c r="L107" s="293"/>
      <c r="M107" s="293"/>
      <c r="N107" s="293"/>
      <c r="O107" s="293"/>
      <c r="P107" s="293"/>
      <c r="Q107" s="293"/>
      <c r="R107" s="293"/>
      <c r="S107" s="293"/>
      <c r="T107" s="293"/>
      <c r="U107" s="293"/>
      <c r="V107" s="293"/>
      <c r="W107" s="293"/>
      <c r="X107" s="293"/>
      <c r="Y107" s="293"/>
      <c r="Z107" s="293"/>
      <c r="AA107" s="293"/>
      <c r="AB107" s="293"/>
      <c r="AC107" s="293"/>
      <c r="AD107" s="293"/>
      <c r="AE107" s="293"/>
      <c r="AF107" s="293"/>
      <c r="AG107" s="293"/>
      <c r="AH107" s="293"/>
      <c r="AI107" s="293"/>
      <c r="AJ107" s="293"/>
      <c r="AK107" s="293"/>
      <c r="AL107" s="293"/>
      <c r="AM107" s="293"/>
      <c r="AN107" s="293"/>
      <c r="AO107" s="293"/>
      <c r="AP107" s="293"/>
      <c r="AQ107" s="293"/>
      <c r="AR107" s="293"/>
      <c r="AS107" s="293"/>
      <c r="AT107" s="293"/>
      <c r="AU107" s="293"/>
      <c r="AV107" s="293"/>
      <c r="AW107" s="293"/>
      <c r="AX107" s="293"/>
      <c r="AY107" s="293"/>
      <c r="AZ107" s="293"/>
      <c r="BA107" s="293"/>
      <c r="BB107" s="293"/>
      <c r="BC107" s="293"/>
      <c r="BD107" s="293"/>
      <c r="BE107" s="293"/>
      <c r="BF107" s="293"/>
      <c r="BG107" s="293"/>
      <c r="BH107" s="293"/>
      <c r="BI107" s="293"/>
      <c r="BJ107" s="293"/>
      <c r="BK107" s="293"/>
      <c r="BL107" s="293"/>
      <c r="BM107" s="293"/>
      <c r="BN107" s="293"/>
      <c r="BO107" s="293"/>
      <c r="BP107" s="293"/>
      <c r="BQ107" s="293"/>
      <c r="BR107" s="293"/>
      <c r="BS107" s="293"/>
      <c r="BT107" s="293"/>
      <c r="BU107" s="293"/>
      <c r="BV107" s="293"/>
      <c r="BW107" s="293"/>
      <c r="BX107" s="293"/>
      <c r="BY107" s="293"/>
      <c r="BZ107" s="293"/>
      <c r="CA107" s="293"/>
      <c r="CB107" s="293"/>
      <c r="CC107" s="293"/>
      <c r="CD107" s="293"/>
      <c r="CE107" s="293"/>
      <c r="CF107" s="293"/>
      <c r="CG107" s="293"/>
      <c r="CH107" s="293"/>
      <c r="CI107" s="293"/>
      <c r="CJ107" s="293"/>
      <c r="CK107" s="293"/>
      <c r="CL107" s="293"/>
      <c r="CM107" s="293"/>
      <c r="CN107" s="293"/>
      <c r="CO107" s="293"/>
      <c r="CP107" s="293"/>
      <c r="CQ107" s="293"/>
      <c r="CR107" s="293"/>
      <c r="CS107" s="293"/>
      <c r="CT107" s="293"/>
      <c r="CU107" s="293"/>
      <c r="CV107" s="293"/>
      <c r="CW107" s="293"/>
      <c r="CX107" s="293"/>
      <c r="CY107" s="293"/>
      <c r="CZ107" s="293"/>
      <c r="DA107" s="293"/>
      <c r="DB107" s="293"/>
      <c r="DC107" s="293"/>
      <c r="DD107" s="293"/>
      <c r="DE107" s="293"/>
      <c r="DF107" s="293"/>
    </row>
    <row r="108" ht="14.25" customHeight="1">
      <c r="A108" s="293"/>
      <c r="B108" s="293"/>
      <c r="C108" s="293"/>
      <c r="D108" s="293"/>
      <c r="E108" s="293"/>
      <c r="F108" s="293"/>
      <c r="G108" s="293"/>
      <c r="H108" s="293"/>
      <c r="I108" s="293"/>
      <c r="J108" s="293"/>
      <c r="K108" s="293"/>
      <c r="L108" s="293"/>
      <c r="M108" s="293"/>
      <c r="N108" s="293"/>
      <c r="O108" s="293"/>
      <c r="P108" s="293"/>
      <c r="Q108" s="293"/>
      <c r="R108" s="293"/>
      <c r="S108" s="293"/>
      <c r="T108" s="293"/>
      <c r="U108" s="293"/>
      <c r="V108" s="293"/>
      <c r="W108" s="293"/>
      <c r="X108" s="293"/>
      <c r="Y108" s="293"/>
      <c r="Z108" s="293"/>
      <c r="AA108" s="293"/>
      <c r="AB108" s="293"/>
      <c r="AC108" s="293"/>
      <c r="AD108" s="293"/>
      <c r="AE108" s="293"/>
      <c r="AF108" s="293"/>
      <c r="AG108" s="293"/>
      <c r="AH108" s="293"/>
      <c r="AI108" s="293"/>
      <c r="AJ108" s="293"/>
      <c r="AK108" s="293"/>
      <c r="AL108" s="293"/>
      <c r="AM108" s="293"/>
      <c r="AN108" s="293"/>
      <c r="AO108" s="293"/>
      <c r="AP108" s="293"/>
      <c r="AQ108" s="293"/>
      <c r="AR108" s="293"/>
      <c r="AS108" s="293"/>
      <c r="AT108" s="293"/>
      <c r="AU108" s="293"/>
      <c r="AV108" s="293"/>
      <c r="AW108" s="293"/>
      <c r="AX108" s="293"/>
      <c r="AY108" s="293"/>
      <c r="AZ108" s="293"/>
      <c r="BA108" s="293"/>
      <c r="BB108" s="293"/>
      <c r="BC108" s="293"/>
      <c r="BD108" s="293"/>
      <c r="BE108" s="293"/>
      <c r="BF108" s="293"/>
      <c r="BG108" s="293"/>
      <c r="BH108" s="293"/>
      <c r="BI108" s="293"/>
      <c r="BJ108" s="293"/>
      <c r="BK108" s="293"/>
      <c r="BL108" s="293"/>
      <c r="BM108" s="293"/>
      <c r="BN108" s="293"/>
      <c r="BO108" s="293"/>
      <c r="BP108" s="293"/>
      <c r="BQ108" s="293"/>
      <c r="BR108" s="293"/>
      <c r="BS108" s="293"/>
      <c r="BT108" s="293"/>
      <c r="BU108" s="293"/>
      <c r="BV108" s="293"/>
      <c r="BW108" s="293"/>
      <c r="BX108" s="293"/>
      <c r="BY108" s="293"/>
      <c r="BZ108" s="293"/>
      <c r="CA108" s="293"/>
      <c r="CB108" s="293"/>
      <c r="CC108" s="293"/>
      <c r="CD108" s="293"/>
      <c r="CE108" s="293"/>
      <c r="CF108" s="293"/>
      <c r="CG108" s="293"/>
      <c r="CH108" s="293"/>
      <c r="CI108" s="293"/>
      <c r="CJ108" s="293"/>
      <c r="CK108" s="293"/>
      <c r="CL108" s="293"/>
      <c r="CM108" s="293"/>
      <c r="CN108" s="293"/>
      <c r="CO108" s="293"/>
      <c r="CP108" s="293"/>
      <c r="CQ108" s="293"/>
      <c r="CR108" s="293"/>
      <c r="CS108" s="293"/>
      <c r="CT108" s="293"/>
      <c r="CU108" s="293"/>
      <c r="CV108" s="293"/>
      <c r="CW108" s="293"/>
      <c r="CX108" s="293"/>
      <c r="CY108" s="293"/>
      <c r="CZ108" s="293"/>
      <c r="DA108" s="293"/>
      <c r="DB108" s="293"/>
      <c r="DC108" s="293"/>
      <c r="DD108" s="293"/>
      <c r="DE108" s="293"/>
      <c r="DF108" s="293"/>
    </row>
    <row r="109" ht="14.25" customHeight="1">
      <c r="A109" s="293"/>
      <c r="B109" s="293"/>
      <c r="C109" s="293"/>
      <c r="D109" s="293"/>
      <c r="E109" s="293"/>
      <c r="F109" s="293"/>
      <c r="G109" s="293"/>
      <c r="H109" s="293"/>
      <c r="I109" s="293"/>
      <c r="J109" s="293"/>
      <c r="K109" s="293"/>
      <c r="L109" s="293"/>
      <c r="M109" s="293"/>
      <c r="N109" s="293"/>
      <c r="O109" s="293"/>
      <c r="P109" s="293"/>
      <c r="Q109" s="293"/>
      <c r="R109" s="293"/>
      <c r="S109" s="293"/>
      <c r="T109" s="293"/>
      <c r="U109" s="293"/>
      <c r="V109" s="293"/>
      <c r="W109" s="293"/>
      <c r="X109" s="293"/>
      <c r="Y109" s="293"/>
      <c r="Z109" s="293"/>
      <c r="AA109" s="293"/>
      <c r="AB109" s="293"/>
      <c r="AC109" s="293"/>
      <c r="AD109" s="293"/>
      <c r="AE109" s="293"/>
      <c r="AF109" s="293"/>
      <c r="AG109" s="293"/>
      <c r="AH109" s="293"/>
      <c r="AI109" s="293"/>
      <c r="AJ109" s="293"/>
      <c r="AK109" s="293"/>
      <c r="AL109" s="293"/>
      <c r="AM109" s="293"/>
      <c r="AN109" s="293"/>
      <c r="AO109" s="293"/>
      <c r="AP109" s="293"/>
      <c r="AQ109" s="293"/>
      <c r="AR109" s="293"/>
      <c r="AS109" s="293"/>
      <c r="AT109" s="293"/>
      <c r="AU109" s="293"/>
      <c r="AV109" s="293"/>
      <c r="AW109" s="293"/>
      <c r="AX109" s="293"/>
      <c r="AY109" s="293"/>
      <c r="AZ109" s="293"/>
      <c r="BA109" s="293"/>
      <c r="BB109" s="293"/>
      <c r="BC109" s="293"/>
      <c r="BD109" s="293"/>
      <c r="BE109" s="293"/>
      <c r="BF109" s="293"/>
      <c r="BG109" s="293"/>
      <c r="BH109" s="293"/>
      <c r="BI109" s="293"/>
      <c r="BJ109" s="293"/>
      <c r="BK109" s="293"/>
      <c r="BL109" s="293"/>
      <c r="BM109" s="293"/>
      <c r="BN109" s="293"/>
      <c r="BO109" s="293"/>
      <c r="BP109" s="293"/>
      <c r="BQ109" s="293"/>
      <c r="BR109" s="293"/>
      <c r="BS109" s="293"/>
      <c r="BT109" s="293"/>
      <c r="BU109" s="293"/>
      <c r="BV109" s="293"/>
      <c r="BW109" s="293"/>
      <c r="BX109" s="293"/>
      <c r="BY109" s="293"/>
      <c r="BZ109" s="293"/>
      <c r="CA109" s="293"/>
      <c r="CB109" s="293"/>
      <c r="CC109" s="293"/>
      <c r="CD109" s="293"/>
      <c r="CE109" s="293"/>
      <c r="CF109" s="293"/>
      <c r="CG109" s="293"/>
      <c r="CH109" s="293"/>
      <c r="CI109" s="293"/>
      <c r="CJ109" s="293"/>
      <c r="CK109" s="293"/>
      <c r="CL109" s="293"/>
      <c r="CM109" s="293"/>
      <c r="CN109" s="293"/>
      <c r="CO109" s="293"/>
      <c r="CP109" s="293"/>
      <c r="CQ109" s="293"/>
      <c r="CR109" s="293"/>
      <c r="CS109" s="293"/>
      <c r="CT109" s="293"/>
      <c r="CU109" s="293"/>
      <c r="CV109" s="293"/>
      <c r="CW109" s="293"/>
      <c r="CX109" s="293"/>
      <c r="CY109" s="293"/>
      <c r="CZ109" s="293"/>
      <c r="DA109" s="293"/>
      <c r="DB109" s="293"/>
      <c r="DC109" s="293"/>
      <c r="DD109" s="293"/>
      <c r="DE109" s="293"/>
      <c r="DF109" s="293"/>
    </row>
    <row r="110" ht="14.25" customHeight="1">
      <c r="A110" s="293"/>
      <c r="B110" s="293"/>
      <c r="C110" s="293"/>
      <c r="D110" s="293"/>
      <c r="E110" s="293"/>
      <c r="F110" s="293"/>
      <c r="G110" s="293"/>
      <c r="H110" s="293"/>
      <c r="I110" s="293"/>
      <c r="J110" s="293"/>
      <c r="K110" s="293"/>
      <c r="L110" s="293"/>
      <c r="M110" s="293"/>
      <c r="N110" s="293"/>
      <c r="O110" s="293"/>
      <c r="P110" s="293"/>
      <c r="Q110" s="293"/>
      <c r="R110" s="293"/>
      <c r="S110" s="293"/>
      <c r="T110" s="293"/>
      <c r="U110" s="293"/>
      <c r="V110" s="293"/>
      <c r="W110" s="293"/>
      <c r="X110" s="293"/>
      <c r="Y110" s="293"/>
      <c r="Z110" s="293"/>
      <c r="AA110" s="293"/>
      <c r="AB110" s="293"/>
      <c r="AC110" s="293"/>
      <c r="AD110" s="293"/>
      <c r="AE110" s="293"/>
      <c r="AF110" s="293"/>
      <c r="AG110" s="293"/>
      <c r="AH110" s="293"/>
      <c r="AI110" s="293"/>
      <c r="AJ110" s="293"/>
      <c r="AK110" s="293"/>
      <c r="AL110" s="293"/>
      <c r="AM110" s="293"/>
      <c r="AN110" s="293"/>
      <c r="AO110" s="293"/>
      <c r="AP110" s="293"/>
      <c r="AQ110" s="293"/>
      <c r="AR110" s="293"/>
      <c r="AS110" s="293"/>
      <c r="AT110" s="293"/>
      <c r="AU110" s="293"/>
      <c r="AV110" s="293"/>
      <c r="AW110" s="293"/>
      <c r="AX110" s="293"/>
      <c r="AY110" s="293"/>
      <c r="AZ110" s="293"/>
      <c r="BA110" s="293"/>
      <c r="BB110" s="293"/>
      <c r="BC110" s="293"/>
      <c r="BD110" s="293"/>
      <c r="BE110" s="293"/>
      <c r="BF110" s="293"/>
      <c r="BG110" s="293"/>
      <c r="BH110" s="293"/>
      <c r="BI110" s="293"/>
      <c r="BJ110" s="293"/>
      <c r="BK110" s="293"/>
      <c r="BL110" s="293"/>
      <c r="BM110" s="293"/>
      <c r="BN110" s="293"/>
      <c r="BO110" s="293"/>
      <c r="BP110" s="293"/>
      <c r="BQ110" s="293"/>
      <c r="BR110" s="293"/>
      <c r="BS110" s="293"/>
      <c r="BT110" s="293"/>
      <c r="BU110" s="293"/>
      <c r="BV110" s="293"/>
      <c r="BW110" s="293"/>
      <c r="BX110" s="293"/>
      <c r="BY110" s="293"/>
      <c r="BZ110" s="293"/>
      <c r="CA110" s="293"/>
      <c r="CB110" s="293"/>
      <c r="CC110" s="293"/>
      <c r="CD110" s="293"/>
      <c r="CE110" s="293"/>
      <c r="CF110" s="293"/>
      <c r="CG110" s="293"/>
      <c r="CH110" s="293"/>
      <c r="CI110" s="293"/>
      <c r="CJ110" s="293"/>
      <c r="CK110" s="293"/>
      <c r="CL110" s="293"/>
      <c r="CM110" s="293"/>
      <c r="CN110" s="293"/>
      <c r="CO110" s="293"/>
      <c r="CP110" s="293"/>
      <c r="CQ110" s="293"/>
      <c r="CR110" s="293"/>
      <c r="CS110" s="293"/>
      <c r="CT110" s="293"/>
      <c r="CU110" s="293"/>
      <c r="CV110" s="293"/>
      <c r="CW110" s="293"/>
      <c r="CX110" s="293"/>
      <c r="CY110" s="293"/>
      <c r="CZ110" s="293"/>
      <c r="DA110" s="293"/>
      <c r="DB110" s="293"/>
      <c r="DC110" s="293"/>
      <c r="DD110" s="293"/>
      <c r="DE110" s="293"/>
      <c r="DF110" s="293"/>
    </row>
    <row r="111" ht="14.25" customHeight="1">
      <c r="A111" s="293"/>
      <c r="B111" s="293"/>
      <c r="C111" s="293"/>
      <c r="D111" s="293"/>
      <c r="E111" s="293"/>
      <c r="F111" s="293"/>
      <c r="G111" s="293"/>
      <c r="H111" s="293"/>
      <c r="I111" s="293"/>
      <c r="J111" s="293"/>
      <c r="K111" s="293"/>
      <c r="L111" s="293"/>
      <c r="M111" s="293"/>
      <c r="N111" s="293"/>
      <c r="O111" s="293"/>
      <c r="P111" s="293"/>
      <c r="Q111" s="293"/>
      <c r="R111" s="293"/>
      <c r="S111" s="293"/>
      <c r="T111" s="293"/>
      <c r="U111" s="293"/>
      <c r="V111" s="293"/>
      <c r="W111" s="293"/>
      <c r="X111" s="293"/>
      <c r="Y111" s="293"/>
      <c r="Z111" s="293"/>
      <c r="AA111" s="293"/>
      <c r="AB111" s="293"/>
      <c r="AC111" s="293"/>
      <c r="AD111" s="293"/>
      <c r="AE111" s="293"/>
      <c r="AF111" s="293"/>
      <c r="AG111" s="293"/>
      <c r="AH111" s="293"/>
      <c r="AI111" s="293"/>
      <c r="AJ111" s="293"/>
      <c r="AK111" s="293"/>
      <c r="AL111" s="293"/>
      <c r="AM111" s="293"/>
      <c r="AN111" s="293"/>
      <c r="AO111" s="293"/>
      <c r="AP111" s="293"/>
      <c r="AQ111" s="293"/>
      <c r="AR111" s="293"/>
      <c r="AS111" s="293"/>
      <c r="AT111" s="293"/>
      <c r="AU111" s="293"/>
      <c r="AV111" s="293"/>
      <c r="AW111" s="293"/>
      <c r="AX111" s="293"/>
      <c r="AY111" s="293"/>
      <c r="AZ111" s="293"/>
      <c r="BA111" s="293"/>
      <c r="BB111" s="293"/>
      <c r="BC111" s="293"/>
      <c r="BD111" s="293"/>
      <c r="BE111" s="293"/>
      <c r="BF111" s="293"/>
      <c r="BG111" s="293"/>
      <c r="BH111" s="293"/>
      <c r="BI111" s="293"/>
      <c r="BJ111" s="293"/>
      <c r="BK111" s="293"/>
      <c r="BL111" s="293"/>
      <c r="BM111" s="293"/>
      <c r="BN111" s="293"/>
      <c r="BO111" s="293"/>
      <c r="BP111" s="293"/>
      <c r="BQ111" s="293"/>
      <c r="BR111" s="293"/>
      <c r="BS111" s="293"/>
      <c r="BT111" s="293"/>
      <c r="BU111" s="293"/>
      <c r="BV111" s="293"/>
      <c r="BW111" s="293"/>
      <c r="BX111" s="293"/>
      <c r="BY111" s="293"/>
      <c r="BZ111" s="293"/>
      <c r="CA111" s="293"/>
      <c r="CB111" s="293"/>
      <c r="CC111" s="293"/>
      <c r="CD111" s="293"/>
      <c r="CE111" s="293"/>
      <c r="CF111" s="293"/>
      <c r="CG111" s="293"/>
      <c r="CH111" s="293"/>
      <c r="CI111" s="293"/>
      <c r="CJ111" s="293"/>
      <c r="CK111" s="293"/>
      <c r="CL111" s="293"/>
      <c r="CM111" s="293"/>
      <c r="CN111" s="293"/>
      <c r="CO111" s="293"/>
      <c r="CP111" s="293"/>
      <c r="CQ111" s="293"/>
      <c r="CR111" s="293"/>
      <c r="CS111" s="293"/>
      <c r="CT111" s="293"/>
      <c r="CU111" s="293"/>
      <c r="CV111" s="293"/>
      <c r="CW111" s="293"/>
      <c r="CX111" s="293"/>
      <c r="CY111" s="293"/>
      <c r="CZ111" s="293"/>
      <c r="DA111" s="293"/>
      <c r="DB111" s="293"/>
      <c r="DC111" s="293"/>
      <c r="DD111" s="293"/>
      <c r="DE111" s="293"/>
      <c r="DF111" s="293"/>
    </row>
    <row r="112" ht="14.25" customHeight="1">
      <c r="A112" s="293"/>
      <c r="B112" s="293"/>
      <c r="C112" s="293"/>
      <c r="D112" s="293"/>
      <c r="E112" s="293"/>
      <c r="F112" s="293"/>
      <c r="G112" s="293"/>
      <c r="H112" s="293"/>
      <c r="I112" s="293"/>
      <c r="J112" s="293"/>
      <c r="K112" s="293"/>
      <c r="L112" s="293"/>
      <c r="M112" s="293"/>
      <c r="N112" s="293"/>
      <c r="O112" s="293"/>
      <c r="P112" s="293"/>
      <c r="Q112" s="293"/>
      <c r="R112" s="293"/>
      <c r="S112" s="293"/>
      <c r="T112" s="293"/>
      <c r="U112" s="293"/>
      <c r="V112" s="293"/>
      <c r="W112" s="293"/>
      <c r="X112" s="293"/>
      <c r="Y112" s="293"/>
      <c r="Z112" s="293"/>
      <c r="AA112" s="293"/>
      <c r="AB112" s="293"/>
      <c r="AC112" s="293"/>
      <c r="AD112" s="293"/>
      <c r="AE112" s="293"/>
      <c r="AF112" s="293"/>
      <c r="AG112" s="293"/>
      <c r="AH112" s="293"/>
      <c r="AI112" s="293"/>
      <c r="AJ112" s="293"/>
      <c r="AK112" s="293"/>
      <c r="AL112" s="293"/>
      <c r="AM112" s="293"/>
      <c r="AN112" s="293"/>
      <c r="AO112" s="293"/>
      <c r="AP112" s="293"/>
      <c r="AQ112" s="293"/>
      <c r="AR112" s="293"/>
      <c r="AS112" s="293"/>
      <c r="AT112" s="293"/>
      <c r="AU112" s="293"/>
      <c r="AV112" s="293"/>
      <c r="AW112" s="293"/>
      <c r="AX112" s="293"/>
      <c r="AY112" s="293"/>
      <c r="AZ112" s="293"/>
      <c r="BA112" s="293"/>
      <c r="BB112" s="293"/>
      <c r="BC112" s="293"/>
      <c r="BD112" s="293"/>
      <c r="BE112" s="293"/>
      <c r="BF112" s="293"/>
      <c r="BG112" s="293"/>
      <c r="BH112" s="293"/>
      <c r="BI112" s="293"/>
      <c r="BJ112" s="293"/>
      <c r="BK112" s="293"/>
      <c r="BL112" s="293"/>
      <c r="BM112" s="293"/>
      <c r="BN112" s="293"/>
      <c r="BO112" s="293"/>
      <c r="BP112" s="293"/>
      <c r="BQ112" s="293"/>
      <c r="BR112" s="293"/>
      <c r="BS112" s="293"/>
      <c r="BT112" s="293"/>
      <c r="BU112" s="293"/>
      <c r="BV112" s="293"/>
      <c r="BW112" s="293"/>
      <c r="BX112" s="293"/>
      <c r="BY112" s="293"/>
      <c r="BZ112" s="293"/>
      <c r="CA112" s="293"/>
      <c r="CB112" s="293"/>
      <c r="CC112" s="293"/>
      <c r="CD112" s="293"/>
      <c r="CE112" s="293"/>
      <c r="CF112" s="293"/>
      <c r="CG112" s="293"/>
      <c r="CH112" s="293"/>
      <c r="CI112" s="293"/>
      <c r="CJ112" s="293"/>
      <c r="CK112" s="293"/>
      <c r="CL112" s="293"/>
      <c r="CM112" s="293"/>
      <c r="CN112" s="293"/>
      <c r="CO112" s="293"/>
      <c r="CP112" s="293"/>
      <c r="CQ112" s="293"/>
      <c r="CR112" s="293"/>
      <c r="CS112" s="293"/>
      <c r="CT112" s="293"/>
      <c r="CU112" s="293"/>
      <c r="CV112" s="293"/>
      <c r="CW112" s="293"/>
      <c r="CX112" s="293"/>
      <c r="CY112" s="293"/>
      <c r="CZ112" s="293"/>
      <c r="DA112" s="293"/>
      <c r="DB112" s="293"/>
      <c r="DC112" s="293"/>
      <c r="DD112" s="293"/>
      <c r="DE112" s="293"/>
      <c r="DF112" s="293"/>
    </row>
    <row r="113" ht="14.25" customHeight="1">
      <c r="A113" s="293"/>
      <c r="B113" s="293"/>
      <c r="C113" s="293"/>
      <c r="D113" s="293"/>
      <c r="E113" s="293"/>
      <c r="F113" s="293"/>
      <c r="G113" s="293"/>
      <c r="H113" s="293"/>
      <c r="I113" s="293"/>
      <c r="J113" s="293"/>
      <c r="K113" s="293"/>
      <c r="L113" s="293"/>
      <c r="M113" s="293"/>
      <c r="N113" s="293"/>
      <c r="O113" s="293"/>
      <c r="P113" s="293"/>
      <c r="Q113" s="293"/>
      <c r="R113" s="293"/>
      <c r="S113" s="293"/>
      <c r="T113" s="293"/>
      <c r="U113" s="293"/>
      <c r="V113" s="293"/>
      <c r="W113" s="293"/>
      <c r="X113" s="293"/>
      <c r="Y113" s="293"/>
      <c r="Z113" s="293"/>
      <c r="AA113" s="293"/>
      <c r="AB113" s="293"/>
      <c r="AC113" s="293"/>
      <c r="AD113" s="293"/>
      <c r="AE113" s="293"/>
      <c r="AF113" s="293"/>
      <c r="AG113" s="293"/>
      <c r="AH113" s="293"/>
      <c r="AI113" s="293"/>
      <c r="AJ113" s="293"/>
      <c r="AK113" s="293"/>
      <c r="AL113" s="293"/>
      <c r="AM113" s="293"/>
      <c r="AN113" s="293"/>
      <c r="AO113" s="293"/>
      <c r="AP113" s="293"/>
      <c r="AQ113" s="293"/>
      <c r="AR113" s="293"/>
      <c r="AS113" s="293"/>
      <c r="AT113" s="293"/>
      <c r="AU113" s="293"/>
      <c r="AV113" s="293"/>
      <c r="AW113" s="293"/>
      <c r="AX113" s="293"/>
      <c r="AY113" s="293"/>
      <c r="AZ113" s="293"/>
      <c r="BA113" s="293"/>
      <c r="BB113" s="293"/>
      <c r="BC113" s="293"/>
      <c r="BD113" s="293"/>
      <c r="BE113" s="293"/>
      <c r="BF113" s="293"/>
      <c r="BG113" s="293"/>
      <c r="BH113" s="293"/>
      <c r="BI113" s="293"/>
      <c r="BJ113" s="293"/>
      <c r="BK113" s="293"/>
      <c r="BL113" s="293"/>
      <c r="BM113" s="293"/>
      <c r="BN113" s="293"/>
      <c r="BO113" s="293"/>
      <c r="BP113" s="293"/>
      <c r="BQ113" s="293"/>
      <c r="BR113" s="293"/>
      <c r="BS113" s="293"/>
      <c r="BT113" s="293"/>
      <c r="BU113" s="293"/>
      <c r="BV113" s="293"/>
      <c r="BW113" s="293"/>
      <c r="BX113" s="293"/>
      <c r="BY113" s="293"/>
      <c r="BZ113" s="293"/>
      <c r="CA113" s="293"/>
      <c r="CB113" s="293"/>
      <c r="CC113" s="293"/>
      <c r="CD113" s="293"/>
      <c r="CE113" s="293"/>
      <c r="CF113" s="293"/>
      <c r="CG113" s="293"/>
      <c r="CH113" s="293"/>
      <c r="CI113" s="293"/>
      <c r="CJ113" s="293"/>
      <c r="CK113" s="293"/>
      <c r="CL113" s="293"/>
      <c r="CM113" s="293"/>
      <c r="CN113" s="293"/>
      <c r="CO113" s="293"/>
      <c r="CP113" s="293"/>
      <c r="CQ113" s="293"/>
      <c r="CR113" s="293"/>
      <c r="CS113" s="293"/>
      <c r="CT113" s="293"/>
      <c r="CU113" s="293"/>
      <c r="CV113" s="293"/>
      <c r="CW113" s="293"/>
      <c r="CX113" s="293"/>
      <c r="CY113" s="293"/>
      <c r="CZ113" s="293"/>
      <c r="DA113" s="293"/>
      <c r="DB113" s="293"/>
      <c r="DC113" s="293"/>
      <c r="DD113" s="293"/>
      <c r="DE113" s="293"/>
      <c r="DF113" s="293"/>
    </row>
    <row r="114" ht="14.25" customHeight="1">
      <c r="A114" s="293"/>
      <c r="B114" s="293"/>
      <c r="C114" s="293"/>
      <c r="D114" s="293"/>
      <c r="E114" s="293"/>
      <c r="F114" s="293"/>
      <c r="G114" s="293"/>
      <c r="H114" s="293"/>
      <c r="I114" s="293"/>
      <c r="J114" s="293"/>
      <c r="K114" s="293"/>
      <c r="L114" s="293"/>
      <c r="M114" s="293"/>
      <c r="N114" s="293"/>
      <c r="O114" s="293"/>
      <c r="P114" s="293"/>
      <c r="Q114" s="293"/>
      <c r="R114" s="293"/>
      <c r="S114" s="293"/>
      <c r="T114" s="293"/>
      <c r="U114" s="293"/>
      <c r="V114" s="293"/>
      <c r="W114" s="293"/>
      <c r="X114" s="293"/>
      <c r="Y114" s="293"/>
      <c r="Z114" s="293"/>
      <c r="AA114" s="293"/>
      <c r="AB114" s="293"/>
      <c r="AC114" s="293"/>
      <c r="AD114" s="293"/>
      <c r="AE114" s="293"/>
      <c r="AF114" s="293"/>
      <c r="AG114" s="293"/>
      <c r="AH114" s="293"/>
      <c r="AI114" s="293"/>
      <c r="AJ114" s="293"/>
      <c r="AK114" s="293"/>
      <c r="AL114" s="293"/>
      <c r="AM114" s="293"/>
      <c r="AN114" s="293"/>
      <c r="AO114" s="293"/>
      <c r="AP114" s="293"/>
      <c r="AQ114" s="293"/>
      <c r="AR114" s="293"/>
      <c r="AS114" s="293"/>
      <c r="AT114" s="293"/>
      <c r="AU114" s="293"/>
      <c r="AV114" s="293"/>
      <c r="AW114" s="293"/>
      <c r="AX114" s="293"/>
      <c r="AY114" s="293"/>
      <c r="AZ114" s="293"/>
      <c r="BA114" s="293"/>
      <c r="BB114" s="293"/>
      <c r="BC114" s="293"/>
      <c r="BD114" s="293"/>
      <c r="BE114" s="293"/>
      <c r="BF114" s="293"/>
      <c r="BG114" s="293"/>
      <c r="BH114" s="293"/>
      <c r="BI114" s="293"/>
      <c r="BJ114" s="293"/>
      <c r="BK114" s="293"/>
      <c r="BL114" s="293"/>
      <c r="BM114" s="293"/>
      <c r="BN114" s="293"/>
      <c r="BO114" s="293"/>
      <c r="BP114" s="293"/>
      <c r="BQ114" s="293"/>
      <c r="BR114" s="293"/>
      <c r="BS114" s="293"/>
      <c r="BT114" s="293"/>
      <c r="BU114" s="293"/>
      <c r="BV114" s="293"/>
      <c r="BW114" s="293"/>
      <c r="BX114" s="293"/>
      <c r="BY114" s="293"/>
      <c r="BZ114" s="293"/>
      <c r="CA114" s="293"/>
      <c r="CB114" s="293"/>
      <c r="CC114" s="293"/>
      <c r="CD114" s="293"/>
      <c r="CE114" s="293"/>
      <c r="CF114" s="293"/>
      <c r="CG114" s="293"/>
      <c r="CH114" s="293"/>
      <c r="CI114" s="293"/>
      <c r="CJ114" s="293"/>
      <c r="CK114" s="293"/>
      <c r="CL114" s="293"/>
      <c r="CM114" s="293"/>
      <c r="CN114" s="293"/>
      <c r="CO114" s="293"/>
      <c r="CP114" s="293"/>
      <c r="CQ114" s="293"/>
      <c r="CR114" s="293"/>
      <c r="CS114" s="293"/>
      <c r="CT114" s="293"/>
      <c r="CU114" s="293"/>
      <c r="CV114" s="293"/>
      <c r="CW114" s="293"/>
      <c r="CX114" s="293"/>
      <c r="CY114" s="293"/>
      <c r="CZ114" s="293"/>
      <c r="DA114" s="293"/>
      <c r="DB114" s="293"/>
      <c r="DC114" s="293"/>
      <c r="DD114" s="293"/>
      <c r="DE114" s="293"/>
      <c r="DF114" s="293"/>
    </row>
    <row r="115" ht="14.25" customHeight="1">
      <c r="A115" s="293"/>
      <c r="B115" s="293"/>
      <c r="C115" s="293"/>
      <c r="D115" s="293"/>
      <c r="E115" s="293"/>
      <c r="F115" s="293"/>
      <c r="G115" s="293"/>
      <c r="H115" s="293"/>
      <c r="I115" s="293"/>
      <c r="J115" s="293"/>
      <c r="K115" s="293"/>
      <c r="L115" s="293"/>
      <c r="M115" s="293"/>
      <c r="N115" s="293"/>
      <c r="O115" s="293"/>
      <c r="P115" s="293"/>
      <c r="Q115" s="293"/>
      <c r="R115" s="293"/>
      <c r="S115" s="293"/>
      <c r="T115" s="293"/>
      <c r="U115" s="293"/>
      <c r="V115" s="293"/>
      <c r="W115" s="293"/>
      <c r="X115" s="293"/>
      <c r="Y115" s="293"/>
      <c r="Z115" s="293"/>
      <c r="AA115" s="293"/>
      <c r="AB115" s="293"/>
      <c r="AC115" s="293"/>
      <c r="AD115" s="293"/>
      <c r="AE115" s="293"/>
      <c r="AF115" s="293"/>
      <c r="AG115" s="293"/>
      <c r="AH115" s="293"/>
      <c r="AI115" s="293"/>
      <c r="AJ115" s="293"/>
      <c r="AK115" s="293"/>
      <c r="AL115" s="293"/>
      <c r="AM115" s="293"/>
      <c r="AN115" s="293"/>
      <c r="AO115" s="293"/>
      <c r="AP115" s="293"/>
      <c r="AQ115" s="293"/>
      <c r="AR115" s="293"/>
      <c r="AS115" s="293"/>
      <c r="AT115" s="293"/>
      <c r="AU115" s="293"/>
      <c r="AV115" s="293"/>
      <c r="AW115" s="293"/>
      <c r="AX115" s="293"/>
      <c r="AY115" s="293"/>
      <c r="AZ115" s="293"/>
      <c r="BA115" s="293"/>
      <c r="BB115" s="293"/>
      <c r="BC115" s="293"/>
      <c r="BD115" s="293"/>
      <c r="BE115" s="293"/>
      <c r="BF115" s="293"/>
      <c r="BG115" s="293"/>
      <c r="BH115" s="293"/>
      <c r="BI115" s="293"/>
      <c r="BJ115" s="293"/>
      <c r="BK115" s="293"/>
      <c r="BL115" s="293"/>
      <c r="BM115" s="293"/>
      <c r="BN115" s="293"/>
      <c r="BO115" s="293"/>
      <c r="BP115" s="293"/>
      <c r="BQ115" s="293"/>
      <c r="BR115" s="293"/>
      <c r="BS115" s="293"/>
      <c r="BT115" s="293"/>
      <c r="BU115" s="293"/>
      <c r="BV115" s="293"/>
      <c r="BW115" s="293"/>
      <c r="BX115" s="293"/>
      <c r="BY115" s="293"/>
      <c r="BZ115" s="293"/>
      <c r="CA115" s="293"/>
      <c r="CB115" s="293"/>
      <c r="CC115" s="293"/>
      <c r="CD115" s="293"/>
      <c r="CE115" s="293"/>
      <c r="CF115" s="293"/>
      <c r="CG115" s="293"/>
      <c r="CH115" s="293"/>
      <c r="CI115" s="293"/>
      <c r="CJ115" s="293"/>
      <c r="CK115" s="293"/>
      <c r="CL115" s="293"/>
      <c r="CM115" s="293"/>
      <c r="CN115" s="293"/>
      <c r="CO115" s="293"/>
      <c r="CP115" s="293"/>
      <c r="CQ115" s="293"/>
      <c r="CR115" s="293"/>
      <c r="CS115" s="293"/>
      <c r="CT115" s="293"/>
      <c r="CU115" s="293"/>
      <c r="CV115" s="293"/>
      <c r="CW115" s="293"/>
      <c r="CX115" s="293"/>
      <c r="CY115" s="293"/>
      <c r="CZ115" s="293"/>
      <c r="DA115" s="293"/>
      <c r="DB115" s="293"/>
      <c r="DC115" s="293"/>
      <c r="DD115" s="293"/>
      <c r="DE115" s="293"/>
      <c r="DF115" s="293"/>
    </row>
    <row r="116" ht="14.25" customHeight="1">
      <c r="A116" s="293"/>
      <c r="B116" s="293"/>
      <c r="C116" s="293"/>
      <c r="D116" s="293"/>
      <c r="E116" s="293"/>
      <c r="F116" s="293"/>
      <c r="G116" s="293"/>
      <c r="H116" s="293"/>
      <c r="I116" s="293"/>
      <c r="J116" s="293"/>
      <c r="K116" s="293"/>
      <c r="L116" s="293"/>
      <c r="M116" s="293"/>
      <c r="N116" s="293"/>
      <c r="O116" s="293"/>
      <c r="P116" s="293"/>
      <c r="Q116" s="293"/>
      <c r="R116" s="293"/>
      <c r="S116" s="293"/>
      <c r="T116" s="293"/>
      <c r="U116" s="293"/>
      <c r="V116" s="293"/>
      <c r="W116" s="293"/>
      <c r="X116" s="293"/>
      <c r="Y116" s="293"/>
      <c r="Z116" s="293"/>
      <c r="AA116" s="293"/>
      <c r="AB116" s="293"/>
      <c r="AC116" s="293"/>
      <c r="AD116" s="293"/>
      <c r="AE116" s="293"/>
      <c r="AF116" s="293"/>
      <c r="AG116" s="293"/>
      <c r="AH116" s="293"/>
      <c r="AI116" s="293"/>
      <c r="AJ116" s="293"/>
      <c r="AK116" s="293"/>
      <c r="AL116" s="293"/>
      <c r="AM116" s="293"/>
      <c r="AN116" s="293"/>
      <c r="AO116" s="293"/>
      <c r="AP116" s="293"/>
      <c r="AQ116" s="293"/>
      <c r="AR116" s="293"/>
      <c r="AS116" s="293"/>
      <c r="AT116" s="293"/>
      <c r="AU116" s="293"/>
      <c r="AV116" s="293"/>
      <c r="AW116" s="293"/>
      <c r="AX116" s="293"/>
      <c r="AY116" s="293"/>
      <c r="AZ116" s="293"/>
      <c r="BA116" s="293"/>
      <c r="BB116" s="293"/>
      <c r="BC116" s="293"/>
      <c r="BD116" s="293"/>
      <c r="BE116" s="293"/>
      <c r="BF116" s="293"/>
      <c r="BG116" s="293"/>
      <c r="BH116" s="293"/>
      <c r="BI116" s="293"/>
      <c r="BJ116" s="293"/>
      <c r="BK116" s="293"/>
      <c r="BL116" s="293"/>
      <c r="BM116" s="293"/>
      <c r="BN116" s="293"/>
      <c r="BO116" s="293"/>
      <c r="BP116" s="293"/>
      <c r="BQ116" s="293"/>
      <c r="BR116" s="293"/>
      <c r="BS116" s="293"/>
      <c r="BT116" s="293"/>
      <c r="BU116" s="293"/>
      <c r="BV116" s="293"/>
      <c r="BW116" s="293"/>
      <c r="BX116" s="293"/>
      <c r="BY116" s="293"/>
      <c r="BZ116" s="293"/>
      <c r="CA116" s="293"/>
      <c r="CB116" s="293"/>
      <c r="CC116" s="293"/>
      <c r="CD116" s="293"/>
      <c r="CE116" s="293"/>
      <c r="CF116" s="293"/>
      <c r="CG116" s="293"/>
      <c r="CH116" s="293"/>
      <c r="CI116" s="293"/>
      <c r="CJ116" s="293"/>
      <c r="CK116" s="293"/>
      <c r="CL116" s="293"/>
      <c r="CM116" s="293"/>
      <c r="CN116" s="293"/>
      <c r="CO116" s="293"/>
      <c r="CP116" s="293"/>
      <c r="CQ116" s="293"/>
      <c r="CR116" s="293"/>
      <c r="CS116" s="293"/>
      <c r="CT116" s="293"/>
      <c r="CU116" s="293"/>
      <c r="CV116" s="293"/>
      <c r="CW116" s="293"/>
      <c r="CX116" s="293"/>
      <c r="CY116" s="293"/>
      <c r="CZ116" s="293"/>
      <c r="DA116" s="293"/>
      <c r="DB116" s="293"/>
      <c r="DC116" s="293"/>
      <c r="DD116" s="293"/>
      <c r="DE116" s="293"/>
      <c r="DF116" s="293"/>
    </row>
    <row r="117" ht="14.25" customHeight="1">
      <c r="A117" s="293"/>
      <c r="B117" s="293"/>
      <c r="C117" s="293"/>
      <c r="D117" s="293"/>
      <c r="E117" s="293"/>
      <c r="F117" s="293"/>
      <c r="G117" s="293"/>
      <c r="H117" s="293"/>
      <c r="I117" s="293"/>
      <c r="J117" s="293"/>
      <c r="K117" s="293"/>
      <c r="L117" s="293"/>
      <c r="M117" s="293"/>
      <c r="N117" s="293"/>
      <c r="O117" s="293"/>
      <c r="P117" s="293"/>
      <c r="Q117" s="293"/>
      <c r="R117" s="293"/>
      <c r="S117" s="293"/>
      <c r="T117" s="293"/>
      <c r="U117" s="293"/>
      <c r="V117" s="293"/>
      <c r="W117" s="293"/>
      <c r="X117" s="293"/>
      <c r="Y117" s="293"/>
      <c r="Z117" s="293"/>
      <c r="AA117" s="293"/>
      <c r="AB117" s="293"/>
      <c r="AC117" s="293"/>
      <c r="AD117" s="293"/>
      <c r="AE117" s="293"/>
      <c r="AF117" s="293"/>
      <c r="AG117" s="293"/>
      <c r="AH117" s="293"/>
      <c r="AI117" s="293"/>
      <c r="AJ117" s="293"/>
      <c r="AK117" s="293"/>
      <c r="AL117" s="293"/>
      <c r="AM117" s="293"/>
      <c r="AN117" s="293"/>
      <c r="AO117" s="293"/>
      <c r="AP117" s="293"/>
      <c r="AQ117" s="293"/>
      <c r="AR117" s="293"/>
      <c r="AS117" s="293"/>
      <c r="AT117" s="293"/>
      <c r="AU117" s="293"/>
      <c r="AV117" s="293"/>
      <c r="AW117" s="293"/>
      <c r="AX117" s="293"/>
      <c r="AY117" s="293"/>
      <c r="AZ117" s="293"/>
      <c r="BA117" s="293"/>
      <c r="BB117" s="293"/>
      <c r="BC117" s="293"/>
      <c r="BD117" s="293"/>
      <c r="BE117" s="293"/>
      <c r="BF117" s="293"/>
      <c r="BG117" s="293"/>
      <c r="BH117" s="293"/>
      <c r="BI117" s="293"/>
      <c r="BJ117" s="293"/>
      <c r="BK117" s="293"/>
      <c r="BL117" s="293"/>
      <c r="BM117" s="293"/>
      <c r="BN117" s="293"/>
      <c r="BO117" s="293"/>
      <c r="BP117" s="293"/>
      <c r="BQ117" s="293"/>
      <c r="BR117" s="293"/>
      <c r="BS117" s="293"/>
      <c r="BT117" s="293"/>
      <c r="BU117" s="293"/>
      <c r="BV117" s="293"/>
      <c r="BW117" s="293"/>
      <c r="BX117" s="293"/>
      <c r="BY117" s="293"/>
      <c r="BZ117" s="293"/>
      <c r="CA117" s="293"/>
      <c r="CB117" s="293"/>
      <c r="CC117" s="293"/>
      <c r="CD117" s="293"/>
      <c r="CE117" s="293"/>
      <c r="CF117" s="293"/>
      <c r="CG117" s="293"/>
      <c r="CH117" s="293"/>
      <c r="CI117" s="293"/>
      <c r="CJ117" s="293"/>
      <c r="CK117" s="293"/>
      <c r="CL117" s="293"/>
      <c r="CM117" s="293"/>
      <c r="CN117" s="293"/>
      <c r="CO117" s="293"/>
      <c r="CP117" s="293"/>
      <c r="CQ117" s="293"/>
      <c r="CR117" s="293"/>
      <c r="CS117" s="293"/>
      <c r="CT117" s="293"/>
      <c r="CU117" s="293"/>
      <c r="CV117" s="293"/>
      <c r="CW117" s="293"/>
      <c r="CX117" s="293"/>
      <c r="CY117" s="293"/>
      <c r="CZ117" s="293"/>
      <c r="DA117" s="293"/>
      <c r="DB117" s="293"/>
      <c r="DC117" s="293"/>
      <c r="DD117" s="293"/>
      <c r="DE117" s="293"/>
      <c r="DF117" s="293"/>
    </row>
    <row r="118" ht="14.25" customHeight="1">
      <c r="A118" s="293"/>
      <c r="B118" s="293"/>
      <c r="C118" s="293"/>
      <c r="D118" s="293"/>
      <c r="E118" s="293"/>
      <c r="F118" s="293"/>
      <c r="G118" s="293"/>
      <c r="H118" s="293"/>
      <c r="I118" s="293"/>
      <c r="J118" s="293"/>
      <c r="K118" s="293"/>
      <c r="L118" s="293"/>
      <c r="M118" s="293"/>
      <c r="N118" s="293"/>
      <c r="O118" s="293"/>
      <c r="P118" s="293"/>
      <c r="Q118" s="293"/>
      <c r="R118" s="293"/>
      <c r="S118" s="293"/>
      <c r="T118" s="293"/>
      <c r="U118" s="293"/>
      <c r="V118" s="293"/>
      <c r="W118" s="293"/>
      <c r="X118" s="293"/>
      <c r="Y118" s="293"/>
      <c r="Z118" s="293"/>
      <c r="AA118" s="293"/>
      <c r="AB118" s="293"/>
      <c r="AC118" s="293"/>
      <c r="AD118" s="293"/>
      <c r="AE118" s="293"/>
      <c r="AF118" s="293"/>
      <c r="AG118" s="293"/>
      <c r="AH118" s="293"/>
      <c r="AI118" s="293"/>
      <c r="AJ118" s="293"/>
      <c r="AK118" s="293"/>
      <c r="AL118" s="293"/>
      <c r="AM118" s="293"/>
      <c r="AN118" s="293"/>
      <c r="AO118" s="293"/>
      <c r="AP118" s="293"/>
      <c r="AQ118" s="293"/>
      <c r="AR118" s="293"/>
      <c r="AS118" s="293"/>
      <c r="AT118" s="293"/>
      <c r="AU118" s="293"/>
      <c r="AV118" s="293"/>
      <c r="AW118" s="293"/>
      <c r="AX118" s="293"/>
      <c r="AY118" s="293"/>
      <c r="AZ118" s="293"/>
      <c r="BA118" s="293"/>
      <c r="BB118" s="293"/>
      <c r="BC118" s="293"/>
      <c r="BD118" s="293"/>
      <c r="BE118" s="293"/>
      <c r="BF118" s="293"/>
      <c r="BG118" s="293"/>
      <c r="BH118" s="293"/>
      <c r="BI118" s="293"/>
      <c r="BJ118" s="293"/>
      <c r="BK118" s="293"/>
      <c r="BL118" s="293"/>
      <c r="BM118" s="293"/>
      <c r="BN118" s="293"/>
      <c r="BO118" s="293"/>
      <c r="BP118" s="293"/>
      <c r="BQ118" s="293"/>
      <c r="BR118" s="293"/>
      <c r="BS118" s="293"/>
      <c r="BT118" s="293"/>
      <c r="BU118" s="293"/>
      <c r="BV118" s="293"/>
      <c r="BW118" s="293"/>
      <c r="BX118" s="293"/>
      <c r="BY118" s="293"/>
      <c r="BZ118" s="293"/>
      <c r="CA118" s="293"/>
      <c r="CB118" s="293"/>
      <c r="CC118" s="293"/>
      <c r="CD118" s="293"/>
      <c r="CE118" s="293"/>
      <c r="CF118" s="293"/>
      <c r="CG118" s="293"/>
      <c r="CH118" s="293"/>
      <c r="CI118" s="293"/>
      <c r="CJ118" s="293"/>
      <c r="CK118" s="293"/>
      <c r="CL118" s="293"/>
      <c r="CM118" s="293"/>
      <c r="CN118" s="293"/>
      <c r="CO118" s="293"/>
      <c r="CP118" s="293"/>
      <c r="CQ118" s="293"/>
      <c r="CR118" s="293"/>
      <c r="CS118" s="293"/>
      <c r="CT118" s="293"/>
      <c r="CU118" s="293"/>
      <c r="CV118" s="293"/>
      <c r="CW118" s="293"/>
      <c r="CX118" s="293"/>
      <c r="CY118" s="293"/>
      <c r="CZ118" s="293"/>
      <c r="DA118" s="293"/>
      <c r="DB118" s="293"/>
      <c r="DC118" s="293"/>
      <c r="DD118" s="293"/>
      <c r="DE118" s="293"/>
      <c r="DF118" s="293"/>
    </row>
    <row r="119" ht="14.25" customHeight="1">
      <c r="A119" s="293"/>
      <c r="B119" s="293"/>
      <c r="C119" s="293"/>
      <c r="D119" s="293"/>
      <c r="E119" s="293"/>
      <c r="F119" s="293"/>
      <c r="G119" s="293"/>
      <c r="H119" s="293"/>
      <c r="I119" s="293"/>
      <c r="J119" s="293"/>
      <c r="K119" s="293"/>
      <c r="L119" s="293"/>
      <c r="M119" s="293"/>
      <c r="N119" s="293"/>
      <c r="O119" s="293"/>
      <c r="P119" s="293"/>
      <c r="Q119" s="293"/>
      <c r="R119" s="293"/>
      <c r="S119" s="293"/>
      <c r="T119" s="293"/>
      <c r="U119" s="293"/>
      <c r="V119" s="293"/>
      <c r="W119" s="293"/>
      <c r="X119" s="293"/>
      <c r="Y119" s="293"/>
      <c r="Z119" s="293"/>
      <c r="AA119" s="293"/>
      <c r="AB119" s="293"/>
      <c r="AC119" s="293"/>
      <c r="AD119" s="293"/>
      <c r="AE119" s="293"/>
      <c r="AF119" s="293"/>
      <c r="AG119" s="293"/>
      <c r="AH119" s="293"/>
      <c r="AI119" s="293"/>
      <c r="AJ119" s="293"/>
      <c r="AK119" s="293"/>
      <c r="AL119" s="293"/>
      <c r="AM119" s="293"/>
      <c r="AN119" s="293"/>
      <c r="AO119" s="293"/>
      <c r="AP119" s="293"/>
      <c r="AQ119" s="293"/>
      <c r="AR119" s="293"/>
      <c r="AS119" s="293"/>
      <c r="AT119" s="293"/>
      <c r="AU119" s="293"/>
      <c r="AV119" s="293"/>
      <c r="AW119" s="293"/>
      <c r="AX119" s="293"/>
      <c r="AY119" s="293"/>
      <c r="AZ119" s="293"/>
      <c r="BA119" s="293"/>
      <c r="BB119" s="293"/>
      <c r="BC119" s="293"/>
      <c r="BD119" s="293"/>
      <c r="BE119" s="293"/>
      <c r="BF119" s="293"/>
      <c r="BG119" s="293"/>
      <c r="BH119" s="293"/>
      <c r="BI119" s="293"/>
      <c r="BJ119" s="293"/>
      <c r="BK119" s="293"/>
      <c r="BL119" s="293"/>
      <c r="BM119" s="293"/>
      <c r="BN119" s="293"/>
      <c r="BO119" s="293"/>
      <c r="BP119" s="293"/>
      <c r="BQ119" s="293"/>
      <c r="BR119" s="293"/>
      <c r="BS119" s="293"/>
      <c r="BT119" s="293"/>
      <c r="BU119" s="293"/>
      <c r="BV119" s="293"/>
      <c r="BW119" s="293"/>
      <c r="BX119" s="293"/>
      <c r="BY119" s="293"/>
      <c r="BZ119" s="293"/>
      <c r="CA119" s="293"/>
      <c r="CB119" s="293"/>
      <c r="CC119" s="293"/>
      <c r="CD119" s="293"/>
      <c r="CE119" s="293"/>
      <c r="CF119" s="293"/>
      <c r="CG119" s="293"/>
      <c r="CH119" s="293"/>
      <c r="CI119" s="293"/>
      <c r="CJ119" s="293"/>
      <c r="CK119" s="293"/>
      <c r="CL119" s="293"/>
      <c r="CM119" s="293"/>
      <c r="CN119" s="293"/>
      <c r="CO119" s="293"/>
      <c r="CP119" s="293"/>
      <c r="CQ119" s="293"/>
      <c r="CR119" s="293"/>
      <c r="CS119" s="293"/>
      <c r="CT119" s="293"/>
      <c r="CU119" s="293"/>
      <c r="CV119" s="293"/>
      <c r="CW119" s="293"/>
      <c r="CX119" s="293"/>
      <c r="CY119" s="293"/>
      <c r="CZ119" s="293"/>
      <c r="DA119" s="293"/>
      <c r="DB119" s="293"/>
      <c r="DC119" s="293"/>
      <c r="DD119" s="293"/>
      <c r="DE119" s="293"/>
      <c r="DF119" s="293"/>
    </row>
    <row r="120" ht="14.25" customHeight="1">
      <c r="A120" s="293"/>
      <c r="B120" s="293"/>
      <c r="C120" s="293"/>
      <c r="D120" s="293"/>
      <c r="E120" s="293"/>
      <c r="F120" s="293"/>
      <c r="G120" s="293"/>
      <c r="H120" s="293"/>
      <c r="I120" s="293"/>
      <c r="J120" s="293"/>
      <c r="K120" s="293"/>
      <c r="L120" s="293"/>
      <c r="M120" s="293"/>
      <c r="N120" s="293"/>
      <c r="O120" s="293"/>
      <c r="P120" s="293"/>
      <c r="Q120" s="293"/>
      <c r="R120" s="293"/>
      <c r="S120" s="293"/>
      <c r="T120" s="293"/>
      <c r="U120" s="293"/>
      <c r="V120" s="293"/>
      <c r="W120" s="293"/>
      <c r="X120" s="293"/>
      <c r="Y120" s="293"/>
      <c r="Z120" s="293"/>
      <c r="AA120" s="293"/>
      <c r="AB120" s="293"/>
      <c r="AC120" s="293"/>
      <c r="AD120" s="293"/>
      <c r="AE120" s="293"/>
      <c r="AF120" s="293"/>
      <c r="AG120" s="293"/>
      <c r="AH120" s="293"/>
      <c r="AI120" s="293"/>
      <c r="AJ120" s="293"/>
      <c r="AK120" s="293"/>
      <c r="AL120" s="293"/>
      <c r="AM120" s="293"/>
      <c r="AN120" s="293"/>
      <c r="AO120" s="293"/>
      <c r="AP120" s="293"/>
      <c r="AQ120" s="293"/>
      <c r="AR120" s="293"/>
      <c r="AS120" s="293"/>
      <c r="AT120" s="293"/>
      <c r="AU120" s="293"/>
      <c r="AV120" s="293"/>
      <c r="AW120" s="293"/>
      <c r="AX120" s="293"/>
      <c r="AY120" s="293"/>
      <c r="AZ120" s="293"/>
      <c r="BA120" s="293"/>
      <c r="BB120" s="293"/>
      <c r="BC120" s="293"/>
      <c r="BD120" s="293"/>
      <c r="BE120" s="293"/>
      <c r="BF120" s="293"/>
      <c r="BG120" s="293"/>
      <c r="BH120" s="293"/>
      <c r="BI120" s="293"/>
      <c r="BJ120" s="293"/>
      <c r="BK120" s="293"/>
      <c r="BL120" s="293"/>
      <c r="BM120" s="293"/>
      <c r="BN120" s="293"/>
      <c r="BO120" s="293"/>
      <c r="BP120" s="293"/>
      <c r="BQ120" s="293"/>
      <c r="BR120" s="293"/>
      <c r="BS120" s="293"/>
      <c r="BT120" s="293"/>
      <c r="BU120" s="293"/>
      <c r="BV120" s="293"/>
      <c r="BW120" s="293"/>
      <c r="BX120" s="293"/>
      <c r="BY120" s="293"/>
      <c r="BZ120" s="293"/>
      <c r="CA120" s="293"/>
      <c r="CB120" s="293"/>
      <c r="CC120" s="293"/>
      <c r="CD120" s="293"/>
      <c r="CE120" s="293"/>
      <c r="CF120" s="293"/>
      <c r="CG120" s="293"/>
      <c r="CH120" s="293"/>
      <c r="CI120" s="293"/>
      <c r="CJ120" s="293"/>
      <c r="CK120" s="293"/>
      <c r="CL120" s="293"/>
      <c r="CM120" s="293"/>
      <c r="CN120" s="293"/>
      <c r="CO120" s="293"/>
      <c r="CP120" s="293"/>
      <c r="CQ120" s="293"/>
      <c r="CR120" s="293"/>
      <c r="CS120" s="293"/>
      <c r="CT120" s="293"/>
      <c r="CU120" s="293"/>
      <c r="CV120" s="293"/>
      <c r="CW120" s="293"/>
      <c r="CX120" s="293"/>
      <c r="CY120" s="293"/>
      <c r="CZ120" s="293"/>
      <c r="DA120" s="293"/>
      <c r="DB120" s="293"/>
      <c r="DC120" s="293"/>
      <c r="DD120" s="293"/>
      <c r="DE120" s="293"/>
      <c r="DF120" s="293"/>
    </row>
    <row r="121" ht="14.25" customHeight="1">
      <c r="A121" s="293"/>
      <c r="B121" s="293"/>
      <c r="C121" s="293"/>
      <c r="D121" s="293"/>
      <c r="E121" s="293"/>
      <c r="F121" s="293"/>
      <c r="G121" s="293"/>
      <c r="H121" s="293"/>
      <c r="I121" s="293"/>
      <c r="J121" s="293"/>
      <c r="K121" s="293"/>
      <c r="L121" s="293"/>
      <c r="M121" s="293"/>
      <c r="N121" s="293"/>
      <c r="O121" s="293"/>
      <c r="P121" s="293"/>
      <c r="Q121" s="293"/>
      <c r="R121" s="293"/>
      <c r="S121" s="293"/>
      <c r="T121" s="293"/>
      <c r="U121" s="293"/>
      <c r="V121" s="293"/>
      <c r="W121" s="293"/>
      <c r="X121" s="293"/>
      <c r="Y121" s="293"/>
      <c r="Z121" s="293"/>
      <c r="AA121" s="293"/>
      <c r="AB121" s="293"/>
      <c r="AC121" s="293"/>
      <c r="AD121" s="293"/>
      <c r="AE121" s="293"/>
      <c r="AF121" s="293"/>
      <c r="AG121" s="293"/>
      <c r="AH121" s="293"/>
      <c r="AI121" s="293"/>
      <c r="AJ121" s="293"/>
      <c r="AK121" s="293"/>
      <c r="AL121" s="293"/>
      <c r="AM121" s="293"/>
      <c r="AN121" s="293"/>
      <c r="AO121" s="293"/>
      <c r="AP121" s="293"/>
      <c r="AQ121" s="293"/>
      <c r="AR121" s="293"/>
      <c r="AS121" s="293"/>
      <c r="AT121" s="293"/>
      <c r="AU121" s="293"/>
      <c r="AV121" s="293"/>
      <c r="AW121" s="293"/>
      <c r="AX121" s="293"/>
      <c r="AY121" s="293"/>
      <c r="AZ121" s="293"/>
      <c r="BA121" s="293"/>
      <c r="BB121" s="293"/>
      <c r="BC121" s="293"/>
      <c r="BD121" s="293"/>
      <c r="BE121" s="293"/>
      <c r="BF121" s="293"/>
      <c r="BG121" s="293"/>
      <c r="BH121" s="293"/>
      <c r="BI121" s="293"/>
      <c r="BJ121" s="293"/>
      <c r="BK121" s="293"/>
      <c r="BL121" s="293"/>
      <c r="BM121" s="293"/>
      <c r="BN121" s="293"/>
      <c r="BO121" s="293"/>
      <c r="BP121" s="293"/>
      <c r="BQ121" s="293"/>
      <c r="BR121" s="293"/>
      <c r="BS121" s="293"/>
      <c r="BT121" s="293"/>
      <c r="BU121" s="293"/>
      <c r="BV121" s="293"/>
      <c r="BW121" s="293"/>
      <c r="BX121" s="293"/>
      <c r="BY121" s="293"/>
      <c r="BZ121" s="293"/>
      <c r="CA121" s="293"/>
      <c r="CB121" s="293"/>
      <c r="CC121" s="293"/>
      <c r="CD121" s="293"/>
      <c r="CE121" s="293"/>
      <c r="CF121" s="293"/>
      <c r="CG121" s="293"/>
      <c r="CH121" s="293"/>
      <c r="CI121" s="293"/>
      <c r="CJ121" s="293"/>
      <c r="CK121" s="293"/>
      <c r="CL121" s="293"/>
      <c r="CM121" s="293"/>
      <c r="CN121" s="293"/>
      <c r="CO121" s="293"/>
      <c r="CP121" s="293"/>
      <c r="CQ121" s="293"/>
      <c r="CR121" s="293"/>
      <c r="CS121" s="293"/>
      <c r="CT121" s="293"/>
      <c r="CU121" s="293"/>
      <c r="CV121" s="293"/>
      <c r="CW121" s="293"/>
      <c r="CX121" s="293"/>
      <c r="CY121" s="293"/>
      <c r="CZ121" s="293"/>
      <c r="DA121" s="293"/>
      <c r="DB121" s="293"/>
      <c r="DC121" s="293"/>
      <c r="DD121" s="293"/>
      <c r="DE121" s="293"/>
      <c r="DF121" s="293"/>
    </row>
    <row r="122" ht="14.25" customHeight="1">
      <c r="A122" s="293"/>
      <c r="B122" s="293"/>
      <c r="C122" s="293"/>
      <c r="D122" s="293"/>
      <c r="E122" s="293"/>
      <c r="F122" s="293"/>
      <c r="G122" s="293"/>
      <c r="H122" s="293"/>
      <c r="I122" s="293"/>
      <c r="J122" s="293"/>
      <c r="K122" s="293"/>
      <c r="L122" s="293"/>
      <c r="M122" s="293"/>
      <c r="N122" s="293"/>
      <c r="O122" s="293"/>
      <c r="P122" s="293"/>
      <c r="Q122" s="293"/>
      <c r="R122" s="293"/>
      <c r="S122" s="293"/>
      <c r="T122" s="293"/>
      <c r="U122" s="293"/>
      <c r="V122" s="293"/>
      <c r="W122" s="293"/>
      <c r="X122" s="293"/>
      <c r="Y122" s="293"/>
      <c r="Z122" s="293"/>
      <c r="AA122" s="293"/>
      <c r="AB122" s="293"/>
      <c r="AC122" s="293"/>
      <c r="AD122" s="293"/>
      <c r="AE122" s="293"/>
      <c r="AF122" s="293"/>
      <c r="AG122" s="293"/>
      <c r="AH122" s="293"/>
      <c r="AI122" s="293"/>
      <c r="AJ122" s="293"/>
      <c r="AK122" s="293"/>
      <c r="AL122" s="293"/>
      <c r="AM122" s="293"/>
      <c r="AN122" s="293"/>
      <c r="AO122" s="293"/>
      <c r="AP122" s="293"/>
      <c r="AQ122" s="293"/>
      <c r="AR122" s="293"/>
      <c r="AS122" s="293"/>
      <c r="AT122" s="293"/>
      <c r="AU122" s="293"/>
      <c r="AV122" s="293"/>
      <c r="AW122" s="293"/>
      <c r="AX122" s="293"/>
      <c r="AY122" s="293"/>
      <c r="AZ122" s="293"/>
      <c r="BA122" s="293"/>
      <c r="BB122" s="293"/>
      <c r="BC122" s="293"/>
      <c r="BD122" s="293"/>
      <c r="BE122" s="293"/>
      <c r="BF122" s="293"/>
      <c r="BG122" s="293"/>
      <c r="BH122" s="293"/>
      <c r="BI122" s="293"/>
      <c r="BJ122" s="293"/>
      <c r="BK122" s="293"/>
      <c r="BL122" s="293"/>
      <c r="BM122" s="293"/>
      <c r="BN122" s="293"/>
      <c r="BO122" s="293"/>
      <c r="BP122" s="293"/>
      <c r="BQ122" s="293"/>
      <c r="BR122" s="293"/>
      <c r="BS122" s="293"/>
      <c r="BT122" s="293"/>
      <c r="BU122" s="293"/>
      <c r="BV122" s="293"/>
      <c r="BW122" s="293"/>
      <c r="BX122" s="293"/>
      <c r="BY122" s="293"/>
      <c r="BZ122" s="293"/>
      <c r="CA122" s="293"/>
      <c r="CB122" s="293"/>
      <c r="CC122" s="293"/>
      <c r="CD122" s="293"/>
      <c r="CE122" s="293"/>
      <c r="CF122" s="293"/>
      <c r="CG122" s="293"/>
      <c r="CH122" s="293"/>
      <c r="CI122" s="293"/>
      <c r="CJ122" s="293"/>
      <c r="CK122" s="293"/>
      <c r="CL122" s="293"/>
      <c r="CM122" s="293"/>
      <c r="CN122" s="293"/>
      <c r="CO122" s="293"/>
      <c r="CP122" s="293"/>
      <c r="CQ122" s="293"/>
      <c r="CR122" s="293"/>
      <c r="CS122" s="293"/>
      <c r="CT122" s="293"/>
      <c r="CU122" s="293"/>
      <c r="CV122" s="293"/>
      <c r="CW122" s="293"/>
      <c r="CX122" s="293"/>
      <c r="CY122" s="293"/>
      <c r="CZ122" s="293"/>
      <c r="DA122" s="293"/>
      <c r="DB122" s="293"/>
      <c r="DC122" s="293"/>
      <c r="DD122" s="293"/>
      <c r="DE122" s="293"/>
      <c r="DF122" s="293"/>
    </row>
    <row r="123" ht="14.25" customHeight="1">
      <c r="A123" s="293"/>
      <c r="B123" s="293"/>
      <c r="C123" s="293"/>
      <c r="D123" s="293"/>
      <c r="E123" s="293"/>
      <c r="F123" s="293"/>
      <c r="G123" s="293"/>
      <c r="H123" s="293"/>
      <c r="I123" s="293"/>
      <c r="J123" s="293"/>
      <c r="K123" s="293"/>
      <c r="L123" s="293"/>
      <c r="M123" s="293"/>
      <c r="N123" s="293"/>
      <c r="O123" s="293"/>
      <c r="P123" s="293"/>
      <c r="Q123" s="293"/>
      <c r="R123" s="293"/>
      <c r="S123" s="293"/>
      <c r="T123" s="293"/>
      <c r="U123" s="293"/>
      <c r="V123" s="293"/>
      <c r="W123" s="293"/>
      <c r="X123" s="293"/>
      <c r="Y123" s="293"/>
      <c r="Z123" s="293"/>
      <c r="AA123" s="293"/>
      <c r="AB123" s="293"/>
      <c r="AC123" s="293"/>
      <c r="AD123" s="293"/>
      <c r="AE123" s="293"/>
      <c r="AF123" s="293"/>
      <c r="AG123" s="293"/>
      <c r="AH123" s="293"/>
      <c r="AI123" s="293"/>
      <c r="AJ123" s="293"/>
      <c r="AK123" s="293"/>
      <c r="AL123" s="293"/>
      <c r="AM123" s="293"/>
      <c r="AN123" s="293"/>
      <c r="AO123" s="293"/>
      <c r="AP123" s="293"/>
      <c r="AQ123" s="293"/>
      <c r="AR123" s="293"/>
      <c r="AS123" s="293"/>
      <c r="AT123" s="293"/>
      <c r="AU123" s="293"/>
      <c r="AV123" s="293"/>
      <c r="AW123" s="293"/>
      <c r="AX123" s="293"/>
      <c r="AY123" s="293"/>
      <c r="AZ123" s="293"/>
      <c r="BA123" s="293"/>
      <c r="BB123" s="293"/>
      <c r="BC123" s="293"/>
      <c r="BD123" s="293"/>
      <c r="BE123" s="293"/>
      <c r="BF123" s="293"/>
      <c r="BG123" s="293"/>
      <c r="BH123" s="293"/>
      <c r="BI123" s="293"/>
      <c r="BJ123" s="293"/>
      <c r="BK123" s="293"/>
      <c r="BL123" s="293"/>
      <c r="BM123" s="293"/>
      <c r="BN123" s="293"/>
      <c r="BO123" s="293"/>
      <c r="BP123" s="293"/>
      <c r="BQ123" s="293"/>
      <c r="BR123" s="293"/>
      <c r="BS123" s="293"/>
      <c r="BT123" s="293"/>
      <c r="BU123" s="293"/>
      <c r="BV123" s="293"/>
      <c r="BW123" s="293"/>
      <c r="BX123" s="293"/>
      <c r="BY123" s="293"/>
      <c r="BZ123" s="293"/>
      <c r="CA123" s="293"/>
      <c r="CB123" s="293"/>
      <c r="CC123" s="293"/>
      <c r="CD123" s="293"/>
      <c r="CE123" s="293"/>
      <c r="CF123" s="293"/>
      <c r="CG123" s="293"/>
      <c r="CH123" s="293"/>
      <c r="CI123" s="293"/>
      <c r="CJ123" s="293"/>
      <c r="CK123" s="293"/>
      <c r="CL123" s="293"/>
      <c r="CM123" s="293"/>
      <c r="CN123" s="293"/>
      <c r="CO123" s="293"/>
      <c r="CP123" s="293"/>
      <c r="CQ123" s="293"/>
      <c r="CR123" s="293"/>
      <c r="CS123" s="293"/>
      <c r="CT123" s="293"/>
      <c r="CU123" s="293"/>
      <c r="CV123" s="293"/>
      <c r="CW123" s="293"/>
      <c r="CX123" s="293"/>
      <c r="CY123" s="293"/>
      <c r="CZ123" s="293"/>
      <c r="DA123" s="293"/>
      <c r="DB123" s="293"/>
      <c r="DC123" s="293"/>
      <c r="DD123" s="293"/>
      <c r="DE123" s="293"/>
      <c r="DF123" s="293"/>
    </row>
    <row r="124" ht="14.25" customHeight="1">
      <c r="A124" s="293"/>
      <c r="B124" s="293"/>
      <c r="C124" s="293"/>
      <c r="D124" s="293"/>
      <c r="E124" s="293"/>
      <c r="F124" s="293"/>
      <c r="G124" s="293"/>
      <c r="H124" s="293"/>
      <c r="I124" s="293"/>
      <c r="J124" s="293"/>
      <c r="K124" s="293"/>
      <c r="L124" s="293"/>
      <c r="M124" s="293"/>
      <c r="N124" s="293"/>
      <c r="O124" s="293"/>
      <c r="P124" s="293"/>
      <c r="Q124" s="293"/>
      <c r="R124" s="293"/>
      <c r="S124" s="293"/>
      <c r="T124" s="293"/>
      <c r="U124" s="293"/>
      <c r="V124" s="293"/>
      <c r="W124" s="293"/>
      <c r="X124" s="293"/>
      <c r="Y124" s="293"/>
      <c r="Z124" s="293"/>
      <c r="AA124" s="293"/>
      <c r="AB124" s="293"/>
      <c r="AC124" s="293"/>
      <c r="AD124" s="293"/>
      <c r="AE124" s="293"/>
      <c r="AF124" s="293"/>
      <c r="AG124" s="293"/>
      <c r="AH124" s="293"/>
      <c r="AI124" s="293"/>
      <c r="AJ124" s="293"/>
      <c r="AK124" s="293"/>
      <c r="AL124" s="293"/>
      <c r="AM124" s="293"/>
      <c r="AN124" s="293"/>
      <c r="AO124" s="293"/>
      <c r="AP124" s="293"/>
      <c r="AQ124" s="293"/>
      <c r="AR124" s="293"/>
      <c r="AS124" s="293"/>
      <c r="AT124" s="293"/>
      <c r="AU124" s="293"/>
      <c r="AV124" s="293"/>
      <c r="AW124" s="293"/>
      <c r="AX124" s="293"/>
      <c r="AY124" s="293"/>
      <c r="AZ124" s="293"/>
      <c r="BA124" s="293"/>
      <c r="BB124" s="293"/>
      <c r="BC124" s="293"/>
      <c r="BD124" s="293"/>
      <c r="BE124" s="293"/>
      <c r="BF124" s="293"/>
      <c r="BG124" s="293"/>
      <c r="BH124" s="293"/>
      <c r="BI124" s="293"/>
      <c r="BJ124" s="293"/>
      <c r="BK124" s="293"/>
      <c r="BL124" s="293"/>
      <c r="BM124" s="293"/>
      <c r="BN124" s="293"/>
      <c r="BO124" s="293"/>
      <c r="BP124" s="293"/>
      <c r="BQ124" s="293"/>
      <c r="BR124" s="293"/>
      <c r="BS124" s="293"/>
      <c r="BT124" s="293"/>
      <c r="BU124" s="293"/>
      <c r="BV124" s="293"/>
      <c r="BW124" s="293"/>
      <c r="BX124" s="293"/>
      <c r="BY124" s="293"/>
      <c r="BZ124" s="293"/>
      <c r="CA124" s="293"/>
      <c r="CB124" s="293"/>
      <c r="CC124" s="293"/>
      <c r="CD124" s="293"/>
      <c r="CE124" s="293"/>
      <c r="CF124" s="293"/>
      <c r="CG124" s="293"/>
      <c r="CH124" s="293"/>
      <c r="CI124" s="293"/>
      <c r="CJ124" s="293"/>
      <c r="CK124" s="293"/>
      <c r="CL124" s="293"/>
      <c r="CM124" s="293"/>
      <c r="CN124" s="293"/>
      <c r="CO124" s="293"/>
      <c r="CP124" s="293"/>
      <c r="CQ124" s="293"/>
      <c r="CR124" s="293"/>
      <c r="CS124" s="293"/>
      <c r="CT124" s="293"/>
      <c r="CU124" s="293"/>
      <c r="CV124" s="293"/>
      <c r="CW124" s="293"/>
      <c r="CX124" s="293"/>
      <c r="CY124" s="293"/>
      <c r="CZ124" s="293"/>
      <c r="DA124" s="293"/>
      <c r="DB124" s="293"/>
      <c r="DC124" s="293"/>
      <c r="DD124" s="293"/>
      <c r="DE124" s="293"/>
      <c r="DF124" s="293"/>
    </row>
    <row r="125" ht="14.25" customHeight="1">
      <c r="A125" s="293"/>
      <c r="B125" s="293"/>
      <c r="C125" s="293"/>
      <c r="D125" s="293"/>
      <c r="E125" s="293"/>
      <c r="F125" s="293"/>
      <c r="G125" s="293"/>
      <c r="H125" s="293"/>
      <c r="I125" s="293"/>
      <c r="J125" s="293"/>
      <c r="K125" s="293"/>
      <c r="L125" s="293"/>
      <c r="M125" s="293"/>
      <c r="N125" s="293"/>
      <c r="O125" s="293"/>
      <c r="P125" s="293"/>
      <c r="Q125" s="293"/>
      <c r="R125" s="293"/>
      <c r="S125" s="293"/>
      <c r="T125" s="293"/>
      <c r="U125" s="293"/>
      <c r="V125" s="293"/>
      <c r="W125" s="293"/>
      <c r="X125" s="293"/>
      <c r="Y125" s="293"/>
      <c r="Z125" s="293"/>
      <c r="AA125" s="293"/>
      <c r="AB125" s="293"/>
      <c r="AC125" s="293"/>
      <c r="AD125" s="293"/>
      <c r="AE125" s="293"/>
      <c r="AF125" s="293"/>
      <c r="AG125" s="293"/>
      <c r="AH125" s="293"/>
      <c r="AI125" s="293"/>
      <c r="AJ125" s="293"/>
      <c r="AK125" s="293"/>
      <c r="AL125" s="293"/>
      <c r="AM125" s="293"/>
      <c r="AN125" s="293"/>
      <c r="AO125" s="293"/>
      <c r="AP125" s="293"/>
      <c r="AQ125" s="293"/>
      <c r="AR125" s="293"/>
      <c r="AS125" s="293"/>
      <c r="AT125" s="293"/>
      <c r="AU125" s="293"/>
      <c r="AV125" s="293"/>
      <c r="AW125" s="293"/>
      <c r="AX125" s="293"/>
      <c r="AY125" s="293"/>
      <c r="AZ125" s="293"/>
      <c r="BA125" s="293"/>
      <c r="BB125" s="293"/>
      <c r="BC125" s="293"/>
      <c r="BD125" s="293"/>
      <c r="BE125" s="293"/>
      <c r="BF125" s="293"/>
      <c r="BG125" s="293"/>
      <c r="BH125" s="293"/>
      <c r="BI125" s="293"/>
      <c r="BJ125" s="293"/>
      <c r="BK125" s="293"/>
      <c r="BL125" s="293"/>
      <c r="BM125" s="293"/>
      <c r="BN125" s="293"/>
      <c r="BO125" s="293"/>
      <c r="BP125" s="293"/>
      <c r="BQ125" s="293"/>
      <c r="BR125" s="293"/>
      <c r="BS125" s="293"/>
      <c r="BT125" s="293"/>
      <c r="BU125" s="293"/>
      <c r="BV125" s="293"/>
      <c r="BW125" s="293"/>
      <c r="BX125" s="293"/>
      <c r="BY125" s="293"/>
      <c r="BZ125" s="293"/>
      <c r="CA125" s="293"/>
      <c r="CB125" s="293"/>
      <c r="CC125" s="293"/>
      <c r="CD125" s="293"/>
      <c r="CE125" s="293"/>
      <c r="CF125" s="293"/>
      <c r="CG125" s="293"/>
      <c r="CH125" s="293"/>
      <c r="CI125" s="293"/>
      <c r="CJ125" s="293"/>
      <c r="CK125" s="293"/>
      <c r="CL125" s="293"/>
      <c r="CM125" s="293"/>
      <c r="CN125" s="293"/>
      <c r="CO125" s="293"/>
      <c r="CP125" s="293"/>
      <c r="CQ125" s="293"/>
      <c r="CR125" s="293"/>
      <c r="CS125" s="293"/>
      <c r="CT125" s="293"/>
      <c r="CU125" s="293"/>
      <c r="CV125" s="293"/>
      <c r="CW125" s="293"/>
      <c r="CX125" s="293"/>
      <c r="CY125" s="293"/>
      <c r="CZ125" s="293"/>
      <c r="DA125" s="293"/>
      <c r="DB125" s="293"/>
      <c r="DC125" s="293"/>
      <c r="DD125" s="293"/>
      <c r="DE125" s="293"/>
      <c r="DF125" s="293"/>
    </row>
    <row r="126" ht="14.25" customHeight="1">
      <c r="A126" s="293"/>
      <c r="B126" s="293"/>
      <c r="C126" s="293"/>
      <c r="D126" s="293"/>
      <c r="E126" s="293"/>
      <c r="F126" s="293"/>
      <c r="G126" s="293"/>
      <c r="H126" s="293"/>
      <c r="I126" s="293"/>
      <c r="J126" s="293"/>
      <c r="K126" s="293"/>
      <c r="L126" s="293"/>
      <c r="M126" s="293"/>
      <c r="N126" s="293"/>
      <c r="O126" s="293"/>
      <c r="P126" s="293"/>
      <c r="Q126" s="293"/>
      <c r="R126" s="293"/>
      <c r="S126" s="293"/>
      <c r="T126" s="293"/>
      <c r="U126" s="293"/>
      <c r="V126" s="293"/>
      <c r="W126" s="293"/>
      <c r="X126" s="293"/>
      <c r="Y126" s="293"/>
      <c r="Z126" s="293"/>
      <c r="AA126" s="293"/>
      <c r="AB126" s="293"/>
      <c r="AC126" s="293"/>
      <c r="AD126" s="293"/>
      <c r="AE126" s="293"/>
      <c r="AF126" s="293"/>
      <c r="AG126" s="293"/>
      <c r="AH126" s="293"/>
      <c r="AI126" s="293"/>
      <c r="AJ126" s="293"/>
      <c r="AK126" s="293"/>
      <c r="AL126" s="293"/>
      <c r="AM126" s="293"/>
      <c r="AN126" s="293"/>
      <c r="AO126" s="293"/>
      <c r="AP126" s="293"/>
      <c r="AQ126" s="293"/>
      <c r="AR126" s="293"/>
      <c r="AS126" s="293"/>
      <c r="AT126" s="293"/>
      <c r="AU126" s="293"/>
      <c r="AV126" s="293"/>
      <c r="AW126" s="293"/>
      <c r="AX126" s="293"/>
      <c r="AY126" s="293"/>
      <c r="AZ126" s="293"/>
      <c r="BA126" s="293"/>
      <c r="BB126" s="293"/>
      <c r="BC126" s="293"/>
      <c r="BD126" s="293"/>
      <c r="BE126" s="293"/>
      <c r="BF126" s="293"/>
      <c r="BG126" s="293"/>
      <c r="BH126" s="293"/>
      <c r="BI126" s="293"/>
      <c r="BJ126" s="293"/>
      <c r="BK126" s="293"/>
      <c r="BL126" s="293"/>
      <c r="BM126" s="293"/>
      <c r="BN126" s="293"/>
      <c r="BO126" s="293"/>
      <c r="BP126" s="293"/>
      <c r="BQ126" s="293"/>
      <c r="BR126" s="293"/>
      <c r="BS126" s="293"/>
      <c r="BT126" s="293"/>
      <c r="BU126" s="293"/>
      <c r="BV126" s="293"/>
      <c r="BW126" s="293"/>
      <c r="BX126" s="293"/>
      <c r="BY126" s="293"/>
      <c r="BZ126" s="293"/>
      <c r="CA126" s="293"/>
      <c r="CB126" s="293"/>
      <c r="CC126" s="293"/>
      <c r="CD126" s="293"/>
      <c r="CE126" s="293"/>
      <c r="CF126" s="293"/>
      <c r="CG126" s="293"/>
      <c r="CH126" s="293"/>
      <c r="CI126" s="293"/>
      <c r="CJ126" s="293"/>
      <c r="CK126" s="293"/>
      <c r="CL126" s="293"/>
      <c r="CM126" s="293"/>
      <c r="CN126" s="293"/>
      <c r="CO126" s="293"/>
      <c r="CP126" s="293"/>
      <c r="CQ126" s="293"/>
      <c r="CR126" s="293"/>
      <c r="CS126" s="293"/>
      <c r="CT126" s="293"/>
      <c r="CU126" s="293"/>
      <c r="CV126" s="293"/>
      <c r="CW126" s="293"/>
      <c r="CX126" s="293"/>
      <c r="CY126" s="293"/>
      <c r="CZ126" s="293"/>
      <c r="DA126" s="293"/>
      <c r="DB126" s="293"/>
      <c r="DC126" s="293"/>
      <c r="DD126" s="293"/>
      <c r="DE126" s="293"/>
      <c r="DF126" s="293"/>
    </row>
    <row r="127" ht="14.25" customHeight="1">
      <c r="A127" s="293"/>
      <c r="B127" s="293"/>
      <c r="C127" s="293"/>
      <c r="D127" s="293"/>
      <c r="E127" s="293"/>
      <c r="F127" s="293"/>
      <c r="G127" s="293"/>
      <c r="H127" s="293"/>
      <c r="I127" s="293"/>
      <c r="J127" s="293"/>
      <c r="K127" s="293"/>
      <c r="L127" s="293"/>
      <c r="M127" s="293"/>
      <c r="N127" s="293"/>
      <c r="O127" s="293"/>
      <c r="P127" s="293"/>
      <c r="Q127" s="293"/>
      <c r="R127" s="293"/>
      <c r="S127" s="293"/>
      <c r="T127" s="293"/>
      <c r="U127" s="293"/>
      <c r="V127" s="293"/>
      <c r="W127" s="293"/>
      <c r="X127" s="293"/>
      <c r="Y127" s="293"/>
      <c r="Z127" s="293"/>
      <c r="AA127" s="293"/>
      <c r="AB127" s="293"/>
      <c r="AC127" s="293"/>
      <c r="AD127" s="293"/>
      <c r="AE127" s="293"/>
      <c r="AF127" s="293"/>
      <c r="AG127" s="293"/>
      <c r="AH127" s="293"/>
      <c r="AI127" s="293"/>
      <c r="AJ127" s="293"/>
      <c r="AK127" s="293"/>
      <c r="AL127" s="293"/>
      <c r="AM127" s="293"/>
      <c r="AN127" s="293"/>
      <c r="AO127" s="293"/>
      <c r="AP127" s="293"/>
      <c r="AQ127" s="293"/>
      <c r="AR127" s="293"/>
      <c r="AS127" s="293"/>
      <c r="AT127" s="293"/>
      <c r="AU127" s="293"/>
      <c r="AV127" s="293"/>
      <c r="AW127" s="293"/>
      <c r="AX127" s="293"/>
      <c r="AY127" s="293"/>
      <c r="AZ127" s="293"/>
      <c r="BA127" s="293"/>
      <c r="BB127" s="293"/>
      <c r="BC127" s="293"/>
      <c r="BD127" s="293"/>
      <c r="BE127" s="293"/>
      <c r="BF127" s="293"/>
      <c r="BG127" s="293"/>
      <c r="BH127" s="293"/>
      <c r="BI127" s="293"/>
      <c r="BJ127" s="293"/>
      <c r="BK127" s="293"/>
      <c r="BL127" s="293"/>
      <c r="BM127" s="293"/>
      <c r="BN127" s="293"/>
      <c r="BO127" s="293"/>
      <c r="BP127" s="293"/>
      <c r="BQ127" s="293"/>
      <c r="BR127" s="293"/>
      <c r="BS127" s="293"/>
      <c r="BT127" s="293"/>
      <c r="BU127" s="293"/>
      <c r="BV127" s="293"/>
      <c r="BW127" s="293"/>
      <c r="BX127" s="293"/>
      <c r="BY127" s="293"/>
      <c r="BZ127" s="293"/>
      <c r="CA127" s="293"/>
      <c r="CB127" s="293"/>
      <c r="CC127" s="293"/>
      <c r="CD127" s="293"/>
      <c r="CE127" s="293"/>
      <c r="CF127" s="293"/>
      <c r="CG127" s="293"/>
      <c r="CH127" s="293"/>
      <c r="CI127" s="293"/>
      <c r="CJ127" s="293"/>
      <c r="CK127" s="293"/>
      <c r="CL127" s="293"/>
      <c r="CM127" s="293"/>
      <c r="CN127" s="293"/>
      <c r="CO127" s="293"/>
      <c r="CP127" s="293"/>
      <c r="CQ127" s="293"/>
      <c r="CR127" s="293"/>
      <c r="CS127" s="293"/>
      <c r="CT127" s="293"/>
      <c r="CU127" s="293"/>
      <c r="CV127" s="293"/>
      <c r="CW127" s="293"/>
      <c r="CX127" s="293"/>
      <c r="CY127" s="293"/>
      <c r="CZ127" s="293"/>
      <c r="DA127" s="293"/>
      <c r="DB127" s="293"/>
      <c r="DC127" s="293"/>
      <c r="DD127" s="293"/>
      <c r="DE127" s="293"/>
      <c r="DF127" s="293"/>
    </row>
    <row r="128" ht="14.25" customHeight="1">
      <c r="A128" s="293"/>
      <c r="B128" s="293"/>
      <c r="C128" s="293"/>
      <c r="D128" s="293"/>
      <c r="E128" s="293"/>
      <c r="F128" s="293"/>
      <c r="G128" s="293"/>
      <c r="H128" s="293"/>
      <c r="I128" s="293"/>
      <c r="J128" s="293"/>
      <c r="K128" s="293"/>
      <c r="L128" s="293"/>
      <c r="M128" s="293"/>
      <c r="N128" s="293"/>
      <c r="O128" s="293"/>
      <c r="P128" s="293"/>
      <c r="Q128" s="293"/>
      <c r="R128" s="293"/>
      <c r="S128" s="293"/>
      <c r="T128" s="293"/>
      <c r="U128" s="293"/>
      <c r="V128" s="293"/>
      <c r="W128" s="293"/>
      <c r="X128" s="293"/>
      <c r="Y128" s="293"/>
      <c r="Z128" s="293"/>
      <c r="AA128" s="293"/>
      <c r="AB128" s="293"/>
      <c r="AC128" s="293"/>
      <c r="AD128" s="293"/>
      <c r="AE128" s="293"/>
      <c r="AF128" s="293"/>
      <c r="AG128" s="293"/>
      <c r="AH128" s="293"/>
      <c r="AI128" s="293"/>
      <c r="AJ128" s="293"/>
      <c r="AK128" s="293"/>
      <c r="AL128" s="293"/>
      <c r="AM128" s="293"/>
      <c r="AN128" s="293"/>
      <c r="AO128" s="293"/>
      <c r="AP128" s="293"/>
      <c r="AQ128" s="293"/>
      <c r="AR128" s="293"/>
      <c r="AS128" s="293"/>
      <c r="AT128" s="293"/>
      <c r="AU128" s="293"/>
      <c r="AV128" s="293"/>
      <c r="AW128" s="293"/>
      <c r="AX128" s="293"/>
      <c r="AY128" s="293"/>
      <c r="AZ128" s="293"/>
      <c r="BA128" s="293"/>
      <c r="BB128" s="293"/>
      <c r="BC128" s="293"/>
      <c r="BD128" s="293"/>
      <c r="BE128" s="293"/>
      <c r="BF128" s="293"/>
      <c r="BG128" s="293"/>
      <c r="BH128" s="293"/>
      <c r="BI128" s="293"/>
      <c r="BJ128" s="293"/>
      <c r="BK128" s="293"/>
      <c r="BL128" s="293"/>
      <c r="BM128" s="293"/>
      <c r="BN128" s="293"/>
      <c r="BO128" s="293"/>
      <c r="BP128" s="293"/>
      <c r="BQ128" s="293"/>
      <c r="BR128" s="293"/>
      <c r="BS128" s="293"/>
      <c r="BT128" s="293"/>
      <c r="BU128" s="293"/>
      <c r="BV128" s="293"/>
      <c r="BW128" s="293"/>
      <c r="BX128" s="293"/>
      <c r="BY128" s="293"/>
      <c r="BZ128" s="293"/>
      <c r="CA128" s="293"/>
      <c r="CB128" s="293"/>
      <c r="CC128" s="293"/>
      <c r="CD128" s="293"/>
      <c r="CE128" s="293"/>
      <c r="CF128" s="293"/>
      <c r="CG128" s="293"/>
      <c r="CH128" s="293"/>
      <c r="CI128" s="293"/>
      <c r="CJ128" s="293"/>
      <c r="CK128" s="293"/>
      <c r="CL128" s="293"/>
      <c r="CM128" s="293"/>
      <c r="CN128" s="293"/>
      <c r="CO128" s="293"/>
      <c r="CP128" s="293"/>
      <c r="CQ128" s="293"/>
      <c r="CR128" s="293"/>
      <c r="CS128" s="293"/>
      <c r="CT128" s="293"/>
      <c r="CU128" s="293"/>
      <c r="CV128" s="293"/>
      <c r="CW128" s="293"/>
      <c r="CX128" s="293"/>
      <c r="CY128" s="293"/>
      <c r="CZ128" s="293"/>
      <c r="DA128" s="293"/>
      <c r="DB128" s="293"/>
      <c r="DC128" s="293"/>
      <c r="DD128" s="293"/>
      <c r="DE128" s="293"/>
      <c r="DF128" s="293"/>
    </row>
    <row r="129" ht="14.25" customHeight="1">
      <c r="A129" s="293"/>
      <c r="B129" s="293"/>
      <c r="C129" s="293"/>
      <c r="D129" s="293"/>
      <c r="E129" s="293"/>
      <c r="F129" s="293"/>
      <c r="G129" s="293"/>
      <c r="H129" s="293"/>
      <c r="I129" s="293"/>
      <c r="J129" s="293"/>
      <c r="K129" s="293"/>
      <c r="L129" s="293"/>
      <c r="M129" s="293"/>
      <c r="N129" s="293"/>
      <c r="O129" s="293"/>
      <c r="P129" s="293"/>
      <c r="Q129" s="293"/>
      <c r="R129" s="293"/>
      <c r="S129" s="293"/>
      <c r="T129" s="293"/>
      <c r="U129" s="293"/>
      <c r="V129" s="293"/>
      <c r="W129" s="293"/>
      <c r="X129" s="293"/>
      <c r="Y129" s="293"/>
      <c r="Z129" s="293"/>
      <c r="AA129" s="293"/>
      <c r="AB129" s="293"/>
      <c r="AC129" s="293"/>
      <c r="AD129" s="293"/>
      <c r="AE129" s="293"/>
      <c r="AF129" s="293"/>
      <c r="AG129" s="293"/>
      <c r="AH129" s="293"/>
      <c r="AI129" s="293"/>
      <c r="AJ129" s="293"/>
      <c r="AK129" s="293"/>
      <c r="AL129" s="293"/>
      <c r="AM129" s="293"/>
      <c r="AN129" s="293"/>
      <c r="AO129" s="293"/>
      <c r="AP129" s="293"/>
      <c r="AQ129" s="293"/>
      <c r="AR129" s="293"/>
      <c r="AS129" s="293"/>
      <c r="AT129" s="293"/>
      <c r="AU129" s="293"/>
      <c r="AV129" s="293"/>
      <c r="AW129" s="293"/>
      <c r="AX129" s="293"/>
      <c r="AY129" s="293"/>
      <c r="AZ129" s="293"/>
      <c r="BA129" s="293"/>
      <c r="BB129" s="293"/>
      <c r="BC129" s="293"/>
      <c r="BD129" s="293"/>
      <c r="BE129" s="293"/>
      <c r="BF129" s="293"/>
      <c r="BG129" s="293"/>
      <c r="BH129" s="293"/>
      <c r="BI129" s="293"/>
      <c r="BJ129" s="293"/>
      <c r="BK129" s="293"/>
      <c r="BL129" s="293"/>
      <c r="BM129" s="293"/>
      <c r="BN129" s="293"/>
      <c r="BO129" s="293"/>
      <c r="BP129" s="293"/>
      <c r="BQ129" s="293"/>
      <c r="BR129" s="293"/>
      <c r="BS129" s="293"/>
      <c r="BT129" s="293"/>
      <c r="BU129" s="293"/>
      <c r="BV129" s="293"/>
      <c r="BW129" s="293"/>
      <c r="BX129" s="293"/>
      <c r="BY129" s="293"/>
      <c r="BZ129" s="293"/>
      <c r="CA129" s="293"/>
      <c r="CB129" s="293"/>
      <c r="CC129" s="293"/>
      <c r="CD129" s="293"/>
      <c r="CE129" s="293"/>
      <c r="CF129" s="293"/>
      <c r="CG129" s="293"/>
      <c r="CH129" s="293"/>
      <c r="CI129" s="293"/>
      <c r="CJ129" s="293"/>
      <c r="CK129" s="293"/>
      <c r="CL129" s="293"/>
      <c r="CM129" s="293"/>
      <c r="CN129" s="293"/>
      <c r="CO129" s="293"/>
      <c r="CP129" s="293"/>
      <c r="CQ129" s="293"/>
      <c r="CR129" s="293"/>
      <c r="CS129" s="293"/>
      <c r="CT129" s="293"/>
      <c r="CU129" s="293"/>
      <c r="CV129" s="293"/>
      <c r="CW129" s="293"/>
      <c r="CX129" s="293"/>
      <c r="CY129" s="293"/>
      <c r="CZ129" s="293"/>
      <c r="DA129" s="293"/>
      <c r="DB129" s="293"/>
      <c r="DC129" s="293"/>
      <c r="DD129" s="293"/>
      <c r="DE129" s="293"/>
      <c r="DF129" s="293"/>
    </row>
    <row r="130" ht="14.25" customHeight="1">
      <c r="A130" s="293"/>
      <c r="B130" s="293"/>
      <c r="C130" s="293"/>
      <c r="D130" s="293"/>
      <c r="E130" s="293"/>
      <c r="F130" s="293"/>
      <c r="G130" s="293"/>
      <c r="H130" s="293"/>
      <c r="I130" s="293"/>
      <c r="J130" s="293"/>
      <c r="K130" s="293"/>
      <c r="L130" s="293"/>
      <c r="M130" s="293"/>
      <c r="N130" s="293"/>
      <c r="O130" s="293"/>
      <c r="P130" s="293"/>
      <c r="Q130" s="293"/>
      <c r="R130" s="293"/>
      <c r="S130" s="293"/>
      <c r="T130" s="293"/>
      <c r="U130" s="293"/>
      <c r="V130" s="293"/>
      <c r="W130" s="293"/>
      <c r="X130" s="293"/>
      <c r="Y130" s="293"/>
      <c r="Z130" s="293"/>
      <c r="AA130" s="293"/>
      <c r="AB130" s="293"/>
      <c r="AC130" s="293"/>
      <c r="AD130" s="293"/>
      <c r="AE130" s="293"/>
      <c r="AF130" s="293"/>
      <c r="AG130" s="293"/>
      <c r="AH130" s="293"/>
      <c r="AI130" s="293"/>
      <c r="AJ130" s="293"/>
      <c r="AK130" s="293"/>
      <c r="AL130" s="293"/>
      <c r="AM130" s="293"/>
      <c r="AN130" s="293"/>
      <c r="AO130" s="293"/>
      <c r="AP130" s="293"/>
      <c r="AQ130" s="293"/>
      <c r="AR130" s="293"/>
      <c r="AS130" s="293"/>
      <c r="AT130" s="293"/>
      <c r="AU130" s="293"/>
      <c r="AV130" s="293"/>
      <c r="AW130" s="293"/>
      <c r="AX130" s="293"/>
      <c r="AY130" s="293"/>
      <c r="AZ130" s="293"/>
      <c r="BA130" s="293"/>
      <c r="BB130" s="293"/>
      <c r="BC130" s="293"/>
      <c r="BD130" s="293"/>
      <c r="BE130" s="293"/>
      <c r="BF130" s="293"/>
      <c r="BG130" s="293"/>
      <c r="BH130" s="293"/>
      <c r="BI130" s="293"/>
      <c r="BJ130" s="293"/>
      <c r="BK130" s="293"/>
      <c r="BL130" s="293"/>
      <c r="BM130" s="293"/>
      <c r="BN130" s="293"/>
      <c r="BO130" s="293"/>
      <c r="BP130" s="293"/>
      <c r="BQ130" s="293"/>
      <c r="BR130" s="293"/>
      <c r="BS130" s="293"/>
      <c r="BT130" s="293"/>
      <c r="BU130" s="293"/>
      <c r="BV130" s="293"/>
      <c r="BW130" s="293"/>
      <c r="BX130" s="293"/>
      <c r="BY130" s="293"/>
      <c r="BZ130" s="293"/>
      <c r="CA130" s="293"/>
      <c r="CB130" s="293"/>
      <c r="CC130" s="293"/>
      <c r="CD130" s="293"/>
      <c r="CE130" s="293"/>
      <c r="CF130" s="293"/>
      <c r="CG130" s="293"/>
      <c r="CH130" s="293"/>
      <c r="CI130" s="293"/>
      <c r="CJ130" s="293"/>
      <c r="CK130" s="293"/>
      <c r="CL130" s="293"/>
      <c r="CM130" s="293"/>
      <c r="CN130" s="293"/>
      <c r="CO130" s="293"/>
      <c r="CP130" s="293"/>
      <c r="CQ130" s="293"/>
      <c r="CR130" s="293"/>
      <c r="CS130" s="293"/>
      <c r="CT130" s="293"/>
      <c r="CU130" s="293"/>
      <c r="CV130" s="293"/>
      <c r="CW130" s="293"/>
      <c r="CX130" s="293"/>
      <c r="CY130" s="293"/>
      <c r="CZ130" s="293"/>
      <c r="DA130" s="293"/>
      <c r="DB130" s="293"/>
      <c r="DC130" s="293"/>
      <c r="DD130" s="293"/>
      <c r="DE130" s="293"/>
      <c r="DF130" s="293"/>
    </row>
    <row r="131" ht="14.25" customHeight="1">
      <c r="A131" s="293"/>
      <c r="B131" s="293"/>
      <c r="C131" s="293"/>
      <c r="D131" s="293"/>
      <c r="E131" s="293"/>
      <c r="F131" s="293"/>
      <c r="G131" s="293"/>
      <c r="H131" s="293"/>
      <c r="I131" s="293"/>
      <c r="J131" s="293"/>
      <c r="K131" s="293"/>
      <c r="L131" s="293"/>
      <c r="M131" s="293"/>
      <c r="N131" s="293"/>
      <c r="O131" s="293"/>
      <c r="P131" s="293"/>
      <c r="Q131" s="293"/>
      <c r="R131" s="293"/>
      <c r="S131" s="293"/>
      <c r="T131" s="293"/>
      <c r="U131" s="293"/>
      <c r="V131" s="293"/>
      <c r="W131" s="293"/>
      <c r="X131" s="293"/>
      <c r="Y131" s="293"/>
      <c r="Z131" s="293"/>
      <c r="AA131" s="293"/>
      <c r="AB131" s="293"/>
      <c r="AC131" s="293"/>
      <c r="AD131" s="293"/>
      <c r="AE131" s="293"/>
      <c r="AF131" s="293"/>
      <c r="AG131" s="293"/>
      <c r="AH131" s="293"/>
      <c r="AI131" s="293"/>
      <c r="AJ131" s="293"/>
      <c r="AK131" s="293"/>
      <c r="AL131" s="293"/>
      <c r="AM131" s="293"/>
      <c r="AN131" s="293"/>
      <c r="AO131" s="293"/>
      <c r="AP131" s="293"/>
      <c r="AQ131" s="293"/>
      <c r="AR131" s="293"/>
      <c r="AS131" s="293"/>
      <c r="AT131" s="293"/>
      <c r="AU131" s="293"/>
      <c r="AV131" s="293"/>
      <c r="AW131" s="293"/>
      <c r="AX131" s="293"/>
      <c r="AY131" s="293"/>
      <c r="AZ131" s="293"/>
      <c r="BA131" s="293"/>
      <c r="BB131" s="293"/>
      <c r="BC131" s="293"/>
      <c r="BD131" s="293"/>
      <c r="BE131" s="293"/>
      <c r="BF131" s="293"/>
      <c r="BG131" s="293"/>
      <c r="BH131" s="293"/>
      <c r="BI131" s="293"/>
      <c r="BJ131" s="293"/>
      <c r="BK131" s="293"/>
      <c r="BL131" s="293"/>
      <c r="BM131" s="293"/>
      <c r="BN131" s="293"/>
      <c r="BO131" s="293"/>
      <c r="BP131" s="293"/>
      <c r="BQ131" s="293"/>
      <c r="BR131" s="293"/>
      <c r="BS131" s="293"/>
      <c r="BT131" s="293"/>
      <c r="BU131" s="293"/>
      <c r="BV131" s="293"/>
      <c r="BW131" s="293"/>
      <c r="BX131" s="293"/>
      <c r="BY131" s="293"/>
      <c r="BZ131" s="293"/>
      <c r="CA131" s="293"/>
      <c r="CB131" s="293"/>
      <c r="CC131" s="293"/>
      <c r="CD131" s="293"/>
      <c r="CE131" s="293"/>
      <c r="CF131" s="293"/>
      <c r="CG131" s="293"/>
      <c r="CH131" s="293"/>
      <c r="CI131" s="293"/>
      <c r="CJ131" s="293"/>
      <c r="CK131" s="293"/>
      <c r="CL131" s="293"/>
      <c r="CM131" s="293"/>
      <c r="CN131" s="293"/>
      <c r="CO131" s="293"/>
      <c r="CP131" s="293"/>
      <c r="CQ131" s="293"/>
      <c r="CR131" s="293"/>
      <c r="CS131" s="293"/>
      <c r="CT131" s="293"/>
      <c r="CU131" s="293"/>
      <c r="CV131" s="293"/>
      <c r="CW131" s="293"/>
      <c r="CX131" s="293"/>
      <c r="CY131" s="293"/>
      <c r="CZ131" s="293"/>
      <c r="DA131" s="293"/>
      <c r="DB131" s="293"/>
      <c r="DC131" s="293"/>
      <c r="DD131" s="293"/>
      <c r="DE131" s="293"/>
      <c r="DF131" s="293"/>
    </row>
    <row r="132" ht="14.25" customHeight="1">
      <c r="A132" s="293"/>
      <c r="B132" s="293"/>
      <c r="C132" s="293"/>
      <c r="D132" s="293"/>
      <c r="E132" s="293"/>
      <c r="F132" s="293"/>
      <c r="G132" s="293"/>
      <c r="H132" s="293"/>
      <c r="I132" s="293"/>
      <c r="J132" s="293"/>
      <c r="K132" s="293"/>
      <c r="L132" s="293"/>
      <c r="M132" s="293"/>
      <c r="N132" s="293"/>
      <c r="O132" s="293"/>
      <c r="P132" s="293"/>
      <c r="Q132" s="293"/>
      <c r="R132" s="293"/>
      <c r="S132" s="293"/>
      <c r="T132" s="293"/>
      <c r="U132" s="293"/>
      <c r="V132" s="293"/>
      <c r="W132" s="293"/>
      <c r="X132" s="293"/>
      <c r="Y132" s="293"/>
      <c r="Z132" s="293"/>
      <c r="AA132" s="293"/>
      <c r="AB132" s="293"/>
      <c r="AC132" s="293"/>
      <c r="AD132" s="293"/>
      <c r="AE132" s="293"/>
      <c r="AF132" s="293"/>
      <c r="AG132" s="293"/>
      <c r="AH132" s="293"/>
      <c r="AI132" s="293"/>
      <c r="AJ132" s="293"/>
      <c r="AK132" s="293"/>
      <c r="AL132" s="293"/>
      <c r="AM132" s="293"/>
      <c r="AN132" s="293"/>
      <c r="AO132" s="293"/>
      <c r="AP132" s="293"/>
      <c r="AQ132" s="293"/>
      <c r="AR132" s="293"/>
      <c r="AS132" s="293"/>
      <c r="AT132" s="293"/>
      <c r="AU132" s="293"/>
      <c r="AV132" s="293"/>
      <c r="AW132" s="293"/>
      <c r="AX132" s="293"/>
      <c r="AY132" s="293"/>
      <c r="AZ132" s="293"/>
      <c r="BA132" s="293"/>
      <c r="BB132" s="293"/>
      <c r="BC132" s="293"/>
      <c r="BD132" s="293"/>
      <c r="BE132" s="293"/>
      <c r="BF132" s="293"/>
      <c r="BG132" s="293"/>
      <c r="BH132" s="293"/>
      <c r="BI132" s="293"/>
      <c r="BJ132" s="293"/>
      <c r="BK132" s="293"/>
      <c r="BL132" s="293"/>
      <c r="BM132" s="293"/>
      <c r="BN132" s="293"/>
      <c r="BO132" s="293"/>
      <c r="BP132" s="293"/>
      <c r="BQ132" s="293"/>
      <c r="BR132" s="293"/>
      <c r="BS132" s="293"/>
      <c r="BT132" s="293"/>
      <c r="BU132" s="293"/>
      <c r="BV132" s="293"/>
      <c r="BW132" s="293"/>
      <c r="BX132" s="293"/>
      <c r="BY132" s="293"/>
      <c r="BZ132" s="293"/>
      <c r="CA132" s="293"/>
      <c r="CB132" s="293"/>
      <c r="CC132" s="293"/>
      <c r="CD132" s="293"/>
      <c r="CE132" s="293"/>
      <c r="CF132" s="293"/>
      <c r="CG132" s="293"/>
      <c r="CH132" s="293"/>
      <c r="CI132" s="293"/>
      <c r="CJ132" s="293"/>
      <c r="CK132" s="293"/>
      <c r="CL132" s="293"/>
      <c r="CM132" s="293"/>
      <c r="CN132" s="293"/>
      <c r="CO132" s="293"/>
      <c r="CP132" s="293"/>
      <c r="CQ132" s="293"/>
      <c r="CR132" s="293"/>
      <c r="CS132" s="293"/>
      <c r="CT132" s="293"/>
      <c r="CU132" s="293"/>
      <c r="CV132" s="293"/>
      <c r="CW132" s="293"/>
      <c r="CX132" s="293"/>
      <c r="CY132" s="293"/>
      <c r="CZ132" s="293"/>
      <c r="DA132" s="293"/>
      <c r="DB132" s="293"/>
      <c r="DC132" s="293"/>
      <c r="DD132" s="293"/>
      <c r="DE132" s="293"/>
      <c r="DF132" s="293"/>
    </row>
    <row r="133" ht="14.25" customHeight="1">
      <c r="A133" s="293"/>
      <c r="B133" s="293"/>
      <c r="C133" s="293"/>
      <c r="D133" s="293"/>
      <c r="E133" s="293"/>
      <c r="F133" s="293"/>
      <c r="G133" s="293"/>
      <c r="H133" s="293"/>
      <c r="I133" s="293"/>
      <c r="J133" s="293"/>
      <c r="K133" s="293"/>
      <c r="L133" s="293"/>
      <c r="M133" s="293"/>
      <c r="N133" s="293"/>
      <c r="O133" s="293"/>
      <c r="P133" s="293"/>
      <c r="Q133" s="293"/>
      <c r="R133" s="293"/>
      <c r="S133" s="293"/>
      <c r="T133" s="293"/>
      <c r="U133" s="293"/>
      <c r="V133" s="293"/>
      <c r="W133" s="293"/>
      <c r="X133" s="293"/>
      <c r="Y133" s="293"/>
      <c r="Z133" s="293"/>
      <c r="AA133" s="293"/>
      <c r="AB133" s="293"/>
      <c r="AC133" s="293"/>
      <c r="AD133" s="293"/>
      <c r="AE133" s="293"/>
      <c r="AF133" s="293"/>
      <c r="AG133" s="293"/>
      <c r="AH133" s="293"/>
      <c r="AI133" s="293"/>
      <c r="AJ133" s="293"/>
      <c r="AK133" s="293"/>
      <c r="AL133" s="293"/>
      <c r="AM133" s="293"/>
      <c r="AN133" s="293"/>
      <c r="AO133" s="293"/>
      <c r="AP133" s="293"/>
      <c r="AQ133" s="293"/>
      <c r="AR133" s="293"/>
      <c r="AS133" s="293"/>
      <c r="AT133" s="293"/>
      <c r="AU133" s="293"/>
      <c r="AV133" s="293"/>
      <c r="AW133" s="293"/>
      <c r="AX133" s="293"/>
      <c r="AY133" s="293"/>
      <c r="AZ133" s="293"/>
      <c r="BA133" s="293"/>
      <c r="BB133" s="293"/>
      <c r="BC133" s="293"/>
      <c r="BD133" s="293"/>
      <c r="BE133" s="293"/>
      <c r="BF133" s="293"/>
      <c r="BG133" s="293"/>
      <c r="BH133" s="293"/>
      <c r="BI133" s="293"/>
      <c r="BJ133" s="293"/>
      <c r="BK133" s="293"/>
      <c r="BL133" s="293"/>
      <c r="BM133" s="293"/>
      <c r="BN133" s="293"/>
      <c r="BO133" s="293"/>
      <c r="BP133" s="293"/>
      <c r="BQ133" s="293"/>
      <c r="BR133" s="293"/>
      <c r="BS133" s="293"/>
      <c r="BT133" s="293"/>
      <c r="BU133" s="293"/>
      <c r="BV133" s="293"/>
      <c r="BW133" s="293"/>
      <c r="BX133" s="293"/>
      <c r="BY133" s="293"/>
      <c r="BZ133" s="293"/>
      <c r="CA133" s="293"/>
      <c r="CB133" s="293"/>
      <c r="CC133" s="293"/>
      <c r="CD133" s="293"/>
      <c r="CE133" s="293"/>
      <c r="CF133" s="293"/>
      <c r="CG133" s="293"/>
      <c r="CH133" s="293"/>
      <c r="CI133" s="293"/>
      <c r="CJ133" s="293"/>
      <c r="CK133" s="293"/>
      <c r="CL133" s="293"/>
      <c r="CM133" s="293"/>
      <c r="CN133" s="293"/>
      <c r="CO133" s="293"/>
      <c r="CP133" s="293"/>
      <c r="CQ133" s="293"/>
      <c r="CR133" s="293"/>
      <c r="CS133" s="293"/>
      <c r="CT133" s="293"/>
      <c r="CU133" s="293"/>
      <c r="CV133" s="293"/>
      <c r="CW133" s="293"/>
      <c r="CX133" s="293"/>
      <c r="CY133" s="293"/>
      <c r="CZ133" s="293"/>
      <c r="DA133" s="293"/>
      <c r="DB133" s="293"/>
      <c r="DC133" s="293"/>
      <c r="DD133" s="293"/>
      <c r="DE133" s="293"/>
      <c r="DF133" s="293"/>
    </row>
    <row r="134" ht="14.25" customHeight="1">
      <c r="A134" s="293"/>
      <c r="B134" s="293"/>
      <c r="C134" s="293"/>
      <c r="D134" s="293"/>
      <c r="E134" s="293"/>
      <c r="F134" s="293"/>
      <c r="G134" s="293"/>
      <c r="H134" s="293"/>
      <c r="I134" s="293"/>
      <c r="J134" s="293"/>
      <c r="K134" s="293"/>
      <c r="L134" s="293"/>
      <c r="M134" s="293"/>
      <c r="N134" s="293"/>
      <c r="O134" s="293"/>
      <c r="P134" s="293"/>
      <c r="Q134" s="293"/>
      <c r="R134" s="293"/>
      <c r="S134" s="293"/>
      <c r="T134" s="293"/>
      <c r="U134" s="293"/>
      <c r="V134" s="293"/>
      <c r="W134" s="293"/>
      <c r="X134" s="293"/>
      <c r="Y134" s="293"/>
      <c r="Z134" s="293"/>
      <c r="AA134" s="293"/>
      <c r="AB134" s="293"/>
      <c r="AC134" s="293"/>
      <c r="AD134" s="293"/>
      <c r="AE134" s="293"/>
      <c r="AF134" s="293"/>
      <c r="AG134" s="293"/>
      <c r="AH134" s="293"/>
      <c r="AI134" s="293"/>
      <c r="AJ134" s="293"/>
      <c r="AK134" s="293"/>
      <c r="AL134" s="293"/>
      <c r="AM134" s="293"/>
      <c r="AN134" s="293"/>
      <c r="AO134" s="293"/>
      <c r="AP134" s="293"/>
      <c r="AQ134" s="293"/>
      <c r="AR134" s="293"/>
      <c r="AS134" s="293"/>
      <c r="AT134" s="293"/>
      <c r="AU134" s="293"/>
      <c r="AV134" s="293"/>
      <c r="AW134" s="293"/>
      <c r="AX134" s="293"/>
      <c r="AY134" s="293"/>
      <c r="AZ134" s="293"/>
      <c r="BA134" s="293"/>
      <c r="BB134" s="293"/>
      <c r="BC134" s="293"/>
      <c r="BD134" s="293"/>
      <c r="BE134" s="293"/>
      <c r="BF134" s="293"/>
      <c r="BG134" s="293"/>
      <c r="BH134" s="293"/>
      <c r="BI134" s="293"/>
      <c r="BJ134" s="293"/>
      <c r="BK134" s="293"/>
      <c r="BL134" s="293"/>
      <c r="BM134" s="293"/>
      <c r="BN134" s="293"/>
      <c r="BO134" s="293"/>
      <c r="BP134" s="293"/>
      <c r="BQ134" s="293"/>
      <c r="BR134" s="293"/>
      <c r="BS134" s="293"/>
      <c r="BT134" s="293"/>
      <c r="BU134" s="293"/>
      <c r="BV134" s="293"/>
      <c r="BW134" s="293"/>
      <c r="BX134" s="293"/>
      <c r="BY134" s="293"/>
      <c r="BZ134" s="293"/>
      <c r="CA134" s="293"/>
      <c r="CB134" s="293"/>
      <c r="CC134" s="293"/>
      <c r="CD134" s="293"/>
      <c r="CE134" s="293"/>
      <c r="CF134" s="293"/>
      <c r="CG134" s="293"/>
      <c r="CH134" s="293"/>
      <c r="CI134" s="293"/>
      <c r="CJ134" s="293"/>
      <c r="CK134" s="293"/>
      <c r="CL134" s="293"/>
      <c r="CM134" s="293"/>
      <c r="CN134" s="293"/>
      <c r="CO134" s="293"/>
      <c r="CP134" s="293"/>
      <c r="CQ134" s="293"/>
      <c r="CR134" s="293"/>
      <c r="CS134" s="293"/>
      <c r="CT134" s="293"/>
      <c r="CU134" s="293"/>
      <c r="CV134" s="293"/>
      <c r="CW134" s="293"/>
      <c r="CX134" s="293"/>
      <c r="CY134" s="293"/>
      <c r="CZ134" s="293"/>
      <c r="DA134" s="293"/>
      <c r="DB134" s="293"/>
      <c r="DC134" s="293"/>
      <c r="DD134" s="293"/>
      <c r="DE134" s="293"/>
      <c r="DF134" s="293"/>
    </row>
    <row r="135" ht="14.25" customHeight="1">
      <c r="A135" s="293"/>
      <c r="B135" s="293"/>
      <c r="C135" s="293"/>
      <c r="D135" s="293"/>
      <c r="E135" s="293"/>
      <c r="F135" s="293"/>
      <c r="G135" s="293"/>
      <c r="H135" s="293"/>
      <c r="I135" s="293"/>
      <c r="J135" s="293"/>
      <c r="K135" s="293"/>
      <c r="L135" s="293"/>
      <c r="M135" s="293"/>
      <c r="N135" s="293"/>
      <c r="O135" s="293"/>
      <c r="P135" s="293"/>
      <c r="Q135" s="293"/>
      <c r="R135" s="293"/>
      <c r="S135" s="293"/>
      <c r="T135" s="293"/>
      <c r="U135" s="293"/>
      <c r="V135" s="293"/>
      <c r="W135" s="293"/>
      <c r="X135" s="293"/>
      <c r="Y135" s="293"/>
      <c r="Z135" s="293"/>
      <c r="AA135" s="293"/>
      <c r="AB135" s="293"/>
      <c r="AC135" s="293"/>
      <c r="AD135" s="293"/>
      <c r="AE135" s="293"/>
      <c r="AF135" s="293"/>
      <c r="AG135" s="293"/>
      <c r="AH135" s="293"/>
      <c r="AI135" s="293"/>
      <c r="AJ135" s="293"/>
      <c r="AK135" s="293"/>
      <c r="AL135" s="293"/>
      <c r="AM135" s="293"/>
      <c r="AN135" s="293"/>
      <c r="AO135" s="293"/>
      <c r="AP135" s="293"/>
      <c r="AQ135" s="293"/>
      <c r="AR135" s="293"/>
      <c r="AS135" s="293"/>
      <c r="AT135" s="293"/>
      <c r="AU135" s="293"/>
      <c r="AV135" s="293"/>
      <c r="AW135" s="293"/>
      <c r="AX135" s="293"/>
      <c r="AY135" s="293"/>
      <c r="AZ135" s="293"/>
      <c r="BA135" s="293"/>
      <c r="BB135" s="293"/>
      <c r="BC135" s="293"/>
      <c r="BD135" s="293"/>
      <c r="BE135" s="293"/>
      <c r="BF135" s="293"/>
      <c r="BG135" s="293"/>
      <c r="BH135" s="293"/>
      <c r="BI135" s="293"/>
      <c r="BJ135" s="293"/>
      <c r="BK135" s="293"/>
      <c r="BL135" s="293"/>
      <c r="BM135" s="293"/>
      <c r="BN135" s="293"/>
      <c r="BO135" s="293"/>
      <c r="BP135" s="293"/>
      <c r="BQ135" s="293"/>
      <c r="BR135" s="293"/>
      <c r="BS135" s="293"/>
      <c r="BT135" s="293"/>
      <c r="BU135" s="293"/>
      <c r="BV135" s="293"/>
      <c r="BW135" s="293"/>
      <c r="BX135" s="293"/>
      <c r="BY135" s="293"/>
      <c r="BZ135" s="293"/>
      <c r="CA135" s="293"/>
      <c r="CB135" s="293"/>
      <c r="CC135" s="293"/>
      <c r="CD135" s="293"/>
      <c r="CE135" s="293"/>
      <c r="CF135" s="293"/>
      <c r="CG135" s="293"/>
      <c r="CH135" s="293"/>
      <c r="CI135" s="293"/>
      <c r="CJ135" s="293"/>
      <c r="CK135" s="293"/>
      <c r="CL135" s="293"/>
      <c r="CM135" s="293"/>
      <c r="CN135" s="293"/>
      <c r="CO135" s="293"/>
      <c r="CP135" s="293"/>
      <c r="CQ135" s="293"/>
      <c r="CR135" s="293"/>
      <c r="CS135" s="293"/>
      <c r="CT135" s="293"/>
      <c r="CU135" s="293"/>
      <c r="CV135" s="293"/>
      <c r="CW135" s="293"/>
      <c r="CX135" s="293"/>
      <c r="CY135" s="293"/>
      <c r="CZ135" s="293"/>
      <c r="DA135" s="293"/>
      <c r="DB135" s="293"/>
      <c r="DC135" s="293"/>
      <c r="DD135" s="293"/>
      <c r="DE135" s="293"/>
      <c r="DF135" s="293"/>
    </row>
    <row r="136" ht="14.25" customHeight="1">
      <c r="A136" s="293"/>
      <c r="B136" s="293"/>
      <c r="C136" s="293"/>
      <c r="D136" s="293"/>
      <c r="E136" s="293"/>
      <c r="F136" s="293"/>
      <c r="G136" s="293"/>
      <c r="H136" s="293"/>
      <c r="I136" s="293"/>
      <c r="J136" s="293"/>
      <c r="K136" s="293"/>
      <c r="L136" s="293"/>
      <c r="M136" s="293"/>
      <c r="N136" s="293"/>
      <c r="O136" s="293"/>
      <c r="P136" s="293"/>
      <c r="Q136" s="293"/>
      <c r="R136" s="293"/>
      <c r="S136" s="293"/>
      <c r="T136" s="293"/>
      <c r="U136" s="293"/>
      <c r="V136" s="293"/>
      <c r="W136" s="293"/>
      <c r="X136" s="293"/>
      <c r="Y136" s="293"/>
      <c r="Z136" s="293"/>
      <c r="AA136" s="293"/>
      <c r="AB136" s="293"/>
      <c r="AC136" s="293"/>
      <c r="AD136" s="293"/>
      <c r="AE136" s="293"/>
      <c r="AF136" s="293"/>
      <c r="AG136" s="293"/>
      <c r="AH136" s="293"/>
      <c r="AI136" s="293"/>
      <c r="AJ136" s="293"/>
      <c r="AK136" s="293"/>
      <c r="AL136" s="293"/>
      <c r="AM136" s="293"/>
      <c r="AN136" s="293"/>
      <c r="AO136" s="293"/>
      <c r="AP136" s="293"/>
      <c r="AQ136" s="293"/>
      <c r="AR136" s="293"/>
      <c r="AS136" s="293"/>
      <c r="AT136" s="293"/>
      <c r="AU136" s="293"/>
      <c r="AV136" s="293"/>
      <c r="AW136" s="293"/>
      <c r="AX136" s="293"/>
      <c r="AY136" s="293"/>
      <c r="AZ136" s="293"/>
      <c r="BA136" s="293"/>
      <c r="BB136" s="293"/>
      <c r="BC136" s="293"/>
      <c r="BD136" s="293"/>
      <c r="BE136" s="293"/>
      <c r="BF136" s="293"/>
      <c r="BG136" s="293"/>
      <c r="BH136" s="293"/>
      <c r="BI136" s="293"/>
      <c r="BJ136" s="293"/>
      <c r="BK136" s="293"/>
      <c r="BL136" s="293"/>
      <c r="BM136" s="293"/>
      <c r="BN136" s="293"/>
      <c r="BO136" s="293"/>
      <c r="BP136" s="293"/>
      <c r="BQ136" s="293"/>
      <c r="BR136" s="293"/>
      <c r="BS136" s="293"/>
      <c r="BT136" s="293"/>
      <c r="BU136" s="293"/>
      <c r="BV136" s="293"/>
      <c r="BW136" s="293"/>
      <c r="BX136" s="293"/>
      <c r="BY136" s="293"/>
      <c r="BZ136" s="293"/>
      <c r="CA136" s="293"/>
      <c r="CB136" s="293"/>
      <c r="CC136" s="293"/>
      <c r="CD136" s="293"/>
      <c r="CE136" s="293"/>
      <c r="CF136" s="293"/>
      <c r="CG136" s="293"/>
      <c r="CH136" s="293"/>
      <c r="CI136" s="293"/>
      <c r="CJ136" s="293"/>
      <c r="CK136" s="293"/>
      <c r="CL136" s="293"/>
      <c r="CM136" s="293"/>
      <c r="CN136" s="293"/>
      <c r="CO136" s="293"/>
      <c r="CP136" s="293"/>
      <c r="CQ136" s="293"/>
      <c r="CR136" s="293"/>
      <c r="CS136" s="293"/>
      <c r="CT136" s="293"/>
      <c r="CU136" s="293"/>
      <c r="CV136" s="293"/>
      <c r="CW136" s="293"/>
      <c r="CX136" s="293"/>
      <c r="CY136" s="293"/>
      <c r="CZ136" s="293"/>
      <c r="DA136" s="293"/>
      <c r="DB136" s="293"/>
      <c r="DC136" s="293"/>
      <c r="DD136" s="293"/>
      <c r="DE136" s="293"/>
      <c r="DF136" s="293"/>
    </row>
    <row r="137" ht="14.25" customHeight="1">
      <c r="A137" s="293"/>
      <c r="B137" s="293"/>
      <c r="C137" s="293"/>
      <c r="D137" s="293"/>
      <c r="E137" s="293"/>
      <c r="F137" s="293"/>
      <c r="G137" s="293"/>
      <c r="H137" s="293"/>
      <c r="I137" s="293"/>
      <c r="J137" s="293"/>
      <c r="K137" s="293"/>
      <c r="L137" s="293"/>
      <c r="M137" s="293"/>
      <c r="N137" s="293"/>
      <c r="O137" s="293"/>
      <c r="P137" s="293"/>
      <c r="Q137" s="293"/>
      <c r="R137" s="293"/>
      <c r="S137" s="293"/>
      <c r="T137" s="293"/>
      <c r="U137" s="293"/>
      <c r="V137" s="293"/>
      <c r="W137" s="293"/>
      <c r="X137" s="293"/>
      <c r="Y137" s="293"/>
      <c r="Z137" s="293"/>
      <c r="AA137" s="293"/>
      <c r="AB137" s="293"/>
      <c r="AC137" s="293"/>
      <c r="AD137" s="293"/>
      <c r="AE137" s="293"/>
      <c r="AF137" s="293"/>
      <c r="AG137" s="293"/>
      <c r="AH137" s="293"/>
      <c r="AI137" s="293"/>
      <c r="AJ137" s="293"/>
      <c r="AK137" s="293"/>
      <c r="AL137" s="293"/>
      <c r="AM137" s="293"/>
      <c r="AN137" s="293"/>
      <c r="AO137" s="293"/>
      <c r="AP137" s="293"/>
      <c r="AQ137" s="293"/>
      <c r="AR137" s="293"/>
      <c r="AS137" s="293"/>
      <c r="AT137" s="293"/>
      <c r="AU137" s="293"/>
      <c r="AV137" s="293"/>
      <c r="AW137" s="293"/>
      <c r="AX137" s="293"/>
      <c r="AY137" s="293"/>
      <c r="AZ137" s="293"/>
      <c r="BA137" s="293"/>
      <c r="BB137" s="293"/>
      <c r="BC137" s="293"/>
      <c r="BD137" s="293"/>
      <c r="BE137" s="293"/>
      <c r="BF137" s="293"/>
      <c r="BG137" s="293"/>
      <c r="BH137" s="293"/>
      <c r="BI137" s="293"/>
      <c r="BJ137" s="293"/>
      <c r="BK137" s="293"/>
      <c r="BL137" s="293"/>
      <c r="BM137" s="293"/>
      <c r="BN137" s="293"/>
      <c r="BO137" s="293"/>
      <c r="BP137" s="293"/>
      <c r="BQ137" s="293"/>
      <c r="BR137" s="293"/>
      <c r="BS137" s="293"/>
      <c r="BT137" s="293"/>
      <c r="BU137" s="293"/>
      <c r="BV137" s="293"/>
      <c r="BW137" s="293"/>
      <c r="BX137" s="293"/>
      <c r="BY137" s="293"/>
      <c r="BZ137" s="293"/>
      <c r="CA137" s="293"/>
      <c r="CB137" s="293"/>
      <c r="CC137" s="293"/>
      <c r="CD137" s="293"/>
      <c r="CE137" s="293"/>
      <c r="CF137" s="293"/>
      <c r="CG137" s="293"/>
      <c r="CH137" s="293"/>
      <c r="CI137" s="293"/>
      <c r="CJ137" s="293"/>
      <c r="CK137" s="293"/>
      <c r="CL137" s="293"/>
      <c r="CM137" s="293"/>
      <c r="CN137" s="293"/>
      <c r="CO137" s="293"/>
      <c r="CP137" s="293"/>
      <c r="CQ137" s="293"/>
      <c r="CR137" s="293"/>
      <c r="CS137" s="293"/>
      <c r="CT137" s="293"/>
      <c r="CU137" s="293"/>
      <c r="CV137" s="293"/>
      <c r="CW137" s="293"/>
      <c r="CX137" s="293"/>
      <c r="CY137" s="293"/>
      <c r="CZ137" s="293"/>
      <c r="DA137" s="293"/>
      <c r="DB137" s="293"/>
      <c r="DC137" s="293"/>
      <c r="DD137" s="293"/>
      <c r="DE137" s="293"/>
      <c r="DF137" s="293"/>
    </row>
    <row r="138" ht="14.25" customHeight="1">
      <c r="A138" s="293"/>
      <c r="B138" s="293"/>
      <c r="C138" s="293"/>
      <c r="D138" s="293"/>
      <c r="E138" s="293"/>
      <c r="F138" s="293"/>
      <c r="G138" s="293"/>
      <c r="H138" s="293"/>
      <c r="I138" s="293"/>
      <c r="J138" s="293"/>
      <c r="K138" s="293"/>
      <c r="L138" s="293"/>
      <c r="M138" s="293"/>
      <c r="N138" s="293"/>
      <c r="O138" s="293"/>
      <c r="P138" s="293"/>
      <c r="Q138" s="293"/>
      <c r="R138" s="293"/>
      <c r="S138" s="293"/>
      <c r="T138" s="293"/>
      <c r="U138" s="293"/>
      <c r="V138" s="293"/>
      <c r="W138" s="293"/>
      <c r="X138" s="293"/>
      <c r="Y138" s="293"/>
      <c r="Z138" s="293"/>
      <c r="AA138" s="293"/>
      <c r="AB138" s="293"/>
      <c r="AC138" s="293"/>
      <c r="AD138" s="293"/>
      <c r="AE138" s="293"/>
      <c r="AF138" s="293"/>
      <c r="AG138" s="293"/>
      <c r="AH138" s="293"/>
      <c r="AI138" s="293"/>
      <c r="AJ138" s="293"/>
      <c r="AK138" s="293"/>
      <c r="AL138" s="293"/>
      <c r="AM138" s="293"/>
      <c r="AN138" s="293"/>
      <c r="AO138" s="293"/>
      <c r="AP138" s="293"/>
      <c r="AQ138" s="293"/>
      <c r="AR138" s="293"/>
      <c r="AS138" s="293"/>
      <c r="AT138" s="293"/>
      <c r="AU138" s="293"/>
      <c r="AV138" s="293"/>
      <c r="AW138" s="293"/>
      <c r="AX138" s="293"/>
      <c r="AY138" s="293"/>
      <c r="AZ138" s="293"/>
      <c r="BA138" s="293"/>
      <c r="BB138" s="293"/>
      <c r="BC138" s="293"/>
      <c r="BD138" s="293"/>
      <c r="BE138" s="293"/>
      <c r="BF138" s="293"/>
      <c r="BG138" s="293"/>
      <c r="BH138" s="293"/>
      <c r="BI138" s="293"/>
      <c r="BJ138" s="293"/>
      <c r="BK138" s="293"/>
      <c r="BL138" s="293"/>
      <c r="BM138" s="293"/>
      <c r="BN138" s="293"/>
      <c r="BO138" s="293"/>
      <c r="BP138" s="293"/>
      <c r="BQ138" s="293"/>
      <c r="BR138" s="293"/>
      <c r="BS138" s="293"/>
      <c r="BT138" s="293"/>
      <c r="BU138" s="293"/>
      <c r="BV138" s="293"/>
      <c r="BW138" s="293"/>
      <c r="BX138" s="293"/>
      <c r="BY138" s="293"/>
      <c r="BZ138" s="293"/>
      <c r="CA138" s="293"/>
      <c r="CB138" s="293"/>
      <c r="CC138" s="293"/>
      <c r="CD138" s="293"/>
      <c r="CE138" s="293"/>
      <c r="CF138" s="293"/>
      <c r="CG138" s="293"/>
      <c r="CH138" s="293"/>
      <c r="CI138" s="293"/>
      <c r="CJ138" s="293"/>
      <c r="CK138" s="293"/>
      <c r="CL138" s="293"/>
      <c r="CM138" s="293"/>
      <c r="CN138" s="293"/>
      <c r="CO138" s="293"/>
      <c r="CP138" s="293"/>
      <c r="CQ138" s="293"/>
      <c r="CR138" s="293"/>
      <c r="CS138" s="293"/>
      <c r="CT138" s="293"/>
      <c r="CU138" s="293"/>
      <c r="CV138" s="293"/>
      <c r="CW138" s="293"/>
      <c r="CX138" s="293"/>
      <c r="CY138" s="293"/>
      <c r="CZ138" s="293"/>
      <c r="DA138" s="293"/>
      <c r="DB138" s="293"/>
      <c r="DC138" s="293"/>
      <c r="DD138" s="293"/>
      <c r="DE138" s="293"/>
      <c r="DF138" s="293"/>
    </row>
    <row r="139" ht="14.25" customHeight="1">
      <c r="A139" s="293"/>
      <c r="B139" s="293"/>
      <c r="C139" s="293"/>
      <c r="D139" s="293"/>
      <c r="E139" s="293"/>
      <c r="F139" s="293"/>
      <c r="G139" s="293"/>
      <c r="H139" s="293"/>
      <c r="I139" s="293"/>
      <c r="J139" s="293"/>
      <c r="K139" s="293"/>
      <c r="L139" s="293"/>
      <c r="M139" s="293"/>
      <c r="N139" s="293"/>
      <c r="O139" s="293"/>
      <c r="P139" s="293"/>
      <c r="Q139" s="293"/>
      <c r="R139" s="293"/>
      <c r="S139" s="293"/>
      <c r="T139" s="293"/>
      <c r="U139" s="293"/>
      <c r="V139" s="293"/>
      <c r="W139" s="293"/>
      <c r="X139" s="293"/>
      <c r="Y139" s="293"/>
      <c r="Z139" s="293"/>
      <c r="AA139" s="293"/>
      <c r="AB139" s="293"/>
      <c r="AC139" s="293"/>
      <c r="AD139" s="293"/>
      <c r="AE139" s="293"/>
      <c r="AF139" s="293"/>
      <c r="AG139" s="293"/>
      <c r="AH139" s="293"/>
      <c r="AI139" s="293"/>
      <c r="AJ139" s="293"/>
      <c r="AK139" s="293"/>
      <c r="AL139" s="293"/>
      <c r="AM139" s="293"/>
      <c r="AN139" s="293"/>
      <c r="AO139" s="293"/>
      <c r="AP139" s="293"/>
      <c r="AQ139" s="293"/>
      <c r="AR139" s="293"/>
      <c r="AS139" s="293"/>
      <c r="AT139" s="293"/>
      <c r="AU139" s="293"/>
      <c r="AV139" s="293"/>
      <c r="AW139" s="293"/>
      <c r="AX139" s="293"/>
      <c r="AY139" s="293"/>
      <c r="AZ139" s="293"/>
      <c r="BA139" s="293"/>
      <c r="BB139" s="293"/>
      <c r="BC139" s="293"/>
      <c r="BD139" s="293"/>
      <c r="BE139" s="293"/>
      <c r="BF139" s="293"/>
      <c r="BG139" s="293"/>
      <c r="BH139" s="293"/>
      <c r="BI139" s="293"/>
      <c r="BJ139" s="293"/>
      <c r="BK139" s="293"/>
      <c r="BL139" s="293"/>
      <c r="BM139" s="293"/>
      <c r="BN139" s="293"/>
      <c r="BO139" s="293"/>
      <c r="BP139" s="293"/>
      <c r="BQ139" s="293"/>
      <c r="BR139" s="293"/>
      <c r="BS139" s="293"/>
      <c r="BT139" s="293"/>
      <c r="BU139" s="293"/>
      <c r="BV139" s="293"/>
      <c r="BW139" s="293"/>
      <c r="BX139" s="293"/>
      <c r="BY139" s="293"/>
      <c r="BZ139" s="293"/>
      <c r="CA139" s="293"/>
      <c r="CB139" s="293"/>
      <c r="CC139" s="293"/>
      <c r="CD139" s="293"/>
      <c r="CE139" s="293"/>
      <c r="CF139" s="293"/>
      <c r="CG139" s="293"/>
      <c r="CH139" s="293"/>
      <c r="CI139" s="293"/>
      <c r="CJ139" s="293"/>
      <c r="CK139" s="293"/>
      <c r="CL139" s="293"/>
      <c r="CM139" s="293"/>
      <c r="CN139" s="293"/>
      <c r="CO139" s="293"/>
      <c r="CP139" s="293"/>
      <c r="CQ139" s="293"/>
      <c r="CR139" s="293"/>
      <c r="CS139" s="293"/>
      <c r="CT139" s="293"/>
      <c r="CU139" s="293"/>
      <c r="CV139" s="293"/>
      <c r="CW139" s="293"/>
      <c r="CX139" s="293"/>
      <c r="CY139" s="293"/>
      <c r="CZ139" s="293"/>
      <c r="DA139" s="293"/>
      <c r="DB139" s="293"/>
      <c r="DC139" s="293"/>
      <c r="DD139" s="293"/>
      <c r="DE139" s="293"/>
      <c r="DF139" s="293"/>
    </row>
    <row r="140" ht="14.25" customHeight="1">
      <c r="A140" s="293"/>
      <c r="B140" s="293"/>
      <c r="C140" s="293"/>
      <c r="D140" s="293"/>
      <c r="E140" s="293"/>
      <c r="F140" s="293"/>
      <c r="G140" s="293"/>
      <c r="H140" s="293"/>
      <c r="I140" s="293"/>
      <c r="J140" s="293"/>
      <c r="K140" s="293"/>
      <c r="L140" s="293"/>
      <c r="M140" s="293"/>
      <c r="N140" s="293"/>
      <c r="O140" s="293"/>
      <c r="P140" s="293"/>
      <c r="Q140" s="293"/>
      <c r="R140" s="293"/>
      <c r="S140" s="293"/>
      <c r="T140" s="293"/>
      <c r="U140" s="293"/>
      <c r="V140" s="293"/>
      <c r="W140" s="293"/>
      <c r="X140" s="293"/>
      <c r="Y140" s="293"/>
      <c r="Z140" s="293"/>
      <c r="AA140" s="293"/>
      <c r="AB140" s="293"/>
      <c r="AC140" s="293"/>
      <c r="AD140" s="293"/>
      <c r="AE140" s="293"/>
      <c r="AF140" s="293"/>
      <c r="AG140" s="293"/>
      <c r="AH140" s="293"/>
      <c r="AI140" s="293"/>
      <c r="AJ140" s="293"/>
      <c r="AK140" s="293"/>
      <c r="AL140" s="293"/>
      <c r="AM140" s="293"/>
      <c r="AN140" s="293"/>
      <c r="AO140" s="293"/>
      <c r="AP140" s="293"/>
      <c r="AQ140" s="293"/>
      <c r="AR140" s="293"/>
      <c r="AS140" s="293"/>
      <c r="AT140" s="293"/>
      <c r="AU140" s="293"/>
      <c r="AV140" s="293"/>
      <c r="AW140" s="293"/>
      <c r="AX140" s="293"/>
      <c r="AY140" s="293"/>
      <c r="AZ140" s="293"/>
      <c r="BA140" s="293"/>
      <c r="BB140" s="293"/>
      <c r="BC140" s="293"/>
      <c r="BD140" s="293"/>
      <c r="BE140" s="293"/>
      <c r="BF140" s="293"/>
      <c r="BG140" s="293"/>
      <c r="BH140" s="293"/>
      <c r="BI140" s="293"/>
      <c r="BJ140" s="293"/>
      <c r="BK140" s="293"/>
      <c r="BL140" s="293"/>
      <c r="BM140" s="293"/>
      <c r="BN140" s="293"/>
      <c r="BO140" s="293"/>
      <c r="BP140" s="293"/>
      <c r="BQ140" s="293"/>
      <c r="BR140" s="293"/>
      <c r="BS140" s="293"/>
      <c r="BT140" s="293"/>
      <c r="BU140" s="293"/>
      <c r="BV140" s="293"/>
      <c r="BW140" s="293"/>
      <c r="BX140" s="293"/>
      <c r="BY140" s="293"/>
      <c r="BZ140" s="293"/>
      <c r="CA140" s="293"/>
      <c r="CB140" s="293"/>
      <c r="CC140" s="293"/>
      <c r="CD140" s="293"/>
      <c r="CE140" s="293"/>
      <c r="CF140" s="293"/>
      <c r="CG140" s="293"/>
      <c r="CH140" s="293"/>
      <c r="CI140" s="293"/>
      <c r="CJ140" s="293"/>
      <c r="CK140" s="293"/>
      <c r="CL140" s="293"/>
      <c r="CM140" s="293"/>
      <c r="CN140" s="293"/>
      <c r="CO140" s="293"/>
      <c r="CP140" s="293"/>
      <c r="CQ140" s="293"/>
      <c r="CR140" s="293"/>
      <c r="CS140" s="293"/>
      <c r="CT140" s="293"/>
      <c r="CU140" s="293"/>
      <c r="CV140" s="293"/>
      <c r="CW140" s="293"/>
      <c r="CX140" s="293"/>
      <c r="CY140" s="293"/>
      <c r="CZ140" s="293"/>
      <c r="DA140" s="293"/>
      <c r="DB140" s="293"/>
      <c r="DC140" s="293"/>
      <c r="DD140" s="293"/>
      <c r="DE140" s="293"/>
      <c r="DF140" s="293"/>
    </row>
    <row r="141" ht="14.25" customHeight="1">
      <c r="A141" s="293"/>
      <c r="B141" s="293"/>
      <c r="C141" s="293"/>
      <c r="D141" s="293"/>
      <c r="E141" s="293"/>
      <c r="F141" s="293"/>
      <c r="G141" s="293"/>
      <c r="H141" s="293"/>
      <c r="I141" s="293"/>
      <c r="J141" s="293"/>
      <c r="K141" s="293"/>
      <c r="L141" s="293"/>
      <c r="M141" s="293"/>
      <c r="N141" s="293"/>
      <c r="O141" s="293"/>
      <c r="P141" s="293"/>
      <c r="Q141" s="293"/>
      <c r="R141" s="293"/>
      <c r="S141" s="293"/>
      <c r="T141" s="293"/>
      <c r="U141" s="293"/>
      <c r="V141" s="293"/>
      <c r="W141" s="293"/>
      <c r="X141" s="293"/>
      <c r="Y141" s="293"/>
      <c r="Z141" s="293"/>
      <c r="AA141" s="293"/>
      <c r="AB141" s="293"/>
      <c r="AC141" s="293"/>
      <c r="AD141" s="293"/>
      <c r="AE141" s="293"/>
      <c r="AF141" s="293"/>
      <c r="AG141" s="293"/>
      <c r="AH141" s="293"/>
      <c r="AI141" s="293"/>
      <c r="AJ141" s="293"/>
      <c r="AK141" s="293"/>
      <c r="AL141" s="293"/>
      <c r="AM141" s="293"/>
      <c r="AN141" s="293"/>
      <c r="AO141" s="293"/>
      <c r="AP141" s="293"/>
      <c r="AQ141" s="293"/>
      <c r="AR141" s="293"/>
      <c r="AS141" s="293"/>
      <c r="AT141" s="293"/>
      <c r="AU141" s="293"/>
      <c r="AV141" s="293"/>
      <c r="AW141" s="293"/>
      <c r="AX141" s="293"/>
      <c r="AY141" s="293"/>
      <c r="AZ141" s="293"/>
      <c r="BA141" s="293"/>
      <c r="BB141" s="293"/>
      <c r="BC141" s="293"/>
      <c r="BD141" s="293"/>
      <c r="BE141" s="293"/>
      <c r="BF141" s="293"/>
      <c r="BG141" s="293"/>
      <c r="BH141" s="293"/>
      <c r="BI141" s="293"/>
      <c r="BJ141" s="293"/>
      <c r="BK141" s="293"/>
      <c r="BL141" s="293"/>
      <c r="BM141" s="293"/>
      <c r="BN141" s="293"/>
      <c r="BO141" s="293"/>
      <c r="BP141" s="293"/>
      <c r="BQ141" s="293"/>
      <c r="BR141" s="293"/>
      <c r="BS141" s="293"/>
      <c r="BT141" s="293"/>
      <c r="BU141" s="293"/>
      <c r="BV141" s="293"/>
      <c r="BW141" s="293"/>
      <c r="BX141" s="293"/>
      <c r="BY141" s="293"/>
      <c r="BZ141" s="293"/>
      <c r="CA141" s="293"/>
      <c r="CB141" s="293"/>
      <c r="CC141" s="293"/>
      <c r="CD141" s="293"/>
      <c r="CE141" s="293"/>
      <c r="CF141" s="293"/>
      <c r="CG141" s="293"/>
      <c r="CH141" s="293"/>
      <c r="CI141" s="293"/>
      <c r="CJ141" s="293"/>
      <c r="CK141" s="293"/>
      <c r="CL141" s="293"/>
      <c r="CM141" s="293"/>
      <c r="CN141" s="293"/>
      <c r="CO141" s="293"/>
      <c r="CP141" s="293"/>
      <c r="CQ141" s="293"/>
      <c r="CR141" s="293"/>
      <c r="CS141" s="293"/>
      <c r="CT141" s="293"/>
      <c r="CU141" s="293"/>
      <c r="CV141" s="293"/>
      <c r="CW141" s="293"/>
      <c r="CX141" s="293"/>
      <c r="CY141" s="293"/>
      <c r="CZ141" s="293"/>
      <c r="DA141" s="293"/>
      <c r="DB141" s="293"/>
      <c r="DC141" s="293"/>
      <c r="DD141" s="293"/>
      <c r="DE141" s="293"/>
      <c r="DF141" s="293"/>
    </row>
    <row r="142" ht="14.25" customHeight="1">
      <c r="A142" s="293"/>
      <c r="B142" s="293"/>
      <c r="C142" s="293"/>
      <c r="D142" s="293"/>
      <c r="E142" s="293"/>
      <c r="F142" s="293"/>
      <c r="G142" s="293"/>
      <c r="H142" s="293"/>
      <c r="I142" s="293"/>
      <c r="J142" s="293"/>
      <c r="K142" s="293"/>
      <c r="L142" s="293"/>
      <c r="M142" s="293"/>
      <c r="N142" s="293"/>
      <c r="O142" s="293"/>
      <c r="P142" s="293"/>
      <c r="Q142" s="293"/>
      <c r="R142" s="293"/>
      <c r="S142" s="293"/>
      <c r="T142" s="293"/>
      <c r="U142" s="293"/>
      <c r="V142" s="293"/>
      <c r="W142" s="293"/>
      <c r="X142" s="293"/>
      <c r="Y142" s="293"/>
      <c r="Z142" s="293"/>
      <c r="AA142" s="293"/>
      <c r="AB142" s="293"/>
      <c r="AC142" s="293"/>
      <c r="AD142" s="293"/>
      <c r="AE142" s="293"/>
      <c r="AF142" s="293"/>
      <c r="AG142" s="293"/>
      <c r="AH142" s="293"/>
      <c r="AI142" s="293"/>
      <c r="AJ142" s="293"/>
      <c r="AK142" s="293"/>
      <c r="AL142" s="293"/>
      <c r="AM142" s="293"/>
      <c r="AN142" s="293"/>
      <c r="AO142" s="293"/>
      <c r="AP142" s="293"/>
      <c r="AQ142" s="293"/>
      <c r="AR142" s="293"/>
      <c r="AS142" s="293"/>
      <c r="AT142" s="293"/>
      <c r="AU142" s="293"/>
      <c r="AV142" s="293"/>
      <c r="AW142" s="293"/>
      <c r="AX142" s="293"/>
      <c r="AY142" s="293"/>
      <c r="AZ142" s="293"/>
      <c r="BA142" s="293"/>
      <c r="BB142" s="293"/>
      <c r="BC142" s="293"/>
      <c r="BD142" s="293"/>
      <c r="BE142" s="293"/>
      <c r="BF142" s="293"/>
      <c r="BG142" s="293"/>
      <c r="BH142" s="293"/>
      <c r="BI142" s="293"/>
      <c r="BJ142" s="293"/>
      <c r="BK142" s="293"/>
      <c r="BL142" s="293"/>
      <c r="BM142" s="293"/>
      <c r="BN142" s="293"/>
      <c r="BO142" s="293"/>
      <c r="BP142" s="293"/>
      <c r="BQ142" s="293"/>
      <c r="BR142" s="293"/>
      <c r="BS142" s="293"/>
      <c r="BT142" s="293"/>
      <c r="BU142" s="293"/>
      <c r="BV142" s="293"/>
      <c r="BW142" s="293"/>
      <c r="BX142" s="293"/>
      <c r="BY142" s="293"/>
      <c r="BZ142" s="293"/>
      <c r="CA142" s="293"/>
      <c r="CB142" s="293"/>
      <c r="CC142" s="293"/>
      <c r="CD142" s="293"/>
      <c r="CE142" s="293"/>
      <c r="CF142" s="293"/>
      <c r="CG142" s="293"/>
      <c r="CH142" s="293"/>
      <c r="CI142" s="293"/>
      <c r="CJ142" s="293"/>
      <c r="CK142" s="293"/>
      <c r="CL142" s="293"/>
      <c r="CM142" s="293"/>
      <c r="CN142" s="293"/>
      <c r="CO142" s="293"/>
      <c r="CP142" s="293"/>
      <c r="CQ142" s="293"/>
      <c r="CR142" s="293"/>
      <c r="CS142" s="293"/>
      <c r="CT142" s="293"/>
      <c r="CU142" s="293"/>
      <c r="CV142" s="293"/>
      <c r="CW142" s="293"/>
      <c r="CX142" s="293"/>
      <c r="CY142" s="293"/>
      <c r="CZ142" s="293"/>
      <c r="DA142" s="293"/>
      <c r="DB142" s="293"/>
      <c r="DC142" s="293"/>
      <c r="DD142" s="293"/>
      <c r="DE142" s="293"/>
      <c r="DF142" s="293"/>
    </row>
    <row r="143" ht="14.25" customHeight="1">
      <c r="A143" s="293"/>
      <c r="B143" s="293"/>
      <c r="C143" s="293"/>
      <c r="D143" s="293"/>
      <c r="E143" s="293"/>
      <c r="F143" s="293"/>
      <c r="G143" s="293"/>
      <c r="H143" s="293"/>
      <c r="I143" s="293"/>
      <c r="J143" s="293"/>
      <c r="K143" s="293"/>
      <c r="L143" s="293"/>
      <c r="M143" s="293"/>
      <c r="N143" s="293"/>
      <c r="O143" s="293"/>
      <c r="P143" s="293"/>
      <c r="Q143" s="293"/>
      <c r="R143" s="293"/>
      <c r="S143" s="293"/>
      <c r="T143" s="293"/>
      <c r="U143" s="293"/>
      <c r="V143" s="293"/>
      <c r="W143" s="293"/>
      <c r="X143" s="293"/>
      <c r="Y143" s="293"/>
      <c r="Z143" s="293"/>
      <c r="AA143" s="293"/>
      <c r="AB143" s="293"/>
      <c r="AC143" s="293"/>
      <c r="AD143" s="293"/>
      <c r="AE143" s="293"/>
      <c r="AF143" s="293"/>
      <c r="AG143" s="293"/>
      <c r="AH143" s="293"/>
      <c r="AI143" s="293"/>
      <c r="AJ143" s="293"/>
      <c r="AK143" s="293"/>
      <c r="AL143" s="293"/>
      <c r="AM143" s="293"/>
      <c r="AN143" s="293"/>
      <c r="AO143" s="293"/>
      <c r="AP143" s="293"/>
      <c r="AQ143" s="293"/>
      <c r="AR143" s="293"/>
      <c r="AS143" s="293"/>
      <c r="AT143" s="293"/>
      <c r="AU143" s="293"/>
      <c r="AV143" s="293"/>
      <c r="AW143" s="293"/>
      <c r="AX143" s="293"/>
      <c r="AY143" s="293"/>
      <c r="AZ143" s="293"/>
      <c r="BA143" s="293"/>
      <c r="BB143" s="293"/>
      <c r="BC143" s="293"/>
      <c r="BD143" s="293"/>
      <c r="BE143" s="293"/>
      <c r="BF143" s="293"/>
      <c r="BG143" s="293"/>
      <c r="BH143" s="293"/>
      <c r="BI143" s="293"/>
      <c r="BJ143" s="293"/>
      <c r="BK143" s="293"/>
      <c r="BL143" s="293"/>
      <c r="BM143" s="293"/>
      <c r="BN143" s="293"/>
      <c r="BO143" s="293"/>
      <c r="BP143" s="293"/>
      <c r="BQ143" s="293"/>
      <c r="BR143" s="293"/>
      <c r="BS143" s="293"/>
      <c r="BT143" s="293"/>
      <c r="BU143" s="293"/>
      <c r="BV143" s="293"/>
      <c r="BW143" s="293"/>
      <c r="BX143" s="293"/>
      <c r="BY143" s="293"/>
      <c r="BZ143" s="293"/>
      <c r="CA143" s="293"/>
      <c r="CB143" s="293"/>
      <c r="CC143" s="293"/>
      <c r="CD143" s="293"/>
      <c r="CE143" s="293"/>
      <c r="CF143" s="293"/>
      <c r="CG143" s="293"/>
      <c r="CH143" s="293"/>
      <c r="CI143" s="293"/>
      <c r="CJ143" s="293"/>
      <c r="CK143" s="293"/>
      <c r="CL143" s="293"/>
      <c r="CM143" s="293"/>
      <c r="CN143" s="293"/>
      <c r="CO143" s="293"/>
      <c r="CP143" s="293"/>
      <c r="CQ143" s="293"/>
      <c r="CR143" s="293"/>
      <c r="CS143" s="293"/>
      <c r="CT143" s="293"/>
      <c r="CU143" s="293"/>
      <c r="CV143" s="293"/>
      <c r="CW143" s="293"/>
      <c r="CX143" s="293"/>
      <c r="CY143" s="293"/>
      <c r="CZ143" s="293"/>
      <c r="DA143" s="293"/>
      <c r="DB143" s="293"/>
      <c r="DC143" s="293"/>
      <c r="DD143" s="293"/>
      <c r="DE143" s="293"/>
      <c r="DF143" s="293"/>
    </row>
    <row r="144" ht="14.25" customHeight="1">
      <c r="A144" s="293"/>
      <c r="B144" s="293"/>
      <c r="C144" s="293"/>
      <c r="D144" s="293"/>
      <c r="E144" s="293"/>
      <c r="F144" s="293"/>
      <c r="G144" s="293"/>
      <c r="H144" s="293"/>
      <c r="I144" s="293"/>
      <c r="J144" s="293"/>
      <c r="K144" s="293"/>
      <c r="L144" s="293"/>
      <c r="M144" s="293"/>
      <c r="N144" s="293"/>
      <c r="O144" s="293"/>
      <c r="P144" s="293"/>
      <c r="Q144" s="293"/>
      <c r="R144" s="293"/>
      <c r="S144" s="293"/>
      <c r="T144" s="293"/>
      <c r="U144" s="293"/>
      <c r="V144" s="293"/>
      <c r="W144" s="293"/>
      <c r="X144" s="293"/>
      <c r="Y144" s="293"/>
      <c r="Z144" s="293"/>
      <c r="AA144" s="293"/>
      <c r="AB144" s="293"/>
      <c r="AC144" s="293"/>
      <c r="AD144" s="293"/>
      <c r="AE144" s="293"/>
      <c r="AF144" s="293"/>
      <c r="AG144" s="293"/>
      <c r="AH144" s="293"/>
      <c r="AI144" s="293"/>
      <c r="AJ144" s="293"/>
      <c r="AK144" s="293"/>
      <c r="AL144" s="293"/>
      <c r="AM144" s="293"/>
      <c r="AN144" s="293"/>
      <c r="AO144" s="293"/>
      <c r="AP144" s="293"/>
      <c r="AQ144" s="293"/>
      <c r="AR144" s="293"/>
      <c r="AS144" s="293"/>
      <c r="AT144" s="293"/>
      <c r="AU144" s="293"/>
      <c r="AV144" s="293"/>
      <c r="AW144" s="293"/>
      <c r="AX144" s="293"/>
      <c r="AY144" s="293"/>
      <c r="AZ144" s="293"/>
      <c r="BA144" s="293"/>
      <c r="BB144" s="293"/>
      <c r="BC144" s="293"/>
      <c r="BD144" s="293"/>
      <c r="BE144" s="293"/>
      <c r="BF144" s="293"/>
      <c r="BG144" s="293"/>
      <c r="BH144" s="293"/>
      <c r="BI144" s="293"/>
      <c r="BJ144" s="293"/>
      <c r="BK144" s="293"/>
      <c r="BL144" s="293"/>
      <c r="BM144" s="293"/>
      <c r="BN144" s="293"/>
      <c r="BO144" s="293"/>
      <c r="BP144" s="293"/>
      <c r="BQ144" s="293"/>
      <c r="BR144" s="293"/>
      <c r="BS144" s="293"/>
      <c r="BT144" s="293"/>
      <c r="BU144" s="293"/>
      <c r="BV144" s="293"/>
      <c r="BW144" s="293"/>
      <c r="BX144" s="293"/>
      <c r="BY144" s="293"/>
      <c r="BZ144" s="293"/>
      <c r="CA144" s="293"/>
      <c r="CB144" s="293"/>
      <c r="CC144" s="293"/>
      <c r="CD144" s="293"/>
      <c r="CE144" s="293"/>
      <c r="CF144" s="293"/>
      <c r="CG144" s="293"/>
      <c r="CH144" s="293"/>
      <c r="CI144" s="293"/>
      <c r="CJ144" s="293"/>
      <c r="CK144" s="293"/>
      <c r="CL144" s="293"/>
      <c r="CM144" s="293"/>
      <c r="CN144" s="293"/>
      <c r="CO144" s="293"/>
      <c r="CP144" s="293"/>
      <c r="CQ144" s="293"/>
      <c r="CR144" s="293"/>
      <c r="CS144" s="293"/>
      <c r="CT144" s="293"/>
      <c r="CU144" s="293"/>
      <c r="CV144" s="293"/>
      <c r="CW144" s="293"/>
      <c r="CX144" s="293"/>
      <c r="CY144" s="293"/>
      <c r="CZ144" s="293"/>
      <c r="DA144" s="293"/>
      <c r="DB144" s="293"/>
      <c r="DC144" s="293"/>
      <c r="DD144" s="293"/>
      <c r="DE144" s="293"/>
      <c r="DF144" s="293"/>
    </row>
    <row r="145" ht="14.25" customHeight="1">
      <c r="A145" s="293"/>
      <c r="B145" s="293"/>
      <c r="C145" s="293"/>
      <c r="D145" s="293"/>
      <c r="E145" s="293"/>
      <c r="F145" s="293"/>
      <c r="G145" s="293"/>
      <c r="H145" s="293"/>
      <c r="I145" s="293"/>
      <c r="J145" s="293"/>
      <c r="K145" s="293"/>
      <c r="L145" s="293"/>
      <c r="M145" s="293"/>
      <c r="N145" s="293"/>
      <c r="O145" s="293"/>
      <c r="P145" s="293"/>
      <c r="Q145" s="293"/>
      <c r="R145" s="293"/>
      <c r="S145" s="293"/>
      <c r="T145" s="293"/>
      <c r="U145" s="293"/>
      <c r="V145" s="293"/>
      <c r="W145" s="293"/>
      <c r="X145" s="293"/>
      <c r="Y145" s="293"/>
      <c r="Z145" s="293"/>
      <c r="AA145" s="293"/>
      <c r="AB145" s="293"/>
      <c r="AC145" s="293"/>
      <c r="AD145" s="293"/>
      <c r="AE145" s="293"/>
      <c r="AF145" s="293"/>
      <c r="AG145" s="293"/>
      <c r="AH145" s="293"/>
      <c r="AI145" s="293"/>
      <c r="AJ145" s="293"/>
      <c r="AK145" s="293"/>
      <c r="AL145" s="293"/>
      <c r="AM145" s="293"/>
      <c r="AN145" s="293"/>
      <c r="AO145" s="293"/>
      <c r="AP145" s="293"/>
      <c r="AQ145" s="293"/>
      <c r="AR145" s="293"/>
      <c r="AS145" s="293"/>
      <c r="AT145" s="293"/>
      <c r="AU145" s="293"/>
      <c r="AV145" s="293"/>
      <c r="AW145" s="293"/>
      <c r="AX145" s="293"/>
      <c r="AY145" s="293"/>
      <c r="AZ145" s="293"/>
      <c r="BA145" s="293"/>
      <c r="BB145" s="293"/>
      <c r="BC145" s="293"/>
      <c r="BD145" s="293"/>
      <c r="BE145" s="293"/>
      <c r="BF145" s="293"/>
      <c r="BG145" s="293"/>
      <c r="BH145" s="293"/>
      <c r="BI145" s="293"/>
      <c r="BJ145" s="293"/>
      <c r="BK145" s="293"/>
      <c r="BL145" s="293"/>
      <c r="BM145" s="293"/>
      <c r="BN145" s="293"/>
      <c r="BO145" s="293"/>
      <c r="BP145" s="293"/>
      <c r="BQ145" s="293"/>
      <c r="BR145" s="293"/>
      <c r="BS145" s="293"/>
      <c r="BT145" s="293"/>
      <c r="BU145" s="293"/>
      <c r="BV145" s="293"/>
      <c r="BW145" s="293"/>
      <c r="BX145" s="293"/>
      <c r="BY145" s="293"/>
      <c r="BZ145" s="293"/>
      <c r="CA145" s="293"/>
      <c r="CB145" s="293"/>
      <c r="CC145" s="293"/>
      <c r="CD145" s="293"/>
      <c r="CE145" s="293"/>
      <c r="CF145" s="293"/>
      <c r="CG145" s="293"/>
      <c r="CH145" s="293"/>
      <c r="CI145" s="293"/>
      <c r="CJ145" s="293"/>
      <c r="CK145" s="293"/>
      <c r="CL145" s="293"/>
      <c r="CM145" s="293"/>
      <c r="CN145" s="293"/>
      <c r="CO145" s="293"/>
      <c r="CP145" s="293"/>
      <c r="CQ145" s="293"/>
      <c r="CR145" s="293"/>
      <c r="CS145" s="293"/>
      <c r="CT145" s="293"/>
      <c r="CU145" s="293"/>
      <c r="CV145" s="293"/>
      <c r="CW145" s="293"/>
      <c r="CX145" s="293"/>
      <c r="CY145" s="293"/>
      <c r="CZ145" s="293"/>
      <c r="DA145" s="293"/>
      <c r="DB145" s="293"/>
      <c r="DC145" s="293"/>
      <c r="DD145" s="293"/>
      <c r="DE145" s="293"/>
      <c r="DF145" s="293"/>
    </row>
    <row r="146" ht="14.25" customHeight="1">
      <c r="A146" s="293"/>
      <c r="B146" s="293"/>
      <c r="C146" s="293"/>
      <c r="D146" s="293"/>
      <c r="E146" s="293"/>
      <c r="F146" s="293"/>
      <c r="G146" s="293"/>
      <c r="H146" s="293"/>
      <c r="I146" s="293"/>
      <c r="J146" s="293"/>
      <c r="K146" s="293"/>
      <c r="L146" s="293"/>
      <c r="M146" s="293"/>
      <c r="N146" s="293"/>
      <c r="O146" s="293"/>
      <c r="P146" s="293"/>
      <c r="Q146" s="293"/>
      <c r="R146" s="293"/>
      <c r="S146" s="293"/>
      <c r="T146" s="293"/>
      <c r="U146" s="293"/>
      <c r="V146" s="293"/>
      <c r="W146" s="293"/>
      <c r="X146" s="293"/>
      <c r="Y146" s="293"/>
      <c r="Z146" s="293"/>
      <c r="AA146" s="293"/>
      <c r="AB146" s="293"/>
      <c r="AC146" s="293"/>
      <c r="AD146" s="293"/>
      <c r="AE146" s="293"/>
      <c r="AF146" s="293"/>
      <c r="AG146" s="293"/>
      <c r="AH146" s="293"/>
      <c r="AI146" s="293"/>
      <c r="AJ146" s="293"/>
      <c r="AK146" s="293"/>
      <c r="AL146" s="293"/>
      <c r="AM146" s="293"/>
      <c r="AN146" s="293"/>
      <c r="AO146" s="293"/>
      <c r="AP146" s="293"/>
      <c r="AQ146" s="293"/>
      <c r="AR146" s="293"/>
      <c r="AS146" s="293"/>
      <c r="AT146" s="293"/>
      <c r="AU146" s="293"/>
      <c r="AV146" s="293"/>
      <c r="AW146" s="293"/>
      <c r="AX146" s="293"/>
      <c r="AY146" s="293"/>
      <c r="AZ146" s="293"/>
      <c r="BA146" s="293"/>
      <c r="BB146" s="293"/>
      <c r="BC146" s="293"/>
      <c r="BD146" s="293"/>
      <c r="BE146" s="293"/>
      <c r="BF146" s="293"/>
      <c r="BG146" s="293"/>
      <c r="BH146" s="293"/>
      <c r="BI146" s="293"/>
      <c r="BJ146" s="293"/>
      <c r="BK146" s="293"/>
      <c r="BL146" s="293"/>
      <c r="BM146" s="293"/>
      <c r="BN146" s="293"/>
      <c r="BO146" s="293"/>
      <c r="BP146" s="293"/>
      <c r="BQ146" s="293"/>
      <c r="BR146" s="293"/>
      <c r="BS146" s="293"/>
      <c r="BT146" s="293"/>
      <c r="BU146" s="293"/>
      <c r="BV146" s="293"/>
      <c r="BW146" s="293"/>
      <c r="BX146" s="293"/>
      <c r="BY146" s="293"/>
      <c r="BZ146" s="293"/>
      <c r="CA146" s="293"/>
      <c r="CB146" s="293"/>
      <c r="CC146" s="293"/>
      <c r="CD146" s="293"/>
      <c r="CE146" s="293"/>
      <c r="CF146" s="293"/>
      <c r="CG146" s="293"/>
      <c r="CH146" s="293"/>
      <c r="CI146" s="293"/>
      <c r="CJ146" s="293"/>
      <c r="CK146" s="293"/>
      <c r="CL146" s="293"/>
      <c r="CM146" s="293"/>
      <c r="CN146" s="293"/>
      <c r="CO146" s="293"/>
      <c r="CP146" s="293"/>
      <c r="CQ146" s="293"/>
      <c r="CR146" s="293"/>
      <c r="CS146" s="293"/>
      <c r="CT146" s="293"/>
      <c r="CU146" s="293"/>
      <c r="CV146" s="293"/>
      <c r="CW146" s="293"/>
      <c r="CX146" s="293"/>
      <c r="CY146" s="293"/>
      <c r="CZ146" s="293"/>
      <c r="DA146" s="293"/>
      <c r="DB146" s="293"/>
      <c r="DC146" s="293"/>
      <c r="DD146" s="293"/>
      <c r="DE146" s="293"/>
      <c r="DF146" s="293"/>
    </row>
    <row r="147" ht="14.25" customHeight="1">
      <c r="A147" s="293"/>
      <c r="B147" s="293"/>
      <c r="C147" s="293"/>
      <c r="D147" s="293"/>
      <c r="E147" s="293"/>
      <c r="F147" s="293"/>
      <c r="G147" s="293"/>
      <c r="H147" s="293"/>
      <c r="I147" s="293"/>
      <c r="J147" s="293"/>
      <c r="K147" s="293"/>
      <c r="L147" s="293"/>
      <c r="M147" s="293"/>
      <c r="N147" s="293"/>
      <c r="O147" s="293"/>
      <c r="P147" s="293"/>
      <c r="Q147" s="293"/>
      <c r="R147" s="293"/>
      <c r="S147" s="293"/>
      <c r="T147" s="293"/>
      <c r="U147" s="293"/>
      <c r="V147" s="293"/>
      <c r="W147" s="293"/>
      <c r="X147" s="293"/>
      <c r="Y147" s="293"/>
      <c r="Z147" s="293"/>
      <c r="AA147" s="293"/>
      <c r="AB147" s="293"/>
      <c r="AC147" s="293"/>
      <c r="AD147" s="293"/>
      <c r="AE147" s="293"/>
      <c r="AF147" s="293"/>
      <c r="AG147" s="293"/>
      <c r="AH147" s="293"/>
      <c r="AI147" s="293"/>
      <c r="AJ147" s="293"/>
      <c r="AK147" s="293"/>
      <c r="AL147" s="293"/>
      <c r="AM147" s="293"/>
      <c r="AN147" s="293"/>
      <c r="AO147" s="293"/>
      <c r="AP147" s="293"/>
      <c r="AQ147" s="293"/>
      <c r="AR147" s="293"/>
      <c r="AS147" s="293"/>
      <c r="AT147" s="293"/>
      <c r="AU147" s="293"/>
      <c r="AV147" s="293"/>
      <c r="AW147" s="293"/>
      <c r="AX147" s="293"/>
      <c r="AY147" s="293"/>
      <c r="AZ147" s="293"/>
      <c r="BA147" s="293"/>
      <c r="BB147" s="293"/>
      <c r="BC147" s="293"/>
      <c r="BD147" s="293"/>
      <c r="BE147" s="293"/>
      <c r="BF147" s="293"/>
      <c r="BG147" s="293"/>
      <c r="BH147" s="293"/>
      <c r="BI147" s="293"/>
      <c r="BJ147" s="293"/>
      <c r="BK147" s="293"/>
      <c r="BL147" s="293"/>
      <c r="BM147" s="293"/>
      <c r="BN147" s="293"/>
      <c r="BO147" s="293"/>
      <c r="BP147" s="293"/>
      <c r="BQ147" s="293"/>
      <c r="BR147" s="293"/>
      <c r="BS147" s="293"/>
      <c r="BT147" s="293"/>
      <c r="BU147" s="293"/>
      <c r="BV147" s="293"/>
      <c r="BW147" s="293"/>
      <c r="BX147" s="293"/>
      <c r="BY147" s="293"/>
      <c r="BZ147" s="293"/>
      <c r="CA147" s="293"/>
      <c r="CB147" s="293"/>
      <c r="CC147" s="293"/>
      <c r="CD147" s="293"/>
      <c r="CE147" s="293"/>
      <c r="CF147" s="293"/>
      <c r="CG147" s="293"/>
      <c r="CH147" s="293"/>
      <c r="CI147" s="293"/>
      <c r="CJ147" s="293"/>
      <c r="CK147" s="293"/>
      <c r="CL147" s="293"/>
      <c r="CM147" s="293"/>
      <c r="CN147" s="293"/>
      <c r="CO147" s="293"/>
      <c r="CP147" s="293"/>
      <c r="CQ147" s="293"/>
      <c r="CR147" s="293"/>
      <c r="CS147" s="293"/>
      <c r="CT147" s="293"/>
      <c r="CU147" s="293"/>
      <c r="CV147" s="293"/>
      <c r="CW147" s="293"/>
      <c r="CX147" s="293"/>
      <c r="CY147" s="293"/>
      <c r="CZ147" s="293"/>
      <c r="DA147" s="293"/>
      <c r="DB147" s="293"/>
      <c r="DC147" s="293"/>
      <c r="DD147" s="293"/>
      <c r="DE147" s="293"/>
      <c r="DF147" s="293"/>
    </row>
    <row r="148" ht="14.25" customHeight="1">
      <c r="A148" s="293"/>
      <c r="B148" s="293"/>
      <c r="C148" s="293"/>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3"/>
      <c r="AR148" s="293"/>
      <c r="AS148" s="293"/>
      <c r="AT148" s="293"/>
      <c r="AU148" s="293"/>
      <c r="AV148" s="293"/>
      <c r="AW148" s="293"/>
      <c r="AX148" s="293"/>
      <c r="AY148" s="293"/>
      <c r="AZ148" s="293"/>
      <c r="BA148" s="293"/>
      <c r="BB148" s="293"/>
      <c r="BC148" s="293"/>
      <c r="BD148" s="293"/>
      <c r="BE148" s="293"/>
      <c r="BF148" s="293"/>
      <c r="BG148" s="293"/>
      <c r="BH148" s="293"/>
      <c r="BI148" s="293"/>
      <c r="BJ148" s="293"/>
      <c r="BK148" s="293"/>
      <c r="BL148" s="293"/>
      <c r="BM148" s="293"/>
      <c r="BN148" s="293"/>
      <c r="BO148" s="293"/>
      <c r="BP148" s="293"/>
      <c r="BQ148" s="293"/>
      <c r="BR148" s="293"/>
      <c r="BS148" s="293"/>
      <c r="BT148" s="293"/>
      <c r="BU148" s="293"/>
      <c r="BV148" s="293"/>
      <c r="BW148" s="293"/>
      <c r="BX148" s="293"/>
      <c r="BY148" s="293"/>
      <c r="BZ148" s="293"/>
      <c r="CA148" s="293"/>
      <c r="CB148" s="293"/>
      <c r="CC148" s="293"/>
      <c r="CD148" s="293"/>
      <c r="CE148" s="293"/>
      <c r="CF148" s="293"/>
      <c r="CG148" s="293"/>
      <c r="CH148" s="293"/>
      <c r="CI148" s="293"/>
      <c r="CJ148" s="293"/>
      <c r="CK148" s="293"/>
      <c r="CL148" s="293"/>
      <c r="CM148" s="293"/>
      <c r="CN148" s="293"/>
      <c r="CO148" s="293"/>
      <c r="CP148" s="293"/>
      <c r="CQ148" s="293"/>
      <c r="CR148" s="293"/>
      <c r="CS148" s="293"/>
      <c r="CT148" s="293"/>
      <c r="CU148" s="293"/>
      <c r="CV148" s="293"/>
      <c r="CW148" s="293"/>
      <c r="CX148" s="293"/>
      <c r="CY148" s="293"/>
      <c r="CZ148" s="293"/>
      <c r="DA148" s="293"/>
      <c r="DB148" s="293"/>
      <c r="DC148" s="293"/>
      <c r="DD148" s="293"/>
      <c r="DE148" s="293"/>
      <c r="DF148" s="293"/>
    </row>
    <row r="149" ht="14.25" customHeight="1">
      <c r="A149" s="293"/>
      <c r="B149" s="293"/>
      <c r="C149" s="293"/>
      <c r="D149" s="293"/>
      <c r="E149" s="293"/>
      <c r="F149" s="293"/>
      <c r="G149" s="293"/>
      <c r="H149" s="293"/>
      <c r="I149" s="293"/>
      <c r="J149" s="293"/>
      <c r="K149" s="293"/>
      <c r="L149" s="293"/>
      <c r="M149" s="293"/>
      <c r="N149" s="293"/>
      <c r="O149" s="293"/>
      <c r="P149" s="293"/>
      <c r="Q149" s="293"/>
      <c r="R149" s="293"/>
      <c r="S149" s="293"/>
      <c r="T149" s="293"/>
      <c r="U149" s="293"/>
      <c r="V149" s="293"/>
      <c r="W149" s="293"/>
      <c r="X149" s="293"/>
      <c r="Y149" s="293"/>
      <c r="Z149" s="293"/>
      <c r="AA149" s="293"/>
      <c r="AB149" s="293"/>
      <c r="AC149" s="293"/>
      <c r="AD149" s="293"/>
      <c r="AE149" s="293"/>
      <c r="AF149" s="293"/>
      <c r="AG149" s="293"/>
      <c r="AH149" s="293"/>
      <c r="AI149" s="293"/>
      <c r="AJ149" s="293"/>
      <c r="AK149" s="293"/>
      <c r="AL149" s="293"/>
      <c r="AM149" s="293"/>
      <c r="AN149" s="293"/>
      <c r="AO149" s="293"/>
      <c r="AP149" s="293"/>
      <c r="AQ149" s="293"/>
      <c r="AR149" s="293"/>
      <c r="AS149" s="293"/>
      <c r="AT149" s="293"/>
      <c r="AU149" s="293"/>
      <c r="AV149" s="293"/>
      <c r="AW149" s="293"/>
      <c r="AX149" s="293"/>
      <c r="AY149" s="293"/>
      <c r="AZ149" s="293"/>
      <c r="BA149" s="293"/>
      <c r="BB149" s="293"/>
      <c r="BC149" s="293"/>
      <c r="BD149" s="293"/>
      <c r="BE149" s="293"/>
      <c r="BF149" s="293"/>
      <c r="BG149" s="293"/>
      <c r="BH149" s="293"/>
      <c r="BI149" s="293"/>
      <c r="BJ149" s="293"/>
      <c r="BK149" s="293"/>
      <c r="BL149" s="293"/>
      <c r="BM149" s="293"/>
      <c r="BN149" s="293"/>
      <c r="BO149" s="293"/>
      <c r="BP149" s="293"/>
      <c r="BQ149" s="293"/>
      <c r="BR149" s="293"/>
      <c r="BS149" s="293"/>
      <c r="BT149" s="293"/>
      <c r="BU149" s="293"/>
      <c r="BV149" s="293"/>
      <c r="BW149" s="293"/>
      <c r="BX149" s="293"/>
      <c r="BY149" s="293"/>
      <c r="BZ149" s="293"/>
      <c r="CA149" s="293"/>
      <c r="CB149" s="293"/>
      <c r="CC149" s="293"/>
      <c r="CD149" s="293"/>
      <c r="CE149" s="293"/>
      <c r="CF149" s="293"/>
      <c r="CG149" s="293"/>
      <c r="CH149" s="293"/>
      <c r="CI149" s="293"/>
      <c r="CJ149" s="293"/>
      <c r="CK149" s="293"/>
      <c r="CL149" s="293"/>
      <c r="CM149" s="293"/>
      <c r="CN149" s="293"/>
      <c r="CO149" s="293"/>
      <c r="CP149" s="293"/>
      <c r="CQ149" s="293"/>
      <c r="CR149" s="293"/>
      <c r="CS149" s="293"/>
      <c r="CT149" s="293"/>
      <c r="CU149" s="293"/>
      <c r="CV149" s="293"/>
      <c r="CW149" s="293"/>
      <c r="CX149" s="293"/>
      <c r="CY149" s="293"/>
      <c r="CZ149" s="293"/>
      <c r="DA149" s="293"/>
      <c r="DB149" s="293"/>
      <c r="DC149" s="293"/>
      <c r="DD149" s="293"/>
      <c r="DE149" s="293"/>
      <c r="DF149" s="293"/>
    </row>
    <row r="150" ht="14.25" customHeight="1">
      <c r="A150" s="293"/>
      <c r="B150" s="293"/>
      <c r="C150" s="293"/>
      <c r="D150" s="293"/>
      <c r="E150" s="293"/>
      <c r="F150" s="293"/>
      <c r="G150" s="293"/>
      <c r="H150" s="293"/>
      <c r="I150" s="293"/>
      <c r="J150" s="293"/>
      <c r="K150" s="293"/>
      <c r="L150" s="293"/>
      <c r="M150" s="293"/>
      <c r="N150" s="293"/>
      <c r="O150" s="293"/>
      <c r="P150" s="293"/>
      <c r="Q150" s="293"/>
      <c r="R150" s="293"/>
      <c r="S150" s="293"/>
      <c r="T150" s="293"/>
      <c r="U150" s="293"/>
      <c r="V150" s="293"/>
      <c r="W150" s="293"/>
      <c r="X150" s="293"/>
      <c r="Y150" s="293"/>
      <c r="Z150" s="293"/>
      <c r="AA150" s="293"/>
      <c r="AB150" s="293"/>
      <c r="AC150" s="293"/>
      <c r="AD150" s="293"/>
      <c r="AE150" s="293"/>
      <c r="AF150" s="293"/>
      <c r="AG150" s="293"/>
      <c r="AH150" s="293"/>
      <c r="AI150" s="293"/>
      <c r="AJ150" s="293"/>
      <c r="AK150" s="293"/>
      <c r="AL150" s="293"/>
      <c r="AM150" s="293"/>
      <c r="AN150" s="293"/>
      <c r="AO150" s="293"/>
      <c r="AP150" s="293"/>
      <c r="AQ150" s="293"/>
      <c r="AR150" s="293"/>
      <c r="AS150" s="293"/>
      <c r="AT150" s="293"/>
      <c r="AU150" s="293"/>
      <c r="AV150" s="293"/>
      <c r="AW150" s="293"/>
      <c r="AX150" s="293"/>
      <c r="AY150" s="293"/>
      <c r="AZ150" s="293"/>
      <c r="BA150" s="293"/>
      <c r="BB150" s="293"/>
      <c r="BC150" s="293"/>
      <c r="BD150" s="293"/>
      <c r="BE150" s="293"/>
      <c r="BF150" s="293"/>
      <c r="BG150" s="293"/>
      <c r="BH150" s="293"/>
      <c r="BI150" s="293"/>
      <c r="BJ150" s="293"/>
      <c r="BK150" s="293"/>
      <c r="BL150" s="293"/>
      <c r="BM150" s="293"/>
      <c r="BN150" s="293"/>
      <c r="BO150" s="293"/>
      <c r="BP150" s="293"/>
      <c r="BQ150" s="293"/>
      <c r="BR150" s="293"/>
      <c r="BS150" s="293"/>
      <c r="BT150" s="293"/>
      <c r="BU150" s="293"/>
      <c r="BV150" s="293"/>
      <c r="BW150" s="293"/>
      <c r="BX150" s="293"/>
      <c r="BY150" s="293"/>
      <c r="BZ150" s="293"/>
      <c r="CA150" s="293"/>
      <c r="CB150" s="293"/>
      <c r="CC150" s="293"/>
      <c r="CD150" s="293"/>
      <c r="CE150" s="293"/>
      <c r="CF150" s="293"/>
      <c r="CG150" s="293"/>
      <c r="CH150" s="293"/>
      <c r="CI150" s="293"/>
      <c r="CJ150" s="293"/>
      <c r="CK150" s="293"/>
      <c r="CL150" s="293"/>
      <c r="CM150" s="293"/>
      <c r="CN150" s="293"/>
      <c r="CO150" s="293"/>
      <c r="CP150" s="293"/>
      <c r="CQ150" s="293"/>
      <c r="CR150" s="293"/>
      <c r="CS150" s="293"/>
      <c r="CT150" s="293"/>
      <c r="CU150" s="293"/>
      <c r="CV150" s="293"/>
      <c r="CW150" s="293"/>
      <c r="CX150" s="293"/>
      <c r="CY150" s="293"/>
      <c r="CZ150" s="293"/>
      <c r="DA150" s="293"/>
      <c r="DB150" s="293"/>
      <c r="DC150" s="293"/>
      <c r="DD150" s="293"/>
      <c r="DE150" s="293"/>
      <c r="DF150" s="293"/>
    </row>
    <row r="151" ht="14.25" customHeight="1">
      <c r="A151" s="293"/>
      <c r="B151" s="293"/>
      <c r="C151" s="293"/>
      <c r="D151" s="293"/>
      <c r="E151" s="293"/>
      <c r="F151" s="293"/>
      <c r="G151" s="293"/>
      <c r="H151" s="293"/>
      <c r="I151" s="293"/>
      <c r="J151" s="293"/>
      <c r="K151" s="293"/>
      <c r="L151" s="293"/>
      <c r="M151" s="293"/>
      <c r="N151" s="293"/>
      <c r="O151" s="293"/>
      <c r="P151" s="293"/>
      <c r="Q151" s="293"/>
      <c r="R151" s="293"/>
      <c r="S151" s="293"/>
      <c r="T151" s="293"/>
      <c r="U151" s="293"/>
      <c r="V151" s="293"/>
      <c r="W151" s="293"/>
      <c r="X151" s="293"/>
      <c r="Y151" s="293"/>
      <c r="Z151" s="293"/>
      <c r="AA151" s="293"/>
      <c r="AB151" s="293"/>
      <c r="AC151" s="293"/>
      <c r="AD151" s="293"/>
      <c r="AE151" s="293"/>
      <c r="AF151" s="293"/>
      <c r="AG151" s="293"/>
      <c r="AH151" s="293"/>
      <c r="AI151" s="293"/>
      <c r="AJ151" s="293"/>
      <c r="AK151" s="293"/>
      <c r="AL151" s="293"/>
      <c r="AM151" s="293"/>
      <c r="AN151" s="293"/>
      <c r="AO151" s="293"/>
      <c r="AP151" s="293"/>
      <c r="AQ151" s="293"/>
      <c r="AR151" s="293"/>
      <c r="AS151" s="293"/>
      <c r="AT151" s="293"/>
      <c r="AU151" s="293"/>
      <c r="AV151" s="293"/>
      <c r="AW151" s="293"/>
      <c r="AX151" s="293"/>
      <c r="AY151" s="293"/>
      <c r="AZ151" s="293"/>
      <c r="BA151" s="293"/>
      <c r="BB151" s="293"/>
      <c r="BC151" s="293"/>
      <c r="BD151" s="293"/>
      <c r="BE151" s="293"/>
      <c r="BF151" s="293"/>
      <c r="BG151" s="293"/>
      <c r="BH151" s="293"/>
      <c r="BI151" s="293"/>
      <c r="BJ151" s="293"/>
      <c r="BK151" s="293"/>
      <c r="BL151" s="293"/>
      <c r="BM151" s="293"/>
      <c r="BN151" s="293"/>
      <c r="BO151" s="293"/>
      <c r="BP151" s="293"/>
      <c r="BQ151" s="293"/>
      <c r="BR151" s="293"/>
      <c r="BS151" s="293"/>
      <c r="BT151" s="293"/>
      <c r="BU151" s="293"/>
      <c r="BV151" s="293"/>
      <c r="BW151" s="293"/>
      <c r="BX151" s="293"/>
      <c r="BY151" s="293"/>
      <c r="BZ151" s="293"/>
      <c r="CA151" s="293"/>
      <c r="CB151" s="293"/>
      <c r="CC151" s="293"/>
      <c r="CD151" s="293"/>
      <c r="CE151" s="293"/>
      <c r="CF151" s="293"/>
      <c r="CG151" s="293"/>
      <c r="CH151" s="293"/>
      <c r="CI151" s="293"/>
      <c r="CJ151" s="293"/>
      <c r="CK151" s="293"/>
      <c r="CL151" s="293"/>
      <c r="CM151" s="293"/>
      <c r="CN151" s="293"/>
      <c r="CO151" s="293"/>
      <c r="CP151" s="293"/>
      <c r="CQ151" s="293"/>
      <c r="CR151" s="293"/>
      <c r="CS151" s="293"/>
      <c r="CT151" s="293"/>
      <c r="CU151" s="293"/>
      <c r="CV151" s="293"/>
      <c r="CW151" s="293"/>
      <c r="CX151" s="293"/>
      <c r="CY151" s="293"/>
      <c r="CZ151" s="293"/>
      <c r="DA151" s="293"/>
      <c r="DB151" s="293"/>
      <c r="DC151" s="293"/>
      <c r="DD151" s="293"/>
      <c r="DE151" s="293"/>
      <c r="DF151" s="293"/>
    </row>
    <row r="152" ht="14.25" customHeight="1">
      <c r="A152" s="293"/>
      <c r="B152" s="293"/>
      <c r="C152" s="293"/>
      <c r="D152" s="293"/>
      <c r="E152" s="293"/>
      <c r="F152" s="293"/>
      <c r="G152" s="293"/>
      <c r="H152" s="293"/>
      <c r="I152" s="293"/>
      <c r="J152" s="293"/>
      <c r="K152" s="293"/>
      <c r="L152" s="293"/>
      <c r="M152" s="293"/>
      <c r="N152" s="293"/>
      <c r="O152" s="293"/>
      <c r="P152" s="293"/>
      <c r="Q152" s="293"/>
      <c r="R152" s="293"/>
      <c r="S152" s="293"/>
      <c r="T152" s="293"/>
      <c r="U152" s="293"/>
      <c r="V152" s="293"/>
      <c r="W152" s="293"/>
      <c r="X152" s="293"/>
      <c r="Y152" s="293"/>
      <c r="Z152" s="293"/>
      <c r="AA152" s="293"/>
      <c r="AB152" s="293"/>
      <c r="AC152" s="293"/>
      <c r="AD152" s="293"/>
      <c r="AE152" s="293"/>
      <c r="AF152" s="293"/>
      <c r="AG152" s="293"/>
      <c r="AH152" s="293"/>
      <c r="AI152" s="293"/>
      <c r="AJ152" s="293"/>
      <c r="AK152" s="293"/>
      <c r="AL152" s="293"/>
      <c r="AM152" s="293"/>
      <c r="AN152" s="293"/>
      <c r="AO152" s="293"/>
      <c r="AP152" s="293"/>
      <c r="AQ152" s="293"/>
      <c r="AR152" s="293"/>
      <c r="AS152" s="293"/>
      <c r="AT152" s="293"/>
      <c r="AU152" s="293"/>
      <c r="AV152" s="293"/>
      <c r="AW152" s="293"/>
      <c r="AX152" s="293"/>
      <c r="AY152" s="293"/>
      <c r="AZ152" s="293"/>
      <c r="BA152" s="293"/>
      <c r="BB152" s="293"/>
      <c r="BC152" s="293"/>
      <c r="BD152" s="293"/>
      <c r="BE152" s="293"/>
      <c r="BF152" s="293"/>
      <c r="BG152" s="293"/>
      <c r="BH152" s="293"/>
      <c r="BI152" s="293"/>
      <c r="BJ152" s="293"/>
      <c r="BK152" s="293"/>
      <c r="BL152" s="293"/>
      <c r="BM152" s="293"/>
      <c r="BN152" s="293"/>
      <c r="BO152" s="293"/>
      <c r="BP152" s="293"/>
      <c r="BQ152" s="293"/>
      <c r="BR152" s="293"/>
      <c r="BS152" s="293"/>
      <c r="BT152" s="293"/>
      <c r="BU152" s="293"/>
      <c r="BV152" s="293"/>
      <c r="BW152" s="293"/>
      <c r="BX152" s="293"/>
      <c r="BY152" s="293"/>
      <c r="BZ152" s="293"/>
      <c r="CA152" s="293"/>
      <c r="CB152" s="293"/>
      <c r="CC152" s="293"/>
      <c r="CD152" s="293"/>
      <c r="CE152" s="293"/>
      <c r="CF152" s="293"/>
      <c r="CG152" s="293"/>
      <c r="CH152" s="293"/>
      <c r="CI152" s="293"/>
      <c r="CJ152" s="293"/>
      <c r="CK152" s="293"/>
      <c r="CL152" s="293"/>
      <c r="CM152" s="293"/>
      <c r="CN152" s="293"/>
      <c r="CO152" s="293"/>
      <c r="CP152" s="293"/>
      <c r="CQ152" s="293"/>
      <c r="CR152" s="293"/>
      <c r="CS152" s="293"/>
      <c r="CT152" s="293"/>
      <c r="CU152" s="293"/>
      <c r="CV152" s="293"/>
      <c r="CW152" s="293"/>
      <c r="CX152" s="293"/>
      <c r="CY152" s="293"/>
      <c r="CZ152" s="293"/>
      <c r="DA152" s="293"/>
      <c r="DB152" s="293"/>
      <c r="DC152" s="293"/>
      <c r="DD152" s="293"/>
      <c r="DE152" s="293"/>
      <c r="DF152" s="293"/>
    </row>
    <row r="153" ht="14.25" customHeight="1">
      <c r="A153" s="293"/>
      <c r="B153" s="293"/>
      <c r="C153" s="293"/>
      <c r="D153" s="293"/>
      <c r="E153" s="293"/>
      <c r="F153" s="293"/>
      <c r="G153" s="293"/>
      <c r="H153" s="293"/>
      <c r="I153" s="293"/>
      <c r="J153" s="293"/>
      <c r="K153" s="293"/>
      <c r="L153" s="293"/>
      <c r="M153" s="293"/>
      <c r="N153" s="293"/>
      <c r="O153" s="293"/>
      <c r="P153" s="293"/>
      <c r="Q153" s="293"/>
      <c r="R153" s="293"/>
      <c r="S153" s="293"/>
      <c r="T153" s="293"/>
      <c r="U153" s="293"/>
      <c r="V153" s="293"/>
      <c r="W153" s="293"/>
      <c r="X153" s="293"/>
      <c r="Y153" s="293"/>
      <c r="Z153" s="293"/>
      <c r="AA153" s="293"/>
      <c r="AB153" s="293"/>
      <c r="AC153" s="293"/>
      <c r="AD153" s="293"/>
      <c r="AE153" s="293"/>
      <c r="AF153" s="293"/>
      <c r="AG153" s="293"/>
      <c r="AH153" s="293"/>
      <c r="AI153" s="293"/>
      <c r="AJ153" s="293"/>
      <c r="AK153" s="293"/>
      <c r="AL153" s="293"/>
      <c r="AM153" s="293"/>
      <c r="AN153" s="293"/>
      <c r="AO153" s="293"/>
      <c r="AP153" s="293"/>
      <c r="AQ153" s="293"/>
      <c r="AR153" s="293"/>
      <c r="AS153" s="293"/>
      <c r="AT153" s="293"/>
      <c r="AU153" s="293"/>
      <c r="AV153" s="293"/>
      <c r="AW153" s="293"/>
      <c r="AX153" s="293"/>
      <c r="AY153" s="293"/>
      <c r="AZ153" s="293"/>
      <c r="BA153" s="293"/>
      <c r="BB153" s="293"/>
      <c r="BC153" s="293"/>
      <c r="BD153" s="293"/>
      <c r="BE153" s="293"/>
      <c r="BF153" s="293"/>
      <c r="BG153" s="293"/>
      <c r="BH153" s="293"/>
      <c r="BI153" s="293"/>
      <c r="BJ153" s="293"/>
      <c r="BK153" s="293"/>
      <c r="BL153" s="293"/>
      <c r="BM153" s="293"/>
      <c r="BN153" s="293"/>
      <c r="BO153" s="293"/>
      <c r="BP153" s="293"/>
      <c r="BQ153" s="293"/>
      <c r="BR153" s="293"/>
      <c r="BS153" s="293"/>
      <c r="BT153" s="293"/>
      <c r="BU153" s="293"/>
      <c r="BV153" s="293"/>
      <c r="BW153" s="293"/>
      <c r="BX153" s="293"/>
      <c r="BY153" s="293"/>
      <c r="BZ153" s="293"/>
      <c r="CA153" s="293"/>
      <c r="CB153" s="293"/>
      <c r="CC153" s="293"/>
      <c r="CD153" s="293"/>
      <c r="CE153" s="293"/>
      <c r="CF153" s="293"/>
      <c r="CG153" s="293"/>
      <c r="CH153" s="293"/>
      <c r="CI153" s="293"/>
      <c r="CJ153" s="293"/>
      <c r="CK153" s="293"/>
      <c r="CL153" s="293"/>
      <c r="CM153" s="293"/>
      <c r="CN153" s="293"/>
      <c r="CO153" s="293"/>
      <c r="CP153" s="293"/>
      <c r="CQ153" s="293"/>
      <c r="CR153" s="293"/>
      <c r="CS153" s="293"/>
      <c r="CT153" s="293"/>
      <c r="CU153" s="293"/>
      <c r="CV153" s="293"/>
      <c r="CW153" s="293"/>
      <c r="CX153" s="293"/>
      <c r="CY153" s="293"/>
      <c r="CZ153" s="293"/>
      <c r="DA153" s="293"/>
      <c r="DB153" s="293"/>
      <c r="DC153" s="293"/>
      <c r="DD153" s="293"/>
      <c r="DE153" s="293"/>
      <c r="DF153" s="293"/>
    </row>
    <row r="154" ht="14.25" customHeight="1">
      <c r="A154" s="293"/>
      <c r="B154" s="293"/>
      <c r="C154" s="293"/>
      <c r="D154" s="293"/>
      <c r="E154" s="293"/>
      <c r="F154" s="293"/>
      <c r="G154" s="293"/>
      <c r="H154" s="293"/>
      <c r="I154" s="293"/>
      <c r="J154" s="293"/>
      <c r="K154" s="293"/>
      <c r="L154" s="293"/>
      <c r="M154" s="293"/>
      <c r="N154" s="293"/>
      <c r="O154" s="293"/>
      <c r="P154" s="293"/>
      <c r="Q154" s="293"/>
      <c r="R154" s="293"/>
      <c r="S154" s="293"/>
      <c r="T154" s="293"/>
      <c r="U154" s="293"/>
      <c r="V154" s="293"/>
      <c r="W154" s="293"/>
      <c r="X154" s="293"/>
      <c r="Y154" s="293"/>
      <c r="Z154" s="293"/>
      <c r="AA154" s="293"/>
      <c r="AB154" s="293"/>
      <c r="AC154" s="293"/>
      <c r="AD154" s="293"/>
      <c r="AE154" s="293"/>
      <c r="AF154" s="293"/>
      <c r="AG154" s="293"/>
      <c r="AH154" s="293"/>
      <c r="AI154" s="293"/>
      <c r="AJ154" s="293"/>
      <c r="AK154" s="293"/>
      <c r="AL154" s="293"/>
      <c r="AM154" s="293"/>
      <c r="AN154" s="293"/>
      <c r="AO154" s="293"/>
      <c r="AP154" s="293"/>
      <c r="AQ154" s="293"/>
      <c r="AR154" s="293"/>
      <c r="AS154" s="293"/>
      <c r="AT154" s="293"/>
      <c r="AU154" s="293"/>
      <c r="AV154" s="293"/>
      <c r="AW154" s="293"/>
      <c r="AX154" s="293"/>
      <c r="AY154" s="293"/>
      <c r="AZ154" s="293"/>
      <c r="BA154" s="293"/>
      <c r="BB154" s="293"/>
      <c r="BC154" s="293"/>
      <c r="BD154" s="293"/>
      <c r="BE154" s="293"/>
      <c r="BF154" s="293"/>
      <c r="BG154" s="293"/>
      <c r="BH154" s="293"/>
      <c r="BI154" s="293"/>
      <c r="BJ154" s="293"/>
      <c r="BK154" s="293"/>
      <c r="BL154" s="293"/>
      <c r="BM154" s="293"/>
      <c r="BN154" s="293"/>
      <c r="BO154" s="293"/>
      <c r="BP154" s="293"/>
      <c r="BQ154" s="293"/>
      <c r="BR154" s="293"/>
      <c r="BS154" s="293"/>
      <c r="BT154" s="293"/>
      <c r="BU154" s="293"/>
      <c r="BV154" s="293"/>
      <c r="BW154" s="293"/>
      <c r="BX154" s="293"/>
      <c r="BY154" s="293"/>
      <c r="BZ154" s="293"/>
      <c r="CA154" s="293"/>
      <c r="CB154" s="293"/>
      <c r="CC154" s="293"/>
      <c r="CD154" s="293"/>
      <c r="CE154" s="293"/>
      <c r="CF154" s="293"/>
      <c r="CG154" s="293"/>
      <c r="CH154" s="293"/>
      <c r="CI154" s="293"/>
      <c r="CJ154" s="293"/>
      <c r="CK154" s="293"/>
      <c r="CL154" s="293"/>
      <c r="CM154" s="293"/>
      <c r="CN154" s="293"/>
      <c r="CO154" s="293"/>
      <c r="CP154" s="293"/>
      <c r="CQ154" s="293"/>
      <c r="CR154" s="293"/>
      <c r="CS154" s="293"/>
      <c r="CT154" s="293"/>
      <c r="CU154" s="293"/>
      <c r="CV154" s="293"/>
      <c r="CW154" s="293"/>
      <c r="CX154" s="293"/>
      <c r="CY154" s="293"/>
      <c r="CZ154" s="293"/>
      <c r="DA154" s="293"/>
      <c r="DB154" s="293"/>
      <c r="DC154" s="293"/>
      <c r="DD154" s="293"/>
      <c r="DE154" s="293"/>
      <c r="DF154" s="293"/>
    </row>
    <row r="155" ht="14.25" customHeight="1">
      <c r="A155" s="293"/>
      <c r="B155" s="293"/>
      <c r="C155" s="293"/>
      <c r="D155" s="293"/>
      <c r="E155" s="293"/>
      <c r="F155" s="293"/>
      <c r="G155" s="293"/>
      <c r="H155" s="293"/>
      <c r="I155" s="293"/>
      <c r="J155" s="293"/>
      <c r="K155" s="293"/>
      <c r="L155" s="293"/>
      <c r="M155" s="293"/>
      <c r="N155" s="293"/>
      <c r="O155" s="293"/>
      <c r="P155" s="293"/>
      <c r="Q155" s="293"/>
      <c r="R155" s="293"/>
      <c r="S155" s="293"/>
      <c r="T155" s="293"/>
      <c r="U155" s="293"/>
      <c r="V155" s="293"/>
      <c r="W155" s="293"/>
      <c r="X155" s="293"/>
      <c r="Y155" s="293"/>
      <c r="Z155" s="293"/>
      <c r="AA155" s="293"/>
      <c r="AB155" s="293"/>
      <c r="AC155" s="293"/>
      <c r="AD155" s="293"/>
      <c r="AE155" s="293"/>
      <c r="AF155" s="293"/>
      <c r="AG155" s="293"/>
      <c r="AH155" s="293"/>
      <c r="AI155" s="293"/>
      <c r="AJ155" s="293"/>
      <c r="AK155" s="293"/>
      <c r="AL155" s="293"/>
      <c r="AM155" s="293"/>
      <c r="AN155" s="293"/>
      <c r="AO155" s="293"/>
      <c r="AP155" s="293"/>
      <c r="AQ155" s="293"/>
      <c r="AR155" s="293"/>
      <c r="AS155" s="293"/>
      <c r="AT155" s="293"/>
      <c r="AU155" s="293"/>
      <c r="AV155" s="293"/>
      <c r="AW155" s="293"/>
      <c r="AX155" s="293"/>
      <c r="AY155" s="293"/>
      <c r="AZ155" s="293"/>
      <c r="BA155" s="293"/>
      <c r="BB155" s="293"/>
      <c r="BC155" s="293"/>
      <c r="BD155" s="293"/>
      <c r="BE155" s="293"/>
      <c r="BF155" s="293"/>
      <c r="BG155" s="293"/>
      <c r="BH155" s="293"/>
      <c r="BI155" s="293"/>
      <c r="BJ155" s="293"/>
      <c r="BK155" s="293"/>
      <c r="BL155" s="293"/>
      <c r="BM155" s="293"/>
      <c r="BN155" s="293"/>
      <c r="BO155" s="293"/>
      <c r="BP155" s="293"/>
      <c r="BQ155" s="293"/>
      <c r="BR155" s="293"/>
      <c r="BS155" s="293"/>
      <c r="BT155" s="293"/>
      <c r="BU155" s="293"/>
      <c r="BV155" s="293"/>
      <c r="BW155" s="293"/>
      <c r="BX155" s="293"/>
      <c r="BY155" s="293"/>
      <c r="BZ155" s="293"/>
      <c r="CA155" s="293"/>
      <c r="CB155" s="293"/>
      <c r="CC155" s="293"/>
      <c r="CD155" s="293"/>
      <c r="CE155" s="293"/>
      <c r="CF155" s="293"/>
      <c r="CG155" s="293"/>
      <c r="CH155" s="293"/>
      <c r="CI155" s="293"/>
      <c r="CJ155" s="293"/>
      <c r="CK155" s="293"/>
      <c r="CL155" s="293"/>
      <c r="CM155" s="293"/>
      <c r="CN155" s="293"/>
      <c r="CO155" s="293"/>
      <c r="CP155" s="293"/>
      <c r="CQ155" s="293"/>
      <c r="CR155" s="293"/>
      <c r="CS155" s="293"/>
      <c r="CT155" s="293"/>
      <c r="CU155" s="293"/>
      <c r="CV155" s="293"/>
      <c r="CW155" s="293"/>
      <c r="CX155" s="293"/>
      <c r="CY155" s="293"/>
      <c r="CZ155" s="293"/>
      <c r="DA155" s="293"/>
      <c r="DB155" s="293"/>
      <c r="DC155" s="293"/>
      <c r="DD155" s="293"/>
      <c r="DE155" s="293"/>
      <c r="DF155" s="293"/>
    </row>
    <row r="156" ht="14.25" customHeight="1">
      <c r="A156" s="293"/>
      <c r="B156" s="293"/>
      <c r="C156" s="293"/>
      <c r="D156" s="293"/>
      <c r="E156" s="293"/>
      <c r="F156" s="293"/>
      <c r="G156" s="293"/>
      <c r="H156" s="293"/>
      <c r="I156" s="293"/>
      <c r="J156" s="293"/>
      <c r="K156" s="293"/>
      <c r="L156" s="293"/>
      <c r="M156" s="293"/>
      <c r="N156" s="293"/>
      <c r="O156" s="293"/>
      <c r="P156" s="293"/>
      <c r="Q156" s="293"/>
      <c r="R156" s="293"/>
      <c r="S156" s="293"/>
      <c r="T156" s="293"/>
      <c r="U156" s="293"/>
      <c r="V156" s="293"/>
      <c r="W156" s="293"/>
      <c r="X156" s="293"/>
      <c r="Y156" s="293"/>
      <c r="Z156" s="293"/>
      <c r="AA156" s="293"/>
      <c r="AB156" s="293"/>
      <c r="AC156" s="293"/>
      <c r="AD156" s="293"/>
      <c r="AE156" s="293"/>
      <c r="AF156" s="293"/>
      <c r="AG156" s="293"/>
      <c r="AH156" s="293"/>
      <c r="AI156" s="293"/>
      <c r="AJ156" s="293"/>
      <c r="AK156" s="293"/>
      <c r="AL156" s="293"/>
      <c r="AM156" s="293"/>
      <c r="AN156" s="293"/>
      <c r="AO156" s="293"/>
      <c r="AP156" s="293"/>
      <c r="AQ156" s="293"/>
      <c r="AR156" s="293"/>
      <c r="AS156" s="293"/>
      <c r="AT156" s="293"/>
      <c r="AU156" s="293"/>
      <c r="AV156" s="293"/>
      <c r="AW156" s="293"/>
      <c r="AX156" s="293"/>
      <c r="AY156" s="293"/>
      <c r="AZ156" s="293"/>
      <c r="BA156" s="293"/>
      <c r="BB156" s="293"/>
      <c r="BC156" s="293"/>
      <c r="BD156" s="293"/>
      <c r="BE156" s="293"/>
      <c r="BF156" s="293"/>
      <c r="BG156" s="293"/>
      <c r="BH156" s="293"/>
      <c r="BI156" s="293"/>
      <c r="BJ156" s="293"/>
      <c r="BK156" s="293"/>
      <c r="BL156" s="293"/>
      <c r="BM156" s="293"/>
      <c r="BN156" s="293"/>
      <c r="BO156" s="293"/>
      <c r="BP156" s="293"/>
      <c r="BQ156" s="293"/>
      <c r="BR156" s="293"/>
      <c r="BS156" s="293"/>
      <c r="BT156" s="293"/>
      <c r="BU156" s="293"/>
      <c r="BV156" s="293"/>
      <c r="BW156" s="293"/>
      <c r="BX156" s="293"/>
      <c r="BY156" s="293"/>
      <c r="BZ156" s="293"/>
      <c r="CA156" s="293"/>
      <c r="CB156" s="293"/>
      <c r="CC156" s="293"/>
      <c r="CD156" s="293"/>
      <c r="CE156" s="293"/>
      <c r="CF156" s="293"/>
      <c r="CG156" s="293"/>
      <c r="CH156" s="293"/>
      <c r="CI156" s="293"/>
      <c r="CJ156" s="293"/>
      <c r="CK156" s="293"/>
      <c r="CL156" s="293"/>
      <c r="CM156" s="293"/>
      <c r="CN156" s="293"/>
      <c r="CO156" s="293"/>
      <c r="CP156" s="293"/>
      <c r="CQ156" s="293"/>
      <c r="CR156" s="293"/>
      <c r="CS156" s="293"/>
      <c r="CT156" s="293"/>
      <c r="CU156" s="293"/>
      <c r="CV156" s="293"/>
      <c r="CW156" s="293"/>
      <c r="CX156" s="293"/>
      <c r="CY156" s="293"/>
      <c r="CZ156" s="293"/>
      <c r="DA156" s="293"/>
      <c r="DB156" s="293"/>
      <c r="DC156" s="293"/>
      <c r="DD156" s="293"/>
      <c r="DE156" s="293"/>
      <c r="DF156" s="293"/>
    </row>
    <row r="157" ht="14.25" customHeight="1">
      <c r="A157" s="293"/>
      <c r="B157" s="293"/>
      <c r="C157" s="293"/>
      <c r="D157" s="293"/>
      <c r="E157" s="293"/>
      <c r="F157" s="293"/>
      <c r="G157" s="293"/>
      <c r="H157" s="293"/>
      <c r="I157" s="293"/>
      <c r="J157" s="293"/>
      <c r="K157" s="293"/>
      <c r="L157" s="293"/>
      <c r="M157" s="293"/>
      <c r="N157" s="293"/>
      <c r="O157" s="293"/>
      <c r="P157" s="293"/>
      <c r="Q157" s="293"/>
      <c r="R157" s="293"/>
      <c r="S157" s="293"/>
      <c r="T157" s="293"/>
      <c r="U157" s="293"/>
      <c r="V157" s="293"/>
      <c r="W157" s="293"/>
      <c r="X157" s="293"/>
      <c r="Y157" s="293"/>
      <c r="Z157" s="293"/>
      <c r="AA157" s="293"/>
      <c r="AB157" s="293"/>
      <c r="AC157" s="293"/>
      <c r="AD157" s="293"/>
      <c r="AE157" s="293"/>
      <c r="AF157" s="293"/>
      <c r="AG157" s="293"/>
      <c r="AH157" s="293"/>
      <c r="AI157" s="293"/>
      <c r="AJ157" s="293"/>
      <c r="AK157" s="293"/>
      <c r="AL157" s="293"/>
      <c r="AM157" s="293"/>
      <c r="AN157" s="293"/>
      <c r="AO157" s="293"/>
      <c r="AP157" s="293"/>
      <c r="AQ157" s="293"/>
      <c r="AR157" s="293"/>
      <c r="AS157" s="293"/>
      <c r="AT157" s="293"/>
      <c r="AU157" s="293"/>
      <c r="AV157" s="293"/>
      <c r="AW157" s="293"/>
      <c r="AX157" s="293"/>
      <c r="AY157" s="293"/>
      <c r="AZ157" s="293"/>
      <c r="BA157" s="293"/>
      <c r="BB157" s="293"/>
      <c r="BC157" s="293"/>
      <c r="BD157" s="293"/>
      <c r="BE157" s="293"/>
      <c r="BF157" s="293"/>
      <c r="BG157" s="293"/>
      <c r="BH157" s="293"/>
      <c r="BI157" s="293"/>
      <c r="BJ157" s="293"/>
      <c r="BK157" s="293"/>
      <c r="BL157" s="293"/>
      <c r="BM157" s="293"/>
      <c r="BN157" s="293"/>
      <c r="BO157" s="293"/>
      <c r="BP157" s="293"/>
      <c r="BQ157" s="293"/>
      <c r="BR157" s="293"/>
      <c r="BS157" s="293"/>
      <c r="BT157" s="293"/>
      <c r="BU157" s="293"/>
      <c r="BV157" s="293"/>
      <c r="BW157" s="293"/>
      <c r="BX157" s="293"/>
      <c r="BY157" s="293"/>
      <c r="BZ157" s="293"/>
      <c r="CA157" s="293"/>
      <c r="CB157" s="293"/>
      <c r="CC157" s="293"/>
      <c r="CD157" s="293"/>
      <c r="CE157" s="293"/>
      <c r="CF157" s="293"/>
      <c r="CG157" s="293"/>
      <c r="CH157" s="293"/>
      <c r="CI157" s="293"/>
      <c r="CJ157" s="293"/>
      <c r="CK157" s="293"/>
      <c r="CL157" s="293"/>
      <c r="CM157" s="293"/>
      <c r="CN157" s="293"/>
      <c r="CO157" s="293"/>
      <c r="CP157" s="293"/>
      <c r="CQ157" s="293"/>
      <c r="CR157" s="293"/>
      <c r="CS157" s="293"/>
      <c r="CT157" s="293"/>
      <c r="CU157" s="293"/>
      <c r="CV157" s="293"/>
      <c r="CW157" s="293"/>
      <c r="CX157" s="293"/>
      <c r="CY157" s="293"/>
      <c r="CZ157" s="293"/>
      <c r="DA157" s="293"/>
      <c r="DB157" s="293"/>
      <c r="DC157" s="293"/>
      <c r="DD157" s="293"/>
      <c r="DE157" s="293"/>
      <c r="DF157" s="293"/>
    </row>
    <row r="158" ht="14.25" customHeight="1">
      <c r="A158" s="293"/>
      <c r="B158" s="293"/>
      <c r="C158" s="293"/>
      <c r="D158" s="293"/>
      <c r="E158" s="293"/>
      <c r="F158" s="293"/>
      <c r="G158" s="293"/>
      <c r="H158" s="293"/>
      <c r="I158" s="293"/>
      <c r="J158" s="293"/>
      <c r="K158" s="293"/>
      <c r="L158" s="293"/>
      <c r="M158" s="293"/>
      <c r="N158" s="293"/>
      <c r="O158" s="293"/>
      <c r="P158" s="293"/>
      <c r="Q158" s="293"/>
      <c r="R158" s="293"/>
      <c r="S158" s="293"/>
      <c r="T158" s="293"/>
      <c r="U158" s="293"/>
      <c r="V158" s="293"/>
      <c r="W158" s="293"/>
      <c r="X158" s="293"/>
      <c r="Y158" s="293"/>
      <c r="Z158" s="293"/>
      <c r="AA158" s="293"/>
      <c r="AB158" s="293"/>
      <c r="AC158" s="293"/>
      <c r="AD158" s="293"/>
      <c r="AE158" s="293"/>
      <c r="AF158" s="293"/>
      <c r="AG158" s="293"/>
      <c r="AH158" s="293"/>
      <c r="AI158" s="293"/>
      <c r="AJ158" s="293"/>
      <c r="AK158" s="293"/>
      <c r="AL158" s="293"/>
      <c r="AM158" s="293"/>
      <c r="AN158" s="293"/>
      <c r="AO158" s="293"/>
      <c r="AP158" s="293"/>
      <c r="AQ158" s="293"/>
      <c r="AR158" s="293"/>
      <c r="AS158" s="293"/>
      <c r="AT158" s="293"/>
      <c r="AU158" s="293"/>
      <c r="AV158" s="293"/>
      <c r="AW158" s="293"/>
      <c r="AX158" s="293"/>
      <c r="AY158" s="293"/>
      <c r="AZ158" s="293"/>
      <c r="BA158" s="293"/>
      <c r="BB158" s="293"/>
      <c r="BC158" s="293"/>
      <c r="BD158" s="293"/>
      <c r="BE158" s="293"/>
      <c r="BF158" s="293"/>
      <c r="BG158" s="293"/>
      <c r="BH158" s="293"/>
      <c r="BI158" s="293"/>
      <c r="BJ158" s="293"/>
      <c r="BK158" s="293"/>
      <c r="BL158" s="293"/>
      <c r="BM158" s="293"/>
      <c r="BN158" s="293"/>
      <c r="BO158" s="293"/>
      <c r="BP158" s="293"/>
      <c r="BQ158" s="293"/>
      <c r="BR158" s="293"/>
      <c r="BS158" s="293"/>
      <c r="BT158" s="293"/>
      <c r="BU158" s="293"/>
      <c r="BV158" s="293"/>
      <c r="BW158" s="293"/>
      <c r="BX158" s="293"/>
      <c r="BY158" s="293"/>
      <c r="BZ158" s="293"/>
      <c r="CA158" s="293"/>
      <c r="CB158" s="293"/>
      <c r="CC158" s="293"/>
      <c r="CD158" s="293"/>
      <c r="CE158" s="293"/>
      <c r="CF158" s="293"/>
      <c r="CG158" s="293"/>
      <c r="CH158" s="293"/>
      <c r="CI158" s="293"/>
      <c r="CJ158" s="293"/>
      <c r="CK158" s="293"/>
      <c r="CL158" s="293"/>
      <c r="CM158" s="293"/>
      <c r="CN158" s="293"/>
      <c r="CO158" s="293"/>
      <c r="CP158" s="293"/>
      <c r="CQ158" s="293"/>
      <c r="CR158" s="293"/>
      <c r="CS158" s="293"/>
      <c r="CT158" s="293"/>
      <c r="CU158" s="293"/>
      <c r="CV158" s="293"/>
      <c r="CW158" s="293"/>
      <c r="CX158" s="293"/>
      <c r="CY158" s="293"/>
      <c r="CZ158" s="293"/>
      <c r="DA158" s="293"/>
      <c r="DB158" s="293"/>
      <c r="DC158" s="293"/>
      <c r="DD158" s="293"/>
      <c r="DE158" s="293"/>
      <c r="DF158" s="293"/>
    </row>
    <row r="159" ht="14.25" customHeight="1">
      <c r="A159" s="293"/>
      <c r="B159" s="293"/>
      <c r="C159" s="293"/>
      <c r="D159" s="293"/>
      <c r="E159" s="293"/>
      <c r="F159" s="293"/>
      <c r="G159" s="293"/>
      <c r="H159" s="293"/>
      <c r="I159" s="293"/>
      <c r="J159" s="293"/>
      <c r="K159" s="293"/>
      <c r="L159" s="293"/>
      <c r="M159" s="293"/>
      <c r="N159" s="293"/>
      <c r="O159" s="293"/>
      <c r="P159" s="293"/>
      <c r="Q159" s="293"/>
      <c r="R159" s="293"/>
      <c r="S159" s="293"/>
      <c r="T159" s="293"/>
      <c r="U159" s="293"/>
      <c r="V159" s="293"/>
      <c r="W159" s="293"/>
      <c r="X159" s="293"/>
      <c r="Y159" s="293"/>
      <c r="Z159" s="293"/>
      <c r="AA159" s="293"/>
      <c r="AB159" s="293"/>
      <c r="AC159" s="293"/>
      <c r="AD159" s="293"/>
      <c r="AE159" s="293"/>
      <c r="AF159" s="293"/>
      <c r="AG159" s="293"/>
      <c r="AH159" s="293"/>
      <c r="AI159" s="293"/>
      <c r="AJ159" s="293"/>
      <c r="AK159" s="293"/>
      <c r="AL159" s="293"/>
      <c r="AM159" s="293"/>
      <c r="AN159" s="293"/>
      <c r="AO159" s="293"/>
      <c r="AP159" s="293"/>
      <c r="AQ159" s="293"/>
      <c r="AR159" s="293"/>
      <c r="AS159" s="293"/>
      <c r="AT159" s="293"/>
      <c r="AU159" s="293"/>
      <c r="AV159" s="293"/>
      <c r="AW159" s="293"/>
      <c r="AX159" s="293"/>
      <c r="AY159" s="293"/>
      <c r="AZ159" s="293"/>
      <c r="BA159" s="293"/>
      <c r="BB159" s="293"/>
      <c r="BC159" s="293"/>
      <c r="BD159" s="293"/>
      <c r="BE159" s="293"/>
      <c r="BF159" s="293"/>
      <c r="BG159" s="293"/>
      <c r="BH159" s="293"/>
      <c r="BI159" s="293"/>
      <c r="BJ159" s="293"/>
      <c r="BK159" s="293"/>
      <c r="BL159" s="293"/>
      <c r="BM159" s="293"/>
      <c r="BN159" s="293"/>
      <c r="BO159" s="293"/>
      <c r="BP159" s="293"/>
      <c r="BQ159" s="293"/>
      <c r="BR159" s="293"/>
      <c r="BS159" s="293"/>
      <c r="BT159" s="293"/>
      <c r="BU159" s="293"/>
      <c r="BV159" s="293"/>
      <c r="BW159" s="293"/>
      <c r="BX159" s="293"/>
      <c r="BY159" s="293"/>
      <c r="BZ159" s="293"/>
      <c r="CA159" s="293"/>
      <c r="CB159" s="293"/>
      <c r="CC159" s="293"/>
      <c r="CD159" s="293"/>
      <c r="CE159" s="293"/>
      <c r="CF159" s="293"/>
      <c r="CG159" s="293"/>
      <c r="CH159" s="293"/>
      <c r="CI159" s="293"/>
      <c r="CJ159" s="293"/>
      <c r="CK159" s="293"/>
      <c r="CL159" s="293"/>
      <c r="CM159" s="293"/>
      <c r="CN159" s="293"/>
      <c r="CO159" s="293"/>
      <c r="CP159" s="293"/>
      <c r="CQ159" s="293"/>
      <c r="CR159" s="293"/>
      <c r="CS159" s="293"/>
      <c r="CT159" s="293"/>
      <c r="CU159" s="293"/>
      <c r="CV159" s="293"/>
      <c r="CW159" s="293"/>
      <c r="CX159" s="293"/>
      <c r="CY159" s="293"/>
      <c r="CZ159" s="293"/>
      <c r="DA159" s="293"/>
      <c r="DB159" s="293"/>
      <c r="DC159" s="293"/>
      <c r="DD159" s="293"/>
      <c r="DE159" s="293"/>
      <c r="DF159" s="293"/>
    </row>
    <row r="160" ht="14.25" customHeight="1">
      <c r="A160" s="293"/>
      <c r="B160" s="293"/>
      <c r="C160" s="293"/>
      <c r="D160" s="293"/>
      <c r="E160" s="293"/>
      <c r="F160" s="293"/>
      <c r="G160" s="293"/>
      <c r="H160" s="293"/>
      <c r="I160" s="293"/>
      <c r="J160" s="293"/>
      <c r="K160" s="293"/>
      <c r="L160" s="293"/>
      <c r="M160" s="293"/>
      <c r="N160" s="293"/>
      <c r="O160" s="293"/>
      <c r="P160" s="293"/>
      <c r="Q160" s="293"/>
      <c r="R160" s="293"/>
      <c r="S160" s="293"/>
      <c r="T160" s="293"/>
      <c r="U160" s="293"/>
      <c r="V160" s="293"/>
      <c r="W160" s="293"/>
      <c r="X160" s="293"/>
      <c r="Y160" s="293"/>
      <c r="Z160" s="293"/>
      <c r="AA160" s="293"/>
      <c r="AB160" s="293"/>
      <c r="AC160" s="293"/>
      <c r="AD160" s="293"/>
      <c r="AE160" s="293"/>
      <c r="AF160" s="293"/>
      <c r="AG160" s="293"/>
      <c r="AH160" s="293"/>
      <c r="AI160" s="293"/>
      <c r="AJ160" s="293"/>
      <c r="AK160" s="293"/>
      <c r="AL160" s="293"/>
      <c r="AM160" s="293"/>
      <c r="AN160" s="293"/>
      <c r="AO160" s="293"/>
      <c r="AP160" s="293"/>
      <c r="AQ160" s="293"/>
      <c r="AR160" s="293"/>
      <c r="AS160" s="293"/>
      <c r="AT160" s="293"/>
      <c r="AU160" s="293"/>
      <c r="AV160" s="293"/>
      <c r="AW160" s="293"/>
      <c r="AX160" s="293"/>
      <c r="AY160" s="293"/>
      <c r="AZ160" s="293"/>
      <c r="BA160" s="293"/>
      <c r="BB160" s="293"/>
      <c r="BC160" s="293"/>
      <c r="BD160" s="293"/>
      <c r="BE160" s="293"/>
      <c r="BF160" s="293"/>
      <c r="BG160" s="293"/>
      <c r="BH160" s="293"/>
      <c r="BI160" s="293"/>
      <c r="BJ160" s="293"/>
      <c r="BK160" s="293"/>
      <c r="BL160" s="293"/>
      <c r="BM160" s="293"/>
      <c r="BN160" s="293"/>
      <c r="BO160" s="293"/>
      <c r="BP160" s="293"/>
      <c r="BQ160" s="293"/>
      <c r="BR160" s="293"/>
      <c r="BS160" s="293"/>
      <c r="BT160" s="293"/>
      <c r="BU160" s="293"/>
      <c r="BV160" s="293"/>
      <c r="BW160" s="293"/>
      <c r="BX160" s="293"/>
      <c r="BY160" s="293"/>
      <c r="BZ160" s="293"/>
      <c r="CA160" s="293"/>
      <c r="CB160" s="293"/>
      <c r="CC160" s="293"/>
      <c r="CD160" s="293"/>
      <c r="CE160" s="293"/>
      <c r="CF160" s="293"/>
      <c r="CG160" s="293"/>
      <c r="CH160" s="293"/>
      <c r="CI160" s="293"/>
      <c r="CJ160" s="293"/>
      <c r="CK160" s="293"/>
      <c r="CL160" s="293"/>
      <c r="CM160" s="293"/>
      <c r="CN160" s="293"/>
      <c r="CO160" s="293"/>
      <c r="CP160" s="293"/>
      <c r="CQ160" s="293"/>
      <c r="CR160" s="293"/>
      <c r="CS160" s="293"/>
      <c r="CT160" s="293"/>
      <c r="CU160" s="293"/>
      <c r="CV160" s="293"/>
      <c r="CW160" s="293"/>
      <c r="CX160" s="293"/>
      <c r="CY160" s="293"/>
      <c r="CZ160" s="293"/>
      <c r="DA160" s="293"/>
      <c r="DB160" s="293"/>
      <c r="DC160" s="293"/>
      <c r="DD160" s="293"/>
      <c r="DE160" s="293"/>
      <c r="DF160" s="293"/>
    </row>
    <row r="161" ht="14.25" customHeight="1">
      <c r="A161" s="293"/>
      <c r="B161" s="293"/>
      <c r="C161" s="293"/>
      <c r="D161" s="293"/>
      <c r="E161" s="293"/>
      <c r="F161" s="293"/>
      <c r="G161" s="293"/>
      <c r="H161" s="293"/>
      <c r="I161" s="293"/>
      <c r="J161" s="293"/>
      <c r="K161" s="293"/>
      <c r="L161" s="293"/>
      <c r="M161" s="293"/>
      <c r="N161" s="293"/>
      <c r="O161" s="293"/>
      <c r="P161" s="293"/>
      <c r="Q161" s="293"/>
      <c r="R161" s="293"/>
      <c r="S161" s="293"/>
      <c r="T161" s="293"/>
      <c r="U161" s="293"/>
      <c r="V161" s="293"/>
      <c r="W161" s="293"/>
      <c r="X161" s="293"/>
      <c r="Y161" s="293"/>
      <c r="Z161" s="293"/>
      <c r="AA161" s="293"/>
      <c r="AB161" s="293"/>
      <c r="AC161" s="293"/>
      <c r="AD161" s="293"/>
      <c r="AE161" s="293"/>
      <c r="AF161" s="293"/>
      <c r="AG161" s="293"/>
      <c r="AH161" s="293"/>
      <c r="AI161" s="293"/>
      <c r="AJ161" s="293"/>
      <c r="AK161" s="293"/>
      <c r="AL161" s="293"/>
      <c r="AM161" s="293"/>
      <c r="AN161" s="293"/>
      <c r="AO161" s="293"/>
      <c r="AP161" s="293"/>
      <c r="AQ161" s="293"/>
      <c r="AR161" s="293"/>
      <c r="AS161" s="293"/>
      <c r="AT161" s="293"/>
      <c r="AU161" s="293"/>
      <c r="AV161" s="293"/>
      <c r="AW161" s="293"/>
      <c r="AX161" s="293"/>
      <c r="AY161" s="293"/>
      <c r="AZ161" s="293"/>
      <c r="BA161" s="293"/>
      <c r="BB161" s="293"/>
      <c r="BC161" s="293"/>
      <c r="BD161" s="293"/>
      <c r="BE161" s="293"/>
      <c r="BF161" s="293"/>
      <c r="BG161" s="293"/>
      <c r="BH161" s="293"/>
      <c r="BI161" s="293"/>
      <c r="BJ161" s="293"/>
      <c r="BK161" s="293"/>
      <c r="BL161" s="293"/>
      <c r="BM161" s="293"/>
      <c r="BN161" s="293"/>
      <c r="BO161" s="293"/>
      <c r="BP161" s="293"/>
      <c r="BQ161" s="293"/>
      <c r="BR161" s="293"/>
      <c r="BS161" s="293"/>
      <c r="BT161" s="293"/>
      <c r="BU161" s="293"/>
      <c r="BV161" s="293"/>
      <c r="BW161" s="293"/>
      <c r="BX161" s="293"/>
      <c r="BY161" s="293"/>
      <c r="BZ161" s="293"/>
      <c r="CA161" s="293"/>
      <c r="CB161" s="293"/>
      <c r="CC161" s="293"/>
      <c r="CD161" s="293"/>
      <c r="CE161" s="293"/>
      <c r="CF161" s="293"/>
      <c r="CG161" s="293"/>
      <c r="CH161" s="293"/>
      <c r="CI161" s="293"/>
      <c r="CJ161" s="293"/>
      <c r="CK161" s="293"/>
      <c r="CL161" s="293"/>
      <c r="CM161" s="293"/>
      <c r="CN161" s="293"/>
      <c r="CO161" s="293"/>
      <c r="CP161" s="293"/>
      <c r="CQ161" s="293"/>
      <c r="CR161" s="293"/>
      <c r="CS161" s="293"/>
      <c r="CT161" s="293"/>
      <c r="CU161" s="293"/>
      <c r="CV161" s="293"/>
      <c r="CW161" s="293"/>
      <c r="CX161" s="293"/>
      <c r="CY161" s="293"/>
      <c r="CZ161" s="293"/>
      <c r="DA161" s="293"/>
      <c r="DB161" s="293"/>
      <c r="DC161" s="293"/>
      <c r="DD161" s="293"/>
      <c r="DE161" s="293"/>
      <c r="DF161" s="293"/>
    </row>
    <row r="162" ht="14.25" customHeight="1">
      <c r="A162" s="293"/>
      <c r="B162" s="293"/>
      <c r="C162" s="293"/>
      <c r="D162" s="293"/>
      <c r="E162" s="293"/>
      <c r="F162" s="293"/>
      <c r="G162" s="293"/>
      <c r="H162" s="293"/>
      <c r="I162" s="293"/>
      <c r="J162" s="293"/>
      <c r="K162" s="293"/>
      <c r="L162" s="293"/>
      <c r="M162" s="293"/>
      <c r="N162" s="293"/>
      <c r="O162" s="293"/>
      <c r="P162" s="293"/>
      <c r="Q162" s="293"/>
      <c r="R162" s="293"/>
      <c r="S162" s="293"/>
      <c r="T162" s="293"/>
      <c r="U162" s="293"/>
      <c r="V162" s="293"/>
      <c r="W162" s="293"/>
      <c r="X162" s="293"/>
      <c r="Y162" s="293"/>
      <c r="Z162" s="293"/>
      <c r="AA162" s="293"/>
      <c r="AB162" s="293"/>
      <c r="AC162" s="293"/>
      <c r="AD162" s="293"/>
      <c r="AE162" s="293"/>
      <c r="AF162" s="293"/>
      <c r="AG162" s="293"/>
      <c r="AH162" s="293"/>
      <c r="AI162" s="293"/>
      <c r="AJ162" s="293"/>
      <c r="AK162" s="293"/>
      <c r="AL162" s="293"/>
      <c r="AM162" s="293"/>
      <c r="AN162" s="293"/>
      <c r="AO162" s="293"/>
      <c r="AP162" s="293"/>
      <c r="AQ162" s="293"/>
      <c r="AR162" s="293"/>
      <c r="AS162" s="293"/>
      <c r="AT162" s="293"/>
      <c r="AU162" s="293"/>
      <c r="AV162" s="293"/>
      <c r="AW162" s="293"/>
      <c r="AX162" s="293"/>
      <c r="AY162" s="293"/>
      <c r="AZ162" s="293"/>
      <c r="BA162" s="293"/>
      <c r="BB162" s="293"/>
      <c r="BC162" s="293"/>
      <c r="BD162" s="293"/>
      <c r="BE162" s="293"/>
      <c r="BF162" s="293"/>
      <c r="BG162" s="293"/>
      <c r="BH162" s="293"/>
      <c r="BI162" s="293"/>
      <c r="BJ162" s="293"/>
      <c r="BK162" s="293"/>
      <c r="BL162" s="293"/>
      <c r="BM162" s="293"/>
      <c r="BN162" s="293"/>
      <c r="BO162" s="293"/>
      <c r="BP162" s="293"/>
      <c r="BQ162" s="293"/>
      <c r="BR162" s="293"/>
      <c r="BS162" s="293"/>
      <c r="BT162" s="293"/>
      <c r="BU162" s="293"/>
      <c r="BV162" s="293"/>
      <c r="BW162" s="293"/>
      <c r="BX162" s="293"/>
      <c r="BY162" s="293"/>
      <c r="BZ162" s="293"/>
      <c r="CA162" s="293"/>
      <c r="CB162" s="293"/>
      <c r="CC162" s="293"/>
      <c r="CD162" s="293"/>
      <c r="CE162" s="293"/>
      <c r="CF162" s="293"/>
      <c r="CG162" s="293"/>
      <c r="CH162" s="293"/>
      <c r="CI162" s="293"/>
      <c r="CJ162" s="293"/>
      <c r="CK162" s="293"/>
      <c r="CL162" s="293"/>
      <c r="CM162" s="293"/>
      <c r="CN162" s="293"/>
      <c r="CO162" s="293"/>
      <c r="CP162" s="293"/>
      <c r="CQ162" s="293"/>
      <c r="CR162" s="293"/>
      <c r="CS162" s="293"/>
      <c r="CT162" s="293"/>
      <c r="CU162" s="293"/>
      <c r="CV162" s="293"/>
      <c r="CW162" s="293"/>
      <c r="CX162" s="293"/>
      <c r="CY162" s="293"/>
      <c r="CZ162" s="293"/>
      <c r="DA162" s="293"/>
      <c r="DB162" s="293"/>
      <c r="DC162" s="293"/>
      <c r="DD162" s="293"/>
      <c r="DE162" s="293"/>
      <c r="DF162" s="293"/>
    </row>
    <row r="163" ht="14.25" customHeight="1">
      <c r="A163" s="293"/>
      <c r="B163" s="293"/>
      <c r="C163" s="293"/>
      <c r="D163" s="293"/>
      <c r="E163" s="293"/>
      <c r="F163" s="293"/>
      <c r="G163" s="293"/>
      <c r="H163" s="293"/>
      <c r="I163" s="293"/>
      <c r="J163" s="293"/>
      <c r="K163" s="293"/>
      <c r="L163" s="293"/>
      <c r="M163" s="293"/>
      <c r="N163" s="293"/>
      <c r="O163" s="293"/>
      <c r="P163" s="293"/>
      <c r="Q163" s="293"/>
      <c r="R163" s="293"/>
      <c r="S163" s="293"/>
      <c r="T163" s="293"/>
      <c r="U163" s="293"/>
      <c r="V163" s="293"/>
      <c r="W163" s="293"/>
      <c r="X163" s="293"/>
      <c r="Y163" s="293"/>
      <c r="Z163" s="293"/>
      <c r="AA163" s="293"/>
      <c r="AB163" s="293"/>
      <c r="AC163" s="293"/>
      <c r="AD163" s="293"/>
      <c r="AE163" s="293"/>
      <c r="AF163" s="293"/>
      <c r="AG163" s="293"/>
      <c r="AH163" s="293"/>
      <c r="AI163" s="293"/>
      <c r="AJ163" s="293"/>
      <c r="AK163" s="293"/>
      <c r="AL163" s="293"/>
      <c r="AM163" s="293"/>
      <c r="AN163" s="293"/>
      <c r="AO163" s="293"/>
      <c r="AP163" s="293"/>
      <c r="AQ163" s="293"/>
      <c r="AR163" s="293"/>
      <c r="AS163" s="293"/>
      <c r="AT163" s="293"/>
      <c r="AU163" s="293"/>
      <c r="AV163" s="293"/>
      <c r="AW163" s="293"/>
      <c r="AX163" s="293"/>
      <c r="AY163" s="293"/>
      <c r="AZ163" s="293"/>
      <c r="BA163" s="293"/>
      <c r="BB163" s="293"/>
      <c r="BC163" s="293"/>
      <c r="BD163" s="293"/>
      <c r="BE163" s="293"/>
      <c r="BF163" s="293"/>
      <c r="BG163" s="293"/>
      <c r="BH163" s="293"/>
      <c r="BI163" s="293"/>
      <c r="BJ163" s="293"/>
      <c r="BK163" s="293"/>
      <c r="BL163" s="293"/>
      <c r="BM163" s="293"/>
      <c r="BN163" s="293"/>
      <c r="BO163" s="293"/>
      <c r="BP163" s="293"/>
      <c r="BQ163" s="293"/>
      <c r="BR163" s="293"/>
      <c r="BS163" s="293"/>
      <c r="BT163" s="293"/>
      <c r="BU163" s="293"/>
      <c r="BV163" s="293"/>
      <c r="BW163" s="293"/>
      <c r="BX163" s="293"/>
      <c r="BY163" s="293"/>
      <c r="BZ163" s="293"/>
      <c r="CA163" s="293"/>
      <c r="CB163" s="293"/>
      <c r="CC163" s="293"/>
      <c r="CD163" s="293"/>
      <c r="CE163" s="293"/>
      <c r="CF163" s="293"/>
      <c r="CG163" s="293"/>
      <c r="CH163" s="293"/>
      <c r="CI163" s="293"/>
      <c r="CJ163" s="293"/>
      <c r="CK163" s="293"/>
      <c r="CL163" s="293"/>
      <c r="CM163" s="293"/>
      <c r="CN163" s="293"/>
      <c r="CO163" s="293"/>
      <c r="CP163" s="293"/>
      <c r="CQ163" s="293"/>
      <c r="CR163" s="293"/>
      <c r="CS163" s="293"/>
      <c r="CT163" s="293"/>
      <c r="CU163" s="293"/>
      <c r="CV163" s="293"/>
      <c r="CW163" s="293"/>
      <c r="CX163" s="293"/>
      <c r="CY163" s="293"/>
      <c r="CZ163" s="293"/>
      <c r="DA163" s="293"/>
      <c r="DB163" s="293"/>
      <c r="DC163" s="293"/>
      <c r="DD163" s="293"/>
      <c r="DE163" s="293"/>
      <c r="DF163" s="293"/>
    </row>
    <row r="164" ht="14.25" customHeight="1">
      <c r="A164" s="293"/>
      <c r="B164" s="293"/>
      <c r="C164" s="293"/>
      <c r="D164" s="293"/>
      <c r="E164" s="293"/>
      <c r="F164" s="293"/>
      <c r="G164" s="293"/>
      <c r="H164" s="293"/>
      <c r="I164" s="293"/>
      <c r="J164" s="293"/>
      <c r="K164" s="293"/>
      <c r="L164" s="293"/>
      <c r="M164" s="293"/>
      <c r="N164" s="293"/>
      <c r="O164" s="293"/>
      <c r="P164" s="293"/>
      <c r="Q164" s="293"/>
      <c r="R164" s="293"/>
      <c r="S164" s="293"/>
      <c r="T164" s="293"/>
      <c r="U164" s="293"/>
      <c r="V164" s="293"/>
      <c r="W164" s="293"/>
      <c r="X164" s="293"/>
      <c r="Y164" s="293"/>
      <c r="Z164" s="293"/>
      <c r="AA164" s="293"/>
      <c r="AB164" s="293"/>
      <c r="AC164" s="293"/>
      <c r="AD164" s="293"/>
      <c r="AE164" s="293"/>
      <c r="AF164" s="293"/>
      <c r="AG164" s="293"/>
      <c r="AH164" s="293"/>
      <c r="AI164" s="293"/>
      <c r="AJ164" s="293"/>
      <c r="AK164" s="293"/>
      <c r="AL164" s="293"/>
      <c r="AM164" s="293"/>
      <c r="AN164" s="293"/>
      <c r="AO164" s="293"/>
      <c r="AP164" s="293"/>
      <c r="AQ164" s="293"/>
      <c r="AR164" s="293"/>
      <c r="AS164" s="293"/>
      <c r="AT164" s="293"/>
      <c r="AU164" s="293"/>
      <c r="AV164" s="293"/>
      <c r="AW164" s="293"/>
      <c r="AX164" s="293"/>
      <c r="AY164" s="293"/>
      <c r="AZ164" s="293"/>
      <c r="BA164" s="293"/>
      <c r="BB164" s="293"/>
      <c r="BC164" s="293"/>
      <c r="BD164" s="293"/>
      <c r="BE164" s="293"/>
      <c r="BF164" s="293"/>
      <c r="BG164" s="293"/>
      <c r="BH164" s="293"/>
      <c r="BI164" s="293"/>
      <c r="BJ164" s="293"/>
      <c r="BK164" s="293"/>
      <c r="BL164" s="293"/>
      <c r="BM164" s="293"/>
      <c r="BN164" s="293"/>
      <c r="BO164" s="293"/>
      <c r="BP164" s="293"/>
      <c r="BQ164" s="293"/>
      <c r="BR164" s="293"/>
      <c r="BS164" s="293"/>
      <c r="BT164" s="293"/>
      <c r="BU164" s="293"/>
      <c r="BV164" s="293"/>
      <c r="BW164" s="293"/>
      <c r="BX164" s="293"/>
      <c r="BY164" s="293"/>
      <c r="BZ164" s="293"/>
      <c r="CA164" s="293"/>
      <c r="CB164" s="293"/>
      <c r="CC164" s="293"/>
      <c r="CD164" s="293"/>
      <c r="CE164" s="293"/>
      <c r="CF164" s="293"/>
      <c r="CG164" s="293"/>
      <c r="CH164" s="293"/>
      <c r="CI164" s="293"/>
      <c r="CJ164" s="293"/>
      <c r="CK164" s="293"/>
      <c r="CL164" s="293"/>
      <c r="CM164" s="293"/>
      <c r="CN164" s="293"/>
      <c r="CO164" s="293"/>
      <c r="CP164" s="293"/>
      <c r="CQ164" s="293"/>
      <c r="CR164" s="293"/>
      <c r="CS164" s="293"/>
      <c r="CT164" s="293"/>
      <c r="CU164" s="293"/>
      <c r="CV164" s="293"/>
      <c r="CW164" s="293"/>
      <c r="CX164" s="293"/>
      <c r="CY164" s="293"/>
      <c r="CZ164" s="293"/>
      <c r="DA164" s="293"/>
      <c r="DB164" s="293"/>
      <c r="DC164" s="293"/>
      <c r="DD164" s="293"/>
      <c r="DE164" s="293"/>
      <c r="DF164" s="293"/>
    </row>
    <row r="165" ht="14.25" customHeight="1">
      <c r="A165" s="293"/>
      <c r="B165" s="293"/>
      <c r="C165" s="293"/>
      <c r="D165" s="293"/>
      <c r="E165" s="293"/>
      <c r="F165" s="293"/>
      <c r="G165" s="293"/>
      <c r="H165" s="293"/>
      <c r="I165" s="293"/>
      <c r="J165" s="293"/>
      <c r="K165" s="293"/>
      <c r="L165" s="293"/>
      <c r="M165" s="293"/>
      <c r="N165" s="293"/>
      <c r="O165" s="293"/>
      <c r="P165" s="293"/>
      <c r="Q165" s="293"/>
      <c r="R165" s="293"/>
      <c r="S165" s="293"/>
      <c r="T165" s="293"/>
      <c r="U165" s="293"/>
      <c r="V165" s="293"/>
      <c r="W165" s="293"/>
      <c r="X165" s="293"/>
      <c r="Y165" s="293"/>
      <c r="Z165" s="293"/>
      <c r="AA165" s="293"/>
      <c r="AB165" s="293"/>
      <c r="AC165" s="293"/>
      <c r="AD165" s="293"/>
      <c r="AE165" s="293"/>
      <c r="AF165" s="293"/>
      <c r="AG165" s="293"/>
      <c r="AH165" s="293"/>
      <c r="AI165" s="293"/>
      <c r="AJ165" s="293"/>
      <c r="AK165" s="293"/>
      <c r="AL165" s="293"/>
      <c r="AM165" s="293"/>
      <c r="AN165" s="293"/>
      <c r="AO165" s="293"/>
      <c r="AP165" s="293"/>
      <c r="AQ165" s="293"/>
      <c r="AR165" s="293"/>
      <c r="AS165" s="293"/>
      <c r="AT165" s="293"/>
      <c r="AU165" s="293"/>
      <c r="AV165" s="293"/>
      <c r="AW165" s="293"/>
      <c r="AX165" s="293"/>
      <c r="AY165" s="293"/>
      <c r="AZ165" s="293"/>
      <c r="BA165" s="293"/>
      <c r="BB165" s="293"/>
      <c r="BC165" s="293"/>
      <c r="BD165" s="293"/>
      <c r="BE165" s="293"/>
      <c r="BF165" s="293"/>
      <c r="BG165" s="293"/>
      <c r="BH165" s="293"/>
      <c r="BI165" s="293"/>
      <c r="BJ165" s="293"/>
      <c r="BK165" s="293"/>
      <c r="BL165" s="293"/>
      <c r="BM165" s="293"/>
      <c r="BN165" s="293"/>
      <c r="BO165" s="293"/>
      <c r="BP165" s="293"/>
      <c r="BQ165" s="293"/>
      <c r="BR165" s="293"/>
      <c r="BS165" s="293"/>
      <c r="BT165" s="293"/>
      <c r="BU165" s="293"/>
      <c r="BV165" s="293"/>
      <c r="BW165" s="293"/>
      <c r="BX165" s="293"/>
      <c r="BY165" s="293"/>
      <c r="BZ165" s="293"/>
      <c r="CA165" s="293"/>
      <c r="CB165" s="293"/>
      <c r="CC165" s="293"/>
      <c r="CD165" s="293"/>
      <c r="CE165" s="293"/>
      <c r="CF165" s="293"/>
      <c r="CG165" s="293"/>
      <c r="CH165" s="293"/>
      <c r="CI165" s="293"/>
      <c r="CJ165" s="293"/>
      <c r="CK165" s="293"/>
      <c r="CL165" s="293"/>
      <c r="CM165" s="293"/>
      <c r="CN165" s="293"/>
      <c r="CO165" s="293"/>
      <c r="CP165" s="293"/>
      <c r="CQ165" s="293"/>
      <c r="CR165" s="293"/>
      <c r="CS165" s="293"/>
      <c r="CT165" s="293"/>
      <c r="CU165" s="293"/>
      <c r="CV165" s="293"/>
      <c r="CW165" s="293"/>
      <c r="CX165" s="293"/>
      <c r="CY165" s="293"/>
      <c r="CZ165" s="293"/>
      <c r="DA165" s="293"/>
      <c r="DB165" s="293"/>
      <c r="DC165" s="293"/>
      <c r="DD165" s="293"/>
      <c r="DE165" s="293"/>
      <c r="DF165" s="293"/>
    </row>
    <row r="166" ht="14.25" customHeight="1">
      <c r="A166" s="293"/>
      <c r="B166" s="293"/>
      <c r="C166" s="293"/>
      <c r="D166" s="293"/>
      <c r="E166" s="293"/>
      <c r="F166" s="293"/>
      <c r="G166" s="293"/>
      <c r="H166" s="293"/>
      <c r="I166" s="293"/>
      <c r="J166" s="293"/>
      <c r="K166" s="293"/>
      <c r="L166" s="293"/>
      <c r="M166" s="293"/>
      <c r="N166" s="293"/>
      <c r="O166" s="293"/>
      <c r="P166" s="293"/>
      <c r="Q166" s="293"/>
      <c r="R166" s="293"/>
      <c r="S166" s="293"/>
      <c r="T166" s="293"/>
      <c r="U166" s="293"/>
      <c r="V166" s="293"/>
      <c r="W166" s="293"/>
      <c r="X166" s="293"/>
      <c r="Y166" s="293"/>
      <c r="Z166" s="293"/>
      <c r="AA166" s="293"/>
      <c r="AB166" s="293"/>
      <c r="AC166" s="293"/>
      <c r="AD166" s="293"/>
      <c r="AE166" s="293"/>
      <c r="AF166" s="293"/>
      <c r="AG166" s="293"/>
      <c r="AH166" s="293"/>
      <c r="AI166" s="293"/>
      <c r="AJ166" s="293"/>
      <c r="AK166" s="293"/>
      <c r="AL166" s="293"/>
      <c r="AM166" s="293"/>
      <c r="AN166" s="293"/>
      <c r="AO166" s="293"/>
      <c r="AP166" s="293"/>
      <c r="AQ166" s="293"/>
      <c r="AR166" s="293"/>
      <c r="AS166" s="293"/>
      <c r="AT166" s="293"/>
      <c r="AU166" s="293"/>
      <c r="AV166" s="293"/>
      <c r="AW166" s="293"/>
      <c r="AX166" s="293"/>
      <c r="AY166" s="293"/>
      <c r="AZ166" s="293"/>
      <c r="BA166" s="293"/>
      <c r="BB166" s="293"/>
      <c r="BC166" s="293"/>
      <c r="BD166" s="293"/>
      <c r="BE166" s="293"/>
      <c r="BF166" s="293"/>
      <c r="BG166" s="293"/>
      <c r="BH166" s="293"/>
      <c r="BI166" s="293"/>
      <c r="BJ166" s="293"/>
      <c r="BK166" s="293"/>
      <c r="BL166" s="293"/>
      <c r="BM166" s="293"/>
      <c r="BN166" s="293"/>
      <c r="BO166" s="293"/>
      <c r="BP166" s="293"/>
      <c r="BQ166" s="293"/>
      <c r="BR166" s="293"/>
      <c r="BS166" s="293"/>
      <c r="BT166" s="293"/>
      <c r="BU166" s="293"/>
      <c r="BV166" s="293"/>
      <c r="BW166" s="293"/>
      <c r="BX166" s="293"/>
      <c r="BY166" s="293"/>
      <c r="BZ166" s="293"/>
      <c r="CA166" s="293"/>
      <c r="CB166" s="293"/>
      <c r="CC166" s="293"/>
      <c r="CD166" s="293"/>
      <c r="CE166" s="293"/>
      <c r="CF166" s="293"/>
      <c r="CG166" s="293"/>
      <c r="CH166" s="293"/>
      <c r="CI166" s="293"/>
      <c r="CJ166" s="293"/>
      <c r="CK166" s="293"/>
      <c r="CL166" s="293"/>
      <c r="CM166" s="293"/>
      <c r="CN166" s="293"/>
      <c r="CO166" s="293"/>
      <c r="CP166" s="293"/>
      <c r="CQ166" s="293"/>
      <c r="CR166" s="293"/>
      <c r="CS166" s="293"/>
      <c r="CT166" s="293"/>
      <c r="CU166" s="293"/>
      <c r="CV166" s="293"/>
      <c r="CW166" s="293"/>
      <c r="CX166" s="293"/>
      <c r="CY166" s="293"/>
      <c r="CZ166" s="293"/>
      <c r="DA166" s="293"/>
      <c r="DB166" s="293"/>
      <c r="DC166" s="293"/>
      <c r="DD166" s="293"/>
      <c r="DE166" s="293"/>
      <c r="DF166" s="293"/>
    </row>
    <row r="167" ht="14.25" customHeight="1">
      <c r="A167" s="293"/>
      <c r="B167" s="293"/>
      <c r="C167" s="293"/>
      <c r="D167" s="293"/>
      <c r="E167" s="293"/>
      <c r="F167" s="293"/>
      <c r="G167" s="293"/>
      <c r="H167" s="293"/>
      <c r="I167" s="293"/>
      <c r="J167" s="293"/>
      <c r="K167" s="293"/>
      <c r="L167" s="293"/>
      <c r="M167" s="293"/>
      <c r="N167" s="293"/>
      <c r="O167" s="293"/>
      <c r="P167" s="293"/>
      <c r="Q167" s="293"/>
      <c r="R167" s="293"/>
      <c r="S167" s="293"/>
      <c r="T167" s="293"/>
      <c r="U167" s="293"/>
      <c r="V167" s="293"/>
      <c r="W167" s="293"/>
      <c r="X167" s="293"/>
      <c r="Y167" s="293"/>
      <c r="Z167" s="293"/>
      <c r="AA167" s="293"/>
      <c r="AB167" s="293"/>
      <c r="AC167" s="293"/>
      <c r="AD167" s="293"/>
      <c r="AE167" s="293"/>
      <c r="AF167" s="293"/>
      <c r="AG167" s="293"/>
      <c r="AH167" s="293"/>
      <c r="AI167" s="293"/>
      <c r="AJ167" s="293"/>
      <c r="AK167" s="293"/>
      <c r="AL167" s="293"/>
      <c r="AM167" s="293"/>
      <c r="AN167" s="293"/>
      <c r="AO167" s="293"/>
      <c r="AP167" s="293"/>
      <c r="AQ167" s="293"/>
      <c r="AR167" s="293"/>
      <c r="AS167" s="293"/>
      <c r="AT167" s="293"/>
      <c r="AU167" s="293"/>
      <c r="AV167" s="293"/>
      <c r="AW167" s="293"/>
      <c r="AX167" s="293"/>
      <c r="AY167" s="293"/>
      <c r="AZ167" s="293"/>
      <c r="BA167" s="293"/>
      <c r="BB167" s="293"/>
      <c r="BC167" s="293"/>
      <c r="BD167" s="293"/>
      <c r="BE167" s="293"/>
      <c r="BF167" s="293"/>
      <c r="BG167" s="293"/>
      <c r="BH167" s="293"/>
      <c r="BI167" s="293"/>
      <c r="BJ167" s="293"/>
      <c r="BK167" s="293"/>
      <c r="BL167" s="293"/>
      <c r="BM167" s="293"/>
      <c r="BN167" s="293"/>
      <c r="BO167" s="293"/>
      <c r="BP167" s="293"/>
      <c r="BQ167" s="293"/>
      <c r="BR167" s="293"/>
      <c r="BS167" s="293"/>
      <c r="BT167" s="293"/>
      <c r="BU167" s="293"/>
      <c r="BV167" s="293"/>
      <c r="BW167" s="293"/>
      <c r="BX167" s="293"/>
      <c r="BY167" s="293"/>
      <c r="BZ167" s="293"/>
      <c r="CA167" s="293"/>
      <c r="CB167" s="293"/>
      <c r="CC167" s="293"/>
      <c r="CD167" s="293"/>
      <c r="CE167" s="293"/>
      <c r="CF167" s="293"/>
      <c r="CG167" s="293"/>
      <c r="CH167" s="293"/>
      <c r="CI167" s="293"/>
      <c r="CJ167" s="293"/>
      <c r="CK167" s="293"/>
      <c r="CL167" s="293"/>
      <c r="CM167" s="293"/>
      <c r="CN167" s="293"/>
      <c r="CO167" s="293"/>
      <c r="CP167" s="293"/>
      <c r="CQ167" s="293"/>
      <c r="CR167" s="293"/>
      <c r="CS167" s="293"/>
      <c r="CT167" s="293"/>
      <c r="CU167" s="293"/>
      <c r="CV167" s="293"/>
      <c r="CW167" s="293"/>
      <c r="CX167" s="293"/>
      <c r="CY167" s="293"/>
      <c r="CZ167" s="293"/>
      <c r="DA167" s="293"/>
      <c r="DB167" s="293"/>
      <c r="DC167" s="293"/>
      <c r="DD167" s="293"/>
      <c r="DE167" s="293"/>
      <c r="DF167" s="293"/>
    </row>
    <row r="168" ht="14.25" customHeight="1">
      <c r="A168" s="293"/>
      <c r="B168" s="293"/>
      <c r="C168" s="293"/>
      <c r="D168" s="293"/>
      <c r="E168" s="293"/>
      <c r="F168" s="293"/>
      <c r="G168" s="293"/>
      <c r="H168" s="293"/>
      <c r="I168" s="293"/>
      <c r="J168" s="293"/>
      <c r="K168" s="293"/>
      <c r="L168" s="293"/>
      <c r="M168" s="293"/>
      <c r="N168" s="293"/>
      <c r="O168" s="293"/>
      <c r="P168" s="293"/>
      <c r="Q168" s="293"/>
      <c r="R168" s="293"/>
      <c r="S168" s="293"/>
      <c r="T168" s="293"/>
      <c r="U168" s="293"/>
      <c r="V168" s="293"/>
      <c r="W168" s="293"/>
      <c r="X168" s="293"/>
      <c r="Y168" s="293"/>
      <c r="Z168" s="293"/>
      <c r="AA168" s="293"/>
      <c r="AB168" s="293"/>
      <c r="AC168" s="293"/>
      <c r="AD168" s="293"/>
      <c r="AE168" s="293"/>
      <c r="AF168" s="293"/>
      <c r="AG168" s="293"/>
      <c r="AH168" s="293"/>
      <c r="AI168" s="293"/>
      <c r="AJ168" s="293"/>
      <c r="AK168" s="293"/>
      <c r="AL168" s="293"/>
      <c r="AM168" s="293"/>
      <c r="AN168" s="293"/>
      <c r="AO168" s="293"/>
      <c r="AP168" s="293"/>
      <c r="AQ168" s="293"/>
      <c r="AR168" s="293"/>
      <c r="AS168" s="293"/>
      <c r="AT168" s="293"/>
      <c r="AU168" s="293"/>
      <c r="AV168" s="293"/>
      <c r="AW168" s="293"/>
      <c r="AX168" s="293"/>
      <c r="AY168" s="293"/>
      <c r="AZ168" s="293"/>
      <c r="BA168" s="293"/>
      <c r="BB168" s="293"/>
      <c r="BC168" s="293"/>
      <c r="BD168" s="293"/>
      <c r="BE168" s="293"/>
      <c r="BF168" s="293"/>
      <c r="BG168" s="293"/>
      <c r="BH168" s="293"/>
      <c r="BI168" s="293"/>
      <c r="BJ168" s="293"/>
      <c r="BK168" s="293"/>
      <c r="BL168" s="293"/>
      <c r="BM168" s="293"/>
      <c r="BN168" s="293"/>
      <c r="BO168" s="293"/>
      <c r="BP168" s="293"/>
      <c r="BQ168" s="293"/>
      <c r="BR168" s="293"/>
      <c r="BS168" s="293"/>
      <c r="BT168" s="293"/>
      <c r="BU168" s="293"/>
      <c r="BV168" s="293"/>
      <c r="BW168" s="293"/>
      <c r="BX168" s="293"/>
      <c r="BY168" s="293"/>
      <c r="BZ168" s="293"/>
      <c r="CA168" s="293"/>
      <c r="CB168" s="293"/>
      <c r="CC168" s="293"/>
      <c r="CD168" s="293"/>
      <c r="CE168" s="293"/>
      <c r="CF168" s="293"/>
      <c r="CG168" s="293"/>
      <c r="CH168" s="293"/>
      <c r="CI168" s="293"/>
      <c r="CJ168" s="293"/>
      <c r="CK168" s="293"/>
      <c r="CL168" s="293"/>
      <c r="CM168" s="293"/>
      <c r="CN168" s="293"/>
      <c r="CO168" s="293"/>
      <c r="CP168" s="293"/>
      <c r="CQ168" s="293"/>
      <c r="CR168" s="293"/>
      <c r="CS168" s="293"/>
      <c r="CT168" s="293"/>
      <c r="CU168" s="293"/>
      <c r="CV168" s="293"/>
      <c r="CW168" s="293"/>
      <c r="CX168" s="293"/>
      <c r="CY168" s="293"/>
      <c r="CZ168" s="293"/>
      <c r="DA168" s="293"/>
      <c r="DB168" s="293"/>
      <c r="DC168" s="293"/>
      <c r="DD168" s="293"/>
      <c r="DE168" s="293"/>
      <c r="DF168" s="293"/>
    </row>
    <row r="169" ht="14.25" customHeight="1">
      <c r="A169" s="293"/>
      <c r="B169" s="293"/>
      <c r="C169" s="293"/>
      <c r="D169" s="293"/>
      <c r="E169" s="293"/>
      <c r="F169" s="293"/>
      <c r="G169" s="293"/>
      <c r="H169" s="293"/>
      <c r="I169" s="293"/>
      <c r="J169" s="293"/>
      <c r="K169" s="293"/>
      <c r="L169" s="293"/>
      <c r="M169" s="293"/>
      <c r="N169" s="293"/>
      <c r="O169" s="293"/>
      <c r="P169" s="293"/>
      <c r="Q169" s="293"/>
      <c r="R169" s="293"/>
      <c r="S169" s="293"/>
      <c r="T169" s="293"/>
      <c r="U169" s="293"/>
      <c r="V169" s="293"/>
      <c r="W169" s="293"/>
      <c r="X169" s="293"/>
      <c r="Y169" s="293"/>
      <c r="Z169" s="293"/>
      <c r="AA169" s="293"/>
      <c r="AB169" s="293"/>
      <c r="AC169" s="293"/>
      <c r="AD169" s="293"/>
      <c r="AE169" s="293"/>
      <c r="AF169" s="293"/>
      <c r="AG169" s="293"/>
      <c r="AH169" s="293"/>
      <c r="AI169" s="293"/>
      <c r="AJ169" s="293"/>
      <c r="AK169" s="293"/>
      <c r="AL169" s="293"/>
      <c r="AM169" s="293"/>
      <c r="AN169" s="293"/>
      <c r="AO169" s="293"/>
      <c r="AP169" s="293"/>
      <c r="AQ169" s="293"/>
      <c r="AR169" s="293"/>
      <c r="AS169" s="293"/>
      <c r="AT169" s="293"/>
      <c r="AU169" s="293"/>
      <c r="AV169" s="293"/>
      <c r="AW169" s="293"/>
      <c r="AX169" s="293"/>
      <c r="AY169" s="293"/>
      <c r="AZ169" s="293"/>
      <c r="BA169" s="293"/>
      <c r="BB169" s="293"/>
      <c r="BC169" s="293"/>
      <c r="BD169" s="293"/>
      <c r="BE169" s="293"/>
      <c r="BF169" s="293"/>
      <c r="BG169" s="293"/>
      <c r="BH169" s="293"/>
      <c r="BI169" s="293"/>
      <c r="BJ169" s="293"/>
      <c r="BK169" s="293"/>
      <c r="BL169" s="293"/>
      <c r="BM169" s="293"/>
      <c r="BN169" s="293"/>
      <c r="BO169" s="293"/>
      <c r="BP169" s="293"/>
      <c r="BQ169" s="293"/>
      <c r="BR169" s="293"/>
      <c r="BS169" s="293"/>
      <c r="BT169" s="293"/>
      <c r="BU169" s="293"/>
      <c r="BV169" s="293"/>
      <c r="BW169" s="293"/>
      <c r="BX169" s="293"/>
      <c r="BY169" s="293"/>
      <c r="BZ169" s="293"/>
      <c r="CA169" s="293"/>
      <c r="CB169" s="293"/>
      <c r="CC169" s="293"/>
      <c r="CD169" s="293"/>
      <c r="CE169" s="293"/>
      <c r="CF169" s="293"/>
      <c r="CG169" s="293"/>
      <c r="CH169" s="293"/>
      <c r="CI169" s="293"/>
      <c r="CJ169" s="293"/>
      <c r="CK169" s="293"/>
      <c r="CL169" s="293"/>
      <c r="CM169" s="293"/>
      <c r="CN169" s="293"/>
      <c r="CO169" s="293"/>
      <c r="CP169" s="293"/>
      <c r="CQ169" s="293"/>
      <c r="CR169" s="293"/>
      <c r="CS169" s="293"/>
      <c r="CT169" s="293"/>
      <c r="CU169" s="293"/>
      <c r="CV169" s="293"/>
      <c r="CW169" s="293"/>
      <c r="CX169" s="293"/>
      <c r="CY169" s="293"/>
      <c r="CZ169" s="293"/>
      <c r="DA169" s="293"/>
      <c r="DB169" s="293"/>
      <c r="DC169" s="293"/>
      <c r="DD169" s="293"/>
      <c r="DE169" s="293"/>
      <c r="DF169" s="293"/>
    </row>
    <row r="170" ht="14.25" customHeight="1">
      <c r="A170" s="293"/>
      <c r="B170" s="293"/>
      <c r="C170" s="293"/>
      <c r="D170" s="293"/>
      <c r="E170" s="293"/>
      <c r="F170" s="293"/>
      <c r="G170" s="293"/>
      <c r="H170" s="293"/>
      <c r="I170" s="293"/>
      <c r="J170" s="293"/>
      <c r="K170" s="293"/>
      <c r="L170" s="293"/>
      <c r="M170" s="293"/>
      <c r="N170" s="293"/>
      <c r="O170" s="293"/>
      <c r="P170" s="293"/>
      <c r="Q170" s="293"/>
      <c r="R170" s="293"/>
      <c r="S170" s="293"/>
      <c r="T170" s="293"/>
      <c r="U170" s="293"/>
      <c r="V170" s="293"/>
      <c r="W170" s="293"/>
      <c r="X170" s="293"/>
      <c r="Y170" s="293"/>
      <c r="Z170" s="293"/>
      <c r="AA170" s="293"/>
      <c r="AB170" s="293"/>
      <c r="AC170" s="293"/>
      <c r="AD170" s="293"/>
      <c r="AE170" s="293"/>
      <c r="AF170" s="293"/>
      <c r="AG170" s="293"/>
      <c r="AH170" s="293"/>
      <c r="AI170" s="293"/>
      <c r="AJ170" s="293"/>
      <c r="AK170" s="293"/>
      <c r="AL170" s="293"/>
      <c r="AM170" s="293"/>
      <c r="AN170" s="293"/>
      <c r="AO170" s="293"/>
      <c r="AP170" s="293"/>
      <c r="AQ170" s="293"/>
      <c r="AR170" s="293"/>
      <c r="AS170" s="293"/>
      <c r="AT170" s="293"/>
      <c r="AU170" s="293"/>
      <c r="AV170" s="293"/>
      <c r="AW170" s="293"/>
      <c r="AX170" s="293"/>
      <c r="AY170" s="293"/>
      <c r="AZ170" s="293"/>
      <c r="BA170" s="293"/>
      <c r="BB170" s="293"/>
      <c r="BC170" s="293"/>
      <c r="BD170" s="293"/>
      <c r="BE170" s="293"/>
      <c r="BF170" s="293"/>
      <c r="BG170" s="293"/>
      <c r="BH170" s="293"/>
      <c r="BI170" s="293"/>
      <c r="BJ170" s="293"/>
      <c r="BK170" s="293"/>
      <c r="BL170" s="293"/>
      <c r="BM170" s="293"/>
      <c r="BN170" s="293"/>
      <c r="BO170" s="293"/>
      <c r="BP170" s="293"/>
      <c r="BQ170" s="293"/>
      <c r="BR170" s="293"/>
      <c r="BS170" s="293"/>
      <c r="BT170" s="293"/>
      <c r="BU170" s="293"/>
      <c r="BV170" s="293"/>
      <c r="BW170" s="293"/>
      <c r="BX170" s="293"/>
      <c r="BY170" s="293"/>
      <c r="BZ170" s="293"/>
      <c r="CA170" s="293"/>
      <c r="CB170" s="293"/>
      <c r="CC170" s="293"/>
      <c r="CD170" s="293"/>
      <c r="CE170" s="293"/>
      <c r="CF170" s="293"/>
      <c r="CG170" s="293"/>
      <c r="CH170" s="293"/>
      <c r="CI170" s="293"/>
      <c r="CJ170" s="293"/>
      <c r="CK170" s="293"/>
      <c r="CL170" s="293"/>
      <c r="CM170" s="293"/>
      <c r="CN170" s="293"/>
      <c r="CO170" s="293"/>
      <c r="CP170" s="293"/>
      <c r="CQ170" s="293"/>
      <c r="CR170" s="293"/>
      <c r="CS170" s="293"/>
      <c r="CT170" s="293"/>
      <c r="CU170" s="293"/>
      <c r="CV170" s="293"/>
      <c r="CW170" s="293"/>
      <c r="CX170" s="293"/>
      <c r="CY170" s="293"/>
      <c r="CZ170" s="293"/>
      <c r="DA170" s="293"/>
      <c r="DB170" s="293"/>
      <c r="DC170" s="293"/>
      <c r="DD170" s="293"/>
      <c r="DE170" s="293"/>
      <c r="DF170" s="293"/>
    </row>
    <row r="171" ht="14.25" customHeight="1">
      <c r="A171" s="293"/>
      <c r="B171" s="293"/>
      <c r="C171" s="293"/>
      <c r="D171" s="293"/>
      <c r="E171" s="293"/>
      <c r="F171" s="293"/>
      <c r="G171" s="293"/>
      <c r="H171" s="293"/>
      <c r="I171" s="293"/>
      <c r="J171" s="293"/>
      <c r="K171" s="293"/>
      <c r="L171" s="293"/>
      <c r="M171" s="293"/>
      <c r="N171" s="293"/>
      <c r="O171" s="293"/>
      <c r="P171" s="293"/>
      <c r="Q171" s="293"/>
      <c r="R171" s="293"/>
      <c r="S171" s="293"/>
      <c r="T171" s="293"/>
      <c r="U171" s="293"/>
      <c r="V171" s="293"/>
      <c r="W171" s="293"/>
      <c r="X171" s="293"/>
      <c r="Y171" s="293"/>
      <c r="Z171" s="293"/>
      <c r="AA171" s="293"/>
      <c r="AB171" s="293"/>
      <c r="AC171" s="293"/>
      <c r="AD171" s="293"/>
      <c r="AE171" s="293"/>
      <c r="AF171" s="293"/>
      <c r="AG171" s="293"/>
      <c r="AH171" s="293"/>
      <c r="AI171" s="293"/>
      <c r="AJ171" s="293"/>
      <c r="AK171" s="293"/>
      <c r="AL171" s="293"/>
      <c r="AM171" s="293"/>
      <c r="AN171" s="293"/>
      <c r="AO171" s="293"/>
      <c r="AP171" s="293"/>
      <c r="AQ171" s="293"/>
      <c r="AR171" s="293"/>
      <c r="AS171" s="293"/>
      <c r="AT171" s="293"/>
      <c r="AU171" s="293"/>
      <c r="AV171" s="293"/>
      <c r="AW171" s="293"/>
      <c r="AX171" s="293"/>
      <c r="AY171" s="293"/>
      <c r="AZ171" s="293"/>
      <c r="BA171" s="293"/>
      <c r="BB171" s="293"/>
      <c r="BC171" s="293"/>
      <c r="BD171" s="293"/>
      <c r="BE171" s="293"/>
      <c r="BF171" s="293"/>
      <c r="BG171" s="293"/>
      <c r="BH171" s="293"/>
      <c r="BI171" s="293"/>
      <c r="BJ171" s="293"/>
      <c r="BK171" s="293"/>
      <c r="BL171" s="293"/>
      <c r="BM171" s="293"/>
      <c r="BN171" s="293"/>
      <c r="BO171" s="293"/>
      <c r="BP171" s="293"/>
      <c r="BQ171" s="293"/>
      <c r="BR171" s="293"/>
      <c r="BS171" s="293"/>
      <c r="BT171" s="293"/>
      <c r="BU171" s="293"/>
      <c r="BV171" s="293"/>
      <c r="BW171" s="293"/>
      <c r="BX171" s="293"/>
      <c r="BY171" s="293"/>
      <c r="BZ171" s="293"/>
      <c r="CA171" s="293"/>
      <c r="CB171" s="293"/>
      <c r="CC171" s="293"/>
      <c r="CD171" s="293"/>
      <c r="CE171" s="293"/>
      <c r="CF171" s="293"/>
      <c r="CG171" s="293"/>
      <c r="CH171" s="293"/>
      <c r="CI171" s="293"/>
      <c r="CJ171" s="293"/>
      <c r="CK171" s="293"/>
      <c r="CL171" s="293"/>
      <c r="CM171" s="293"/>
      <c r="CN171" s="293"/>
      <c r="CO171" s="293"/>
      <c r="CP171" s="293"/>
      <c r="CQ171" s="293"/>
      <c r="CR171" s="293"/>
      <c r="CS171" s="293"/>
      <c r="CT171" s="293"/>
      <c r="CU171" s="293"/>
      <c r="CV171" s="293"/>
      <c r="CW171" s="293"/>
      <c r="CX171" s="293"/>
      <c r="CY171" s="293"/>
      <c r="CZ171" s="293"/>
      <c r="DA171" s="293"/>
      <c r="DB171" s="293"/>
      <c r="DC171" s="293"/>
      <c r="DD171" s="293"/>
      <c r="DE171" s="293"/>
      <c r="DF171" s="293"/>
    </row>
    <row r="172" ht="14.25" customHeight="1">
      <c r="A172" s="293"/>
      <c r="B172" s="293"/>
      <c r="C172" s="293"/>
      <c r="D172" s="293"/>
      <c r="E172" s="293"/>
      <c r="F172" s="293"/>
      <c r="G172" s="293"/>
      <c r="H172" s="293"/>
      <c r="I172" s="293"/>
      <c r="J172" s="293"/>
      <c r="K172" s="293"/>
      <c r="L172" s="293"/>
      <c r="M172" s="293"/>
      <c r="N172" s="293"/>
      <c r="O172" s="293"/>
      <c r="P172" s="293"/>
      <c r="Q172" s="293"/>
      <c r="R172" s="293"/>
      <c r="S172" s="293"/>
      <c r="T172" s="293"/>
      <c r="U172" s="293"/>
      <c r="V172" s="293"/>
      <c r="W172" s="293"/>
      <c r="X172" s="293"/>
      <c r="Y172" s="293"/>
      <c r="Z172" s="293"/>
      <c r="AA172" s="293"/>
      <c r="AB172" s="293"/>
      <c r="AC172" s="293"/>
      <c r="AD172" s="293"/>
      <c r="AE172" s="293"/>
      <c r="AF172" s="293"/>
      <c r="AG172" s="293"/>
      <c r="AH172" s="293"/>
      <c r="AI172" s="293"/>
      <c r="AJ172" s="293"/>
      <c r="AK172" s="293"/>
      <c r="AL172" s="293"/>
      <c r="AM172" s="293"/>
      <c r="AN172" s="293"/>
      <c r="AO172" s="293"/>
      <c r="AP172" s="293"/>
      <c r="AQ172" s="293"/>
      <c r="AR172" s="293"/>
      <c r="AS172" s="293"/>
      <c r="AT172" s="293"/>
      <c r="AU172" s="293"/>
      <c r="AV172" s="293"/>
      <c r="AW172" s="293"/>
      <c r="AX172" s="293"/>
      <c r="AY172" s="293"/>
      <c r="AZ172" s="293"/>
      <c r="BA172" s="293"/>
      <c r="BB172" s="293"/>
      <c r="BC172" s="293"/>
      <c r="BD172" s="293"/>
      <c r="BE172" s="293"/>
      <c r="BF172" s="293"/>
      <c r="BG172" s="293"/>
      <c r="BH172" s="293"/>
      <c r="BI172" s="293"/>
      <c r="BJ172" s="293"/>
      <c r="BK172" s="293"/>
      <c r="BL172" s="293"/>
      <c r="BM172" s="293"/>
      <c r="BN172" s="293"/>
      <c r="BO172" s="293"/>
      <c r="BP172" s="293"/>
      <c r="BQ172" s="293"/>
      <c r="BR172" s="293"/>
      <c r="BS172" s="293"/>
      <c r="BT172" s="293"/>
      <c r="BU172" s="293"/>
      <c r="BV172" s="293"/>
      <c r="BW172" s="293"/>
      <c r="BX172" s="293"/>
      <c r="BY172" s="293"/>
      <c r="BZ172" s="293"/>
      <c r="CA172" s="293"/>
      <c r="CB172" s="293"/>
      <c r="CC172" s="293"/>
      <c r="CD172" s="293"/>
      <c r="CE172" s="293"/>
      <c r="CF172" s="293"/>
      <c r="CG172" s="293"/>
      <c r="CH172" s="293"/>
      <c r="CI172" s="293"/>
      <c r="CJ172" s="293"/>
      <c r="CK172" s="293"/>
      <c r="CL172" s="293"/>
      <c r="CM172" s="293"/>
      <c r="CN172" s="293"/>
      <c r="CO172" s="293"/>
      <c r="CP172" s="293"/>
      <c r="CQ172" s="293"/>
      <c r="CR172" s="293"/>
      <c r="CS172" s="293"/>
      <c r="CT172" s="293"/>
      <c r="CU172" s="293"/>
      <c r="CV172" s="293"/>
      <c r="CW172" s="293"/>
      <c r="CX172" s="293"/>
      <c r="CY172" s="293"/>
      <c r="CZ172" s="293"/>
      <c r="DA172" s="293"/>
      <c r="DB172" s="293"/>
      <c r="DC172" s="293"/>
      <c r="DD172" s="293"/>
      <c r="DE172" s="293"/>
      <c r="DF172" s="293"/>
    </row>
    <row r="173" ht="14.25" customHeight="1">
      <c r="A173" s="293"/>
      <c r="B173" s="293"/>
      <c r="C173" s="293"/>
      <c r="D173" s="293"/>
      <c r="E173" s="293"/>
      <c r="F173" s="293"/>
      <c r="G173" s="293"/>
      <c r="H173" s="293"/>
      <c r="I173" s="293"/>
      <c r="J173" s="293"/>
      <c r="K173" s="293"/>
      <c r="L173" s="293"/>
      <c r="M173" s="293"/>
      <c r="N173" s="293"/>
      <c r="O173" s="293"/>
      <c r="P173" s="293"/>
      <c r="Q173" s="293"/>
      <c r="R173" s="293"/>
      <c r="S173" s="293"/>
      <c r="T173" s="293"/>
      <c r="U173" s="293"/>
      <c r="V173" s="293"/>
      <c r="W173" s="293"/>
      <c r="X173" s="293"/>
      <c r="Y173" s="293"/>
      <c r="Z173" s="293"/>
      <c r="AA173" s="293"/>
      <c r="AB173" s="293"/>
      <c r="AC173" s="293"/>
      <c r="AD173" s="293"/>
      <c r="AE173" s="293"/>
      <c r="AF173" s="293"/>
      <c r="AG173" s="293"/>
      <c r="AH173" s="293"/>
      <c r="AI173" s="293"/>
      <c r="AJ173" s="293"/>
      <c r="AK173" s="293"/>
      <c r="AL173" s="293"/>
      <c r="AM173" s="293"/>
      <c r="AN173" s="293"/>
      <c r="AO173" s="293"/>
      <c r="AP173" s="293"/>
      <c r="AQ173" s="293"/>
      <c r="AR173" s="293"/>
      <c r="AS173" s="293"/>
      <c r="AT173" s="293"/>
      <c r="AU173" s="293"/>
      <c r="AV173" s="293"/>
      <c r="AW173" s="293"/>
      <c r="AX173" s="293"/>
      <c r="AY173" s="293"/>
      <c r="AZ173" s="293"/>
      <c r="BA173" s="293"/>
      <c r="BB173" s="293"/>
      <c r="BC173" s="293"/>
      <c r="BD173" s="293"/>
      <c r="BE173" s="293"/>
      <c r="BF173" s="293"/>
      <c r="BG173" s="293"/>
      <c r="BH173" s="293"/>
      <c r="BI173" s="293"/>
      <c r="BJ173" s="293"/>
      <c r="BK173" s="293"/>
      <c r="BL173" s="293"/>
      <c r="BM173" s="293"/>
      <c r="BN173" s="293"/>
      <c r="BO173" s="293"/>
      <c r="BP173" s="293"/>
      <c r="BQ173" s="293"/>
      <c r="BR173" s="293"/>
      <c r="BS173" s="293"/>
      <c r="BT173" s="293"/>
      <c r="BU173" s="293"/>
      <c r="BV173" s="293"/>
      <c r="BW173" s="293"/>
      <c r="BX173" s="293"/>
      <c r="BY173" s="293"/>
      <c r="BZ173" s="293"/>
      <c r="CA173" s="293"/>
      <c r="CB173" s="293"/>
      <c r="CC173" s="293"/>
      <c r="CD173" s="293"/>
      <c r="CE173" s="293"/>
      <c r="CF173" s="293"/>
      <c r="CG173" s="293"/>
      <c r="CH173" s="293"/>
      <c r="CI173" s="293"/>
      <c r="CJ173" s="293"/>
      <c r="CK173" s="293"/>
      <c r="CL173" s="293"/>
      <c r="CM173" s="293"/>
      <c r="CN173" s="293"/>
      <c r="CO173" s="293"/>
      <c r="CP173" s="293"/>
      <c r="CQ173" s="293"/>
      <c r="CR173" s="293"/>
      <c r="CS173" s="293"/>
      <c r="CT173" s="293"/>
      <c r="CU173" s="293"/>
      <c r="CV173" s="293"/>
      <c r="CW173" s="293"/>
      <c r="CX173" s="293"/>
      <c r="CY173" s="293"/>
      <c r="CZ173" s="293"/>
      <c r="DA173" s="293"/>
      <c r="DB173" s="293"/>
      <c r="DC173" s="293"/>
      <c r="DD173" s="293"/>
      <c r="DE173" s="293"/>
      <c r="DF173" s="293"/>
    </row>
    <row r="174" ht="14.25" customHeight="1">
      <c r="A174" s="293"/>
      <c r="B174" s="293"/>
      <c r="C174" s="293"/>
      <c r="D174" s="293"/>
      <c r="E174" s="293"/>
      <c r="F174" s="293"/>
      <c r="G174" s="293"/>
      <c r="H174" s="293"/>
      <c r="I174" s="293"/>
      <c r="J174" s="293"/>
      <c r="K174" s="293"/>
      <c r="L174" s="293"/>
      <c r="M174" s="293"/>
      <c r="N174" s="293"/>
      <c r="O174" s="293"/>
      <c r="P174" s="293"/>
      <c r="Q174" s="293"/>
      <c r="R174" s="293"/>
      <c r="S174" s="293"/>
      <c r="T174" s="293"/>
      <c r="U174" s="293"/>
      <c r="V174" s="293"/>
      <c r="W174" s="293"/>
      <c r="X174" s="293"/>
      <c r="Y174" s="293"/>
      <c r="Z174" s="293"/>
      <c r="AA174" s="293"/>
      <c r="AB174" s="293"/>
      <c r="AC174" s="293"/>
      <c r="AD174" s="293"/>
      <c r="AE174" s="293"/>
      <c r="AF174" s="293"/>
      <c r="AG174" s="293"/>
      <c r="AH174" s="293"/>
      <c r="AI174" s="293"/>
      <c r="AJ174" s="293"/>
      <c r="AK174" s="293"/>
      <c r="AL174" s="293"/>
      <c r="AM174" s="293"/>
      <c r="AN174" s="293"/>
      <c r="AO174" s="293"/>
      <c r="AP174" s="293"/>
      <c r="AQ174" s="293"/>
      <c r="AR174" s="293"/>
      <c r="AS174" s="293"/>
      <c r="AT174" s="293"/>
      <c r="AU174" s="293"/>
      <c r="AV174" s="293"/>
      <c r="AW174" s="293"/>
      <c r="AX174" s="293"/>
      <c r="AY174" s="293"/>
      <c r="AZ174" s="293"/>
      <c r="BA174" s="293"/>
      <c r="BB174" s="293"/>
      <c r="BC174" s="293"/>
      <c r="BD174" s="293"/>
      <c r="BE174" s="293"/>
      <c r="BF174" s="293"/>
      <c r="BG174" s="293"/>
      <c r="BH174" s="293"/>
      <c r="BI174" s="293"/>
      <c r="BJ174" s="293"/>
      <c r="BK174" s="293"/>
      <c r="BL174" s="293"/>
      <c r="BM174" s="293"/>
      <c r="BN174" s="293"/>
      <c r="BO174" s="293"/>
      <c r="BP174" s="293"/>
      <c r="BQ174" s="293"/>
      <c r="BR174" s="293"/>
      <c r="BS174" s="293"/>
      <c r="BT174" s="293"/>
      <c r="BU174" s="293"/>
      <c r="BV174" s="293"/>
      <c r="BW174" s="293"/>
      <c r="BX174" s="293"/>
      <c r="BY174" s="293"/>
      <c r="BZ174" s="293"/>
      <c r="CA174" s="293"/>
      <c r="CB174" s="293"/>
      <c r="CC174" s="293"/>
      <c r="CD174" s="293"/>
      <c r="CE174" s="293"/>
      <c r="CF174" s="293"/>
      <c r="CG174" s="293"/>
      <c r="CH174" s="293"/>
      <c r="CI174" s="293"/>
      <c r="CJ174" s="293"/>
      <c r="CK174" s="293"/>
      <c r="CL174" s="293"/>
      <c r="CM174" s="293"/>
      <c r="CN174" s="293"/>
      <c r="CO174" s="293"/>
      <c r="CP174" s="293"/>
      <c r="CQ174" s="293"/>
      <c r="CR174" s="293"/>
      <c r="CS174" s="293"/>
      <c r="CT174" s="293"/>
      <c r="CU174" s="293"/>
      <c r="CV174" s="293"/>
      <c r="CW174" s="293"/>
      <c r="CX174" s="293"/>
      <c r="CY174" s="293"/>
      <c r="CZ174" s="293"/>
      <c r="DA174" s="293"/>
      <c r="DB174" s="293"/>
      <c r="DC174" s="293"/>
      <c r="DD174" s="293"/>
      <c r="DE174" s="293"/>
      <c r="DF174" s="293"/>
    </row>
    <row r="175" ht="14.25" customHeight="1">
      <c r="A175" s="293"/>
      <c r="B175" s="293"/>
      <c r="C175" s="293"/>
      <c r="D175" s="293"/>
      <c r="E175" s="293"/>
      <c r="F175" s="293"/>
      <c r="G175" s="293"/>
      <c r="H175" s="293"/>
      <c r="I175" s="293"/>
      <c r="J175" s="293"/>
      <c r="K175" s="293"/>
      <c r="L175" s="293"/>
      <c r="M175" s="293"/>
      <c r="N175" s="293"/>
      <c r="O175" s="293"/>
      <c r="P175" s="293"/>
      <c r="Q175" s="293"/>
      <c r="R175" s="293"/>
      <c r="S175" s="293"/>
      <c r="T175" s="293"/>
      <c r="U175" s="293"/>
      <c r="V175" s="293"/>
      <c r="W175" s="293"/>
      <c r="X175" s="293"/>
      <c r="Y175" s="293"/>
      <c r="Z175" s="293"/>
      <c r="AA175" s="293"/>
      <c r="AB175" s="293"/>
      <c r="AC175" s="293"/>
      <c r="AD175" s="293"/>
      <c r="AE175" s="293"/>
      <c r="AF175" s="293"/>
      <c r="AG175" s="293"/>
      <c r="AH175" s="293"/>
      <c r="AI175" s="293"/>
      <c r="AJ175" s="293"/>
      <c r="AK175" s="293"/>
      <c r="AL175" s="293"/>
      <c r="AM175" s="293"/>
      <c r="AN175" s="293"/>
      <c r="AO175" s="293"/>
      <c r="AP175" s="293"/>
      <c r="AQ175" s="293"/>
      <c r="AR175" s="293"/>
      <c r="AS175" s="293"/>
      <c r="AT175" s="293"/>
      <c r="AU175" s="293"/>
      <c r="AV175" s="293"/>
      <c r="AW175" s="293"/>
      <c r="AX175" s="293"/>
      <c r="AY175" s="293"/>
      <c r="AZ175" s="293"/>
      <c r="BA175" s="293"/>
      <c r="BB175" s="293"/>
      <c r="BC175" s="293"/>
      <c r="BD175" s="293"/>
      <c r="BE175" s="293"/>
      <c r="BF175" s="293"/>
      <c r="BG175" s="293"/>
      <c r="BH175" s="293"/>
      <c r="BI175" s="293"/>
      <c r="BJ175" s="293"/>
      <c r="BK175" s="293"/>
      <c r="BL175" s="293"/>
      <c r="BM175" s="293"/>
      <c r="BN175" s="293"/>
      <c r="BO175" s="293"/>
      <c r="BP175" s="293"/>
      <c r="BQ175" s="293"/>
      <c r="BR175" s="293"/>
      <c r="BS175" s="293"/>
      <c r="BT175" s="293"/>
      <c r="BU175" s="293"/>
      <c r="BV175" s="293"/>
      <c r="BW175" s="293"/>
      <c r="BX175" s="293"/>
      <c r="BY175" s="293"/>
      <c r="BZ175" s="293"/>
      <c r="CA175" s="293"/>
      <c r="CB175" s="293"/>
      <c r="CC175" s="293"/>
      <c r="CD175" s="293"/>
      <c r="CE175" s="293"/>
      <c r="CF175" s="293"/>
      <c r="CG175" s="293"/>
      <c r="CH175" s="293"/>
      <c r="CI175" s="293"/>
      <c r="CJ175" s="293"/>
      <c r="CK175" s="293"/>
      <c r="CL175" s="293"/>
      <c r="CM175" s="293"/>
      <c r="CN175" s="293"/>
      <c r="CO175" s="293"/>
      <c r="CP175" s="293"/>
      <c r="CQ175" s="293"/>
      <c r="CR175" s="293"/>
      <c r="CS175" s="293"/>
      <c r="CT175" s="293"/>
      <c r="CU175" s="293"/>
      <c r="CV175" s="293"/>
      <c r="CW175" s="293"/>
      <c r="CX175" s="293"/>
      <c r="CY175" s="293"/>
      <c r="CZ175" s="293"/>
      <c r="DA175" s="293"/>
      <c r="DB175" s="293"/>
      <c r="DC175" s="293"/>
      <c r="DD175" s="293"/>
      <c r="DE175" s="293"/>
      <c r="DF175" s="293"/>
    </row>
    <row r="176" ht="14.25" customHeight="1">
      <c r="A176" s="293"/>
      <c r="B176" s="293"/>
      <c r="C176" s="293"/>
      <c r="D176" s="293"/>
      <c r="E176" s="293"/>
      <c r="F176" s="293"/>
      <c r="G176" s="293"/>
      <c r="H176" s="293"/>
      <c r="I176" s="293"/>
      <c r="J176" s="293"/>
      <c r="K176" s="293"/>
      <c r="L176" s="293"/>
      <c r="M176" s="293"/>
      <c r="N176" s="293"/>
      <c r="O176" s="293"/>
      <c r="P176" s="293"/>
      <c r="Q176" s="293"/>
      <c r="R176" s="293"/>
      <c r="S176" s="293"/>
      <c r="T176" s="293"/>
      <c r="U176" s="293"/>
      <c r="V176" s="293"/>
      <c r="W176" s="293"/>
      <c r="X176" s="293"/>
      <c r="Y176" s="293"/>
      <c r="Z176" s="293"/>
      <c r="AA176" s="293"/>
      <c r="AB176" s="293"/>
      <c r="AC176" s="293"/>
      <c r="AD176" s="293"/>
      <c r="AE176" s="293"/>
      <c r="AF176" s="293"/>
      <c r="AG176" s="293"/>
      <c r="AH176" s="293"/>
      <c r="AI176" s="293"/>
      <c r="AJ176" s="293"/>
      <c r="AK176" s="293"/>
      <c r="AL176" s="293"/>
      <c r="AM176" s="293"/>
      <c r="AN176" s="293"/>
      <c r="AO176" s="293"/>
      <c r="AP176" s="293"/>
      <c r="AQ176" s="293"/>
      <c r="AR176" s="293"/>
      <c r="AS176" s="293"/>
      <c r="AT176" s="293"/>
      <c r="AU176" s="293"/>
      <c r="AV176" s="293"/>
      <c r="AW176" s="293"/>
      <c r="AX176" s="293"/>
      <c r="AY176" s="293"/>
      <c r="AZ176" s="293"/>
      <c r="BA176" s="293"/>
      <c r="BB176" s="293"/>
      <c r="BC176" s="293"/>
      <c r="BD176" s="293"/>
      <c r="BE176" s="293"/>
      <c r="BF176" s="293"/>
      <c r="BG176" s="293"/>
      <c r="BH176" s="293"/>
      <c r="BI176" s="293"/>
      <c r="BJ176" s="293"/>
      <c r="BK176" s="293"/>
      <c r="BL176" s="293"/>
      <c r="BM176" s="293"/>
      <c r="BN176" s="293"/>
      <c r="BO176" s="293"/>
      <c r="BP176" s="293"/>
      <c r="BQ176" s="293"/>
      <c r="BR176" s="293"/>
      <c r="BS176" s="293"/>
      <c r="BT176" s="293"/>
      <c r="BU176" s="293"/>
      <c r="BV176" s="293"/>
      <c r="BW176" s="293"/>
      <c r="BX176" s="293"/>
      <c r="BY176" s="293"/>
      <c r="BZ176" s="293"/>
      <c r="CA176" s="293"/>
      <c r="CB176" s="293"/>
      <c r="CC176" s="293"/>
      <c r="CD176" s="293"/>
      <c r="CE176" s="293"/>
      <c r="CF176" s="293"/>
      <c r="CG176" s="293"/>
      <c r="CH176" s="293"/>
      <c r="CI176" s="293"/>
      <c r="CJ176" s="293"/>
      <c r="CK176" s="293"/>
      <c r="CL176" s="293"/>
      <c r="CM176" s="293"/>
      <c r="CN176" s="293"/>
      <c r="CO176" s="293"/>
      <c r="CP176" s="293"/>
      <c r="CQ176" s="293"/>
      <c r="CR176" s="293"/>
      <c r="CS176" s="293"/>
      <c r="CT176" s="293"/>
      <c r="CU176" s="293"/>
      <c r="CV176" s="293"/>
      <c r="CW176" s="293"/>
      <c r="CX176" s="293"/>
      <c r="CY176" s="293"/>
      <c r="CZ176" s="293"/>
      <c r="DA176" s="293"/>
      <c r="DB176" s="293"/>
      <c r="DC176" s="293"/>
      <c r="DD176" s="293"/>
      <c r="DE176" s="293"/>
      <c r="DF176" s="293"/>
    </row>
    <row r="177" ht="14.25" customHeight="1">
      <c r="A177" s="293"/>
      <c r="B177" s="293"/>
      <c r="C177" s="293"/>
      <c r="D177" s="293"/>
      <c r="E177" s="293"/>
      <c r="F177" s="293"/>
      <c r="G177" s="293"/>
      <c r="H177" s="293"/>
      <c r="I177" s="293"/>
      <c r="J177" s="293"/>
      <c r="K177" s="293"/>
      <c r="L177" s="293"/>
      <c r="M177" s="293"/>
      <c r="N177" s="293"/>
      <c r="O177" s="293"/>
      <c r="P177" s="293"/>
      <c r="Q177" s="293"/>
      <c r="R177" s="293"/>
      <c r="S177" s="293"/>
      <c r="T177" s="293"/>
      <c r="U177" s="293"/>
      <c r="V177" s="293"/>
      <c r="W177" s="293"/>
      <c r="X177" s="293"/>
      <c r="Y177" s="293"/>
      <c r="Z177" s="293"/>
      <c r="AA177" s="293"/>
      <c r="AB177" s="293"/>
      <c r="AC177" s="293"/>
      <c r="AD177" s="293"/>
      <c r="AE177" s="293"/>
      <c r="AF177" s="293"/>
      <c r="AG177" s="293"/>
      <c r="AH177" s="293"/>
      <c r="AI177" s="293"/>
      <c r="AJ177" s="293"/>
      <c r="AK177" s="293"/>
      <c r="AL177" s="293"/>
      <c r="AM177" s="293"/>
      <c r="AN177" s="293"/>
      <c r="AO177" s="293"/>
      <c r="AP177" s="293"/>
      <c r="AQ177" s="293"/>
      <c r="AR177" s="293"/>
      <c r="AS177" s="293"/>
      <c r="AT177" s="293"/>
      <c r="AU177" s="293"/>
      <c r="AV177" s="293"/>
      <c r="AW177" s="293"/>
      <c r="AX177" s="293"/>
      <c r="AY177" s="293"/>
      <c r="AZ177" s="293"/>
      <c r="BA177" s="293"/>
      <c r="BB177" s="293"/>
      <c r="BC177" s="293"/>
      <c r="BD177" s="293"/>
      <c r="BE177" s="293"/>
      <c r="BF177" s="293"/>
      <c r="BG177" s="293"/>
      <c r="BH177" s="293"/>
      <c r="BI177" s="293"/>
      <c r="BJ177" s="293"/>
      <c r="BK177" s="293"/>
      <c r="BL177" s="293"/>
      <c r="BM177" s="293"/>
      <c r="BN177" s="293"/>
      <c r="BO177" s="293"/>
      <c r="BP177" s="293"/>
      <c r="BQ177" s="293"/>
      <c r="BR177" s="293"/>
      <c r="BS177" s="293"/>
      <c r="BT177" s="293"/>
      <c r="BU177" s="293"/>
      <c r="BV177" s="293"/>
      <c r="BW177" s="293"/>
      <c r="BX177" s="293"/>
      <c r="BY177" s="293"/>
      <c r="BZ177" s="293"/>
      <c r="CA177" s="293"/>
      <c r="CB177" s="293"/>
      <c r="CC177" s="293"/>
      <c r="CD177" s="293"/>
      <c r="CE177" s="293"/>
      <c r="CF177" s="293"/>
      <c r="CG177" s="293"/>
      <c r="CH177" s="293"/>
      <c r="CI177" s="293"/>
      <c r="CJ177" s="293"/>
      <c r="CK177" s="293"/>
      <c r="CL177" s="293"/>
      <c r="CM177" s="293"/>
      <c r="CN177" s="293"/>
      <c r="CO177" s="293"/>
      <c r="CP177" s="293"/>
      <c r="CQ177" s="293"/>
      <c r="CR177" s="293"/>
      <c r="CS177" s="293"/>
      <c r="CT177" s="293"/>
      <c r="CU177" s="293"/>
      <c r="CV177" s="293"/>
      <c r="CW177" s="293"/>
      <c r="CX177" s="293"/>
      <c r="CY177" s="293"/>
      <c r="CZ177" s="293"/>
      <c r="DA177" s="293"/>
      <c r="DB177" s="293"/>
      <c r="DC177" s="293"/>
      <c r="DD177" s="293"/>
      <c r="DE177" s="293"/>
      <c r="DF177" s="293"/>
    </row>
    <row r="178" ht="14.25" customHeight="1">
      <c r="A178" s="293"/>
      <c r="B178" s="293"/>
      <c r="C178" s="293"/>
      <c r="D178" s="293"/>
      <c r="E178" s="293"/>
      <c r="F178" s="293"/>
      <c r="G178" s="293"/>
      <c r="H178" s="293"/>
      <c r="I178" s="293"/>
      <c r="J178" s="293"/>
      <c r="K178" s="293"/>
      <c r="L178" s="293"/>
      <c r="M178" s="293"/>
      <c r="N178" s="293"/>
      <c r="O178" s="293"/>
      <c r="P178" s="293"/>
      <c r="Q178" s="293"/>
      <c r="R178" s="293"/>
      <c r="S178" s="293"/>
      <c r="T178" s="293"/>
      <c r="U178" s="293"/>
      <c r="V178" s="293"/>
      <c r="W178" s="293"/>
      <c r="X178" s="293"/>
      <c r="Y178" s="293"/>
      <c r="Z178" s="293"/>
      <c r="AA178" s="293"/>
      <c r="AB178" s="293"/>
      <c r="AC178" s="293"/>
      <c r="AD178" s="293"/>
      <c r="AE178" s="293"/>
      <c r="AF178" s="293"/>
      <c r="AG178" s="293"/>
      <c r="AH178" s="293"/>
      <c r="AI178" s="293"/>
      <c r="AJ178" s="293"/>
      <c r="AK178" s="293"/>
      <c r="AL178" s="293"/>
      <c r="AM178" s="293"/>
      <c r="AN178" s="293"/>
      <c r="AO178" s="293"/>
      <c r="AP178" s="293"/>
      <c r="AQ178" s="293"/>
      <c r="AR178" s="293"/>
      <c r="AS178" s="293"/>
      <c r="AT178" s="293"/>
      <c r="AU178" s="293"/>
      <c r="AV178" s="293"/>
      <c r="AW178" s="293"/>
      <c r="AX178" s="293"/>
      <c r="AY178" s="293"/>
      <c r="AZ178" s="293"/>
      <c r="BA178" s="293"/>
      <c r="BB178" s="293"/>
      <c r="BC178" s="293"/>
      <c r="BD178" s="293"/>
      <c r="BE178" s="293"/>
      <c r="BF178" s="293"/>
      <c r="BG178" s="293"/>
      <c r="BH178" s="293"/>
      <c r="BI178" s="293"/>
      <c r="BJ178" s="293"/>
      <c r="BK178" s="293"/>
      <c r="BL178" s="293"/>
      <c r="BM178" s="293"/>
      <c r="BN178" s="293"/>
      <c r="BO178" s="293"/>
      <c r="BP178" s="293"/>
      <c r="BQ178" s="293"/>
      <c r="BR178" s="293"/>
      <c r="BS178" s="293"/>
      <c r="BT178" s="293"/>
      <c r="BU178" s="293"/>
      <c r="BV178" s="293"/>
      <c r="BW178" s="293"/>
      <c r="BX178" s="293"/>
      <c r="BY178" s="293"/>
      <c r="BZ178" s="293"/>
      <c r="CA178" s="293"/>
      <c r="CB178" s="293"/>
      <c r="CC178" s="293"/>
      <c r="CD178" s="293"/>
      <c r="CE178" s="293"/>
      <c r="CF178" s="293"/>
      <c r="CG178" s="293"/>
      <c r="CH178" s="293"/>
      <c r="CI178" s="293"/>
      <c r="CJ178" s="293"/>
      <c r="CK178" s="293"/>
      <c r="CL178" s="293"/>
      <c r="CM178" s="293"/>
      <c r="CN178" s="293"/>
      <c r="CO178" s="293"/>
      <c r="CP178" s="293"/>
      <c r="CQ178" s="293"/>
      <c r="CR178" s="293"/>
      <c r="CS178" s="293"/>
      <c r="CT178" s="293"/>
      <c r="CU178" s="293"/>
      <c r="CV178" s="293"/>
      <c r="CW178" s="293"/>
      <c r="CX178" s="293"/>
      <c r="CY178" s="293"/>
      <c r="CZ178" s="293"/>
      <c r="DA178" s="293"/>
      <c r="DB178" s="293"/>
      <c r="DC178" s="293"/>
      <c r="DD178" s="293"/>
      <c r="DE178" s="293"/>
      <c r="DF178" s="293"/>
    </row>
    <row r="179" ht="14.25" customHeight="1">
      <c r="A179" s="293"/>
      <c r="B179" s="293"/>
      <c r="C179" s="293"/>
      <c r="D179" s="293"/>
      <c r="E179" s="293"/>
      <c r="F179" s="293"/>
      <c r="G179" s="293"/>
      <c r="H179" s="293"/>
      <c r="I179" s="293"/>
      <c r="J179" s="293"/>
      <c r="K179" s="293"/>
      <c r="L179" s="293"/>
      <c r="M179" s="293"/>
      <c r="N179" s="293"/>
      <c r="O179" s="293"/>
      <c r="P179" s="293"/>
      <c r="Q179" s="293"/>
      <c r="R179" s="293"/>
      <c r="S179" s="293"/>
      <c r="T179" s="293"/>
      <c r="U179" s="293"/>
      <c r="V179" s="293"/>
      <c r="W179" s="293"/>
      <c r="X179" s="293"/>
      <c r="Y179" s="293"/>
      <c r="Z179" s="293"/>
      <c r="AA179" s="293"/>
      <c r="AB179" s="293"/>
      <c r="AC179" s="293"/>
      <c r="AD179" s="293"/>
      <c r="AE179" s="293"/>
      <c r="AF179" s="293"/>
      <c r="AG179" s="293"/>
      <c r="AH179" s="293"/>
      <c r="AI179" s="293"/>
      <c r="AJ179" s="293"/>
      <c r="AK179" s="293"/>
      <c r="AL179" s="293"/>
      <c r="AM179" s="293"/>
      <c r="AN179" s="293"/>
      <c r="AO179" s="293"/>
      <c r="AP179" s="293"/>
      <c r="AQ179" s="293"/>
      <c r="AR179" s="293"/>
      <c r="AS179" s="293"/>
      <c r="AT179" s="293"/>
      <c r="AU179" s="293"/>
      <c r="AV179" s="293"/>
      <c r="AW179" s="293"/>
      <c r="AX179" s="293"/>
      <c r="AY179" s="293"/>
      <c r="AZ179" s="293"/>
      <c r="BA179" s="293"/>
      <c r="BB179" s="293"/>
      <c r="BC179" s="293"/>
      <c r="BD179" s="293"/>
      <c r="BE179" s="293"/>
      <c r="BF179" s="293"/>
      <c r="BG179" s="293"/>
      <c r="BH179" s="293"/>
      <c r="BI179" s="293"/>
      <c r="BJ179" s="293"/>
      <c r="BK179" s="293"/>
      <c r="BL179" s="293"/>
      <c r="BM179" s="293"/>
      <c r="BN179" s="293"/>
      <c r="BO179" s="293"/>
      <c r="BP179" s="293"/>
      <c r="BQ179" s="293"/>
      <c r="BR179" s="293"/>
      <c r="BS179" s="293"/>
      <c r="BT179" s="293"/>
      <c r="BU179" s="293"/>
      <c r="BV179" s="293"/>
      <c r="BW179" s="293"/>
      <c r="BX179" s="293"/>
      <c r="BY179" s="293"/>
      <c r="BZ179" s="293"/>
      <c r="CA179" s="293"/>
      <c r="CB179" s="293"/>
      <c r="CC179" s="293"/>
      <c r="CD179" s="293"/>
      <c r="CE179" s="293"/>
      <c r="CF179" s="293"/>
      <c r="CG179" s="293"/>
      <c r="CH179" s="293"/>
      <c r="CI179" s="293"/>
      <c r="CJ179" s="293"/>
      <c r="CK179" s="293"/>
      <c r="CL179" s="293"/>
      <c r="CM179" s="293"/>
      <c r="CN179" s="293"/>
      <c r="CO179" s="293"/>
      <c r="CP179" s="293"/>
      <c r="CQ179" s="293"/>
      <c r="CR179" s="293"/>
      <c r="CS179" s="293"/>
      <c r="CT179" s="293"/>
      <c r="CU179" s="293"/>
      <c r="CV179" s="293"/>
      <c r="CW179" s="293"/>
      <c r="CX179" s="293"/>
      <c r="CY179" s="293"/>
      <c r="CZ179" s="293"/>
      <c r="DA179" s="293"/>
      <c r="DB179" s="293"/>
      <c r="DC179" s="293"/>
      <c r="DD179" s="293"/>
      <c r="DE179" s="293"/>
      <c r="DF179" s="293"/>
    </row>
    <row r="180" ht="14.25" customHeight="1">
      <c r="A180" s="293"/>
      <c r="B180" s="293"/>
      <c r="C180" s="293"/>
      <c r="D180" s="293"/>
      <c r="E180" s="293"/>
      <c r="F180" s="293"/>
      <c r="G180" s="293"/>
      <c r="H180" s="293"/>
      <c r="I180" s="293"/>
      <c r="J180" s="293"/>
      <c r="K180" s="293"/>
      <c r="L180" s="293"/>
      <c r="M180" s="293"/>
      <c r="N180" s="293"/>
      <c r="O180" s="293"/>
      <c r="P180" s="293"/>
      <c r="Q180" s="293"/>
      <c r="R180" s="293"/>
      <c r="S180" s="293"/>
      <c r="T180" s="293"/>
      <c r="U180" s="293"/>
      <c r="V180" s="293"/>
      <c r="W180" s="293"/>
      <c r="X180" s="293"/>
      <c r="Y180" s="293"/>
      <c r="Z180" s="293"/>
      <c r="AA180" s="293"/>
      <c r="AB180" s="293"/>
      <c r="AC180" s="293"/>
      <c r="AD180" s="293"/>
      <c r="AE180" s="293"/>
      <c r="AF180" s="293"/>
      <c r="AG180" s="293"/>
      <c r="AH180" s="293"/>
      <c r="AI180" s="293"/>
      <c r="AJ180" s="293"/>
      <c r="AK180" s="293"/>
      <c r="AL180" s="293"/>
      <c r="AM180" s="293"/>
      <c r="AN180" s="293"/>
      <c r="AO180" s="293"/>
      <c r="AP180" s="293"/>
      <c r="AQ180" s="293"/>
      <c r="AR180" s="293"/>
      <c r="AS180" s="293"/>
      <c r="AT180" s="293"/>
      <c r="AU180" s="293"/>
      <c r="AV180" s="293"/>
      <c r="AW180" s="293"/>
      <c r="AX180" s="293"/>
      <c r="AY180" s="293"/>
      <c r="AZ180" s="293"/>
      <c r="BA180" s="293"/>
      <c r="BB180" s="293"/>
      <c r="BC180" s="293"/>
      <c r="BD180" s="293"/>
      <c r="BE180" s="293"/>
      <c r="BF180" s="293"/>
      <c r="BG180" s="293"/>
      <c r="BH180" s="293"/>
      <c r="BI180" s="293"/>
      <c r="BJ180" s="293"/>
      <c r="BK180" s="293"/>
      <c r="BL180" s="293"/>
      <c r="BM180" s="293"/>
      <c r="BN180" s="293"/>
      <c r="BO180" s="293"/>
      <c r="BP180" s="293"/>
      <c r="BQ180" s="293"/>
      <c r="BR180" s="293"/>
      <c r="BS180" s="293"/>
      <c r="BT180" s="293"/>
      <c r="BU180" s="293"/>
      <c r="BV180" s="293"/>
      <c r="BW180" s="293"/>
      <c r="BX180" s="293"/>
      <c r="BY180" s="293"/>
      <c r="BZ180" s="293"/>
      <c r="CA180" s="293"/>
      <c r="CB180" s="293"/>
      <c r="CC180" s="293"/>
      <c r="CD180" s="293"/>
      <c r="CE180" s="293"/>
      <c r="CF180" s="293"/>
      <c r="CG180" s="293"/>
      <c r="CH180" s="293"/>
      <c r="CI180" s="293"/>
      <c r="CJ180" s="293"/>
      <c r="CK180" s="293"/>
      <c r="CL180" s="293"/>
      <c r="CM180" s="293"/>
      <c r="CN180" s="293"/>
      <c r="CO180" s="293"/>
      <c r="CP180" s="293"/>
      <c r="CQ180" s="293"/>
      <c r="CR180" s="293"/>
      <c r="CS180" s="293"/>
      <c r="CT180" s="293"/>
      <c r="CU180" s="293"/>
      <c r="CV180" s="293"/>
      <c r="CW180" s="293"/>
      <c r="CX180" s="293"/>
      <c r="CY180" s="293"/>
      <c r="CZ180" s="293"/>
      <c r="DA180" s="293"/>
      <c r="DB180" s="293"/>
      <c r="DC180" s="293"/>
      <c r="DD180" s="293"/>
      <c r="DE180" s="293"/>
      <c r="DF180" s="293"/>
    </row>
    <row r="181" ht="14.25" customHeight="1">
      <c r="A181" s="293"/>
      <c r="B181" s="293"/>
      <c r="C181" s="293"/>
      <c r="D181" s="293"/>
      <c r="E181" s="293"/>
      <c r="F181" s="293"/>
      <c r="G181" s="293"/>
      <c r="H181" s="293"/>
      <c r="I181" s="293"/>
      <c r="J181" s="293"/>
      <c r="K181" s="293"/>
      <c r="L181" s="293"/>
      <c r="M181" s="293"/>
      <c r="N181" s="293"/>
      <c r="O181" s="293"/>
      <c r="P181" s="293"/>
      <c r="Q181" s="293"/>
      <c r="R181" s="293"/>
      <c r="S181" s="293"/>
      <c r="T181" s="293"/>
      <c r="U181" s="293"/>
      <c r="V181" s="293"/>
      <c r="W181" s="293"/>
      <c r="X181" s="293"/>
      <c r="Y181" s="293"/>
      <c r="Z181" s="293"/>
      <c r="AA181" s="293"/>
      <c r="AB181" s="293"/>
      <c r="AC181" s="293"/>
      <c r="AD181" s="293"/>
      <c r="AE181" s="293"/>
      <c r="AF181" s="293"/>
      <c r="AG181" s="293"/>
      <c r="AH181" s="293"/>
      <c r="AI181" s="293"/>
      <c r="AJ181" s="293"/>
      <c r="AK181" s="293"/>
      <c r="AL181" s="293"/>
      <c r="AM181" s="293"/>
      <c r="AN181" s="293"/>
      <c r="AO181" s="293"/>
      <c r="AP181" s="293"/>
      <c r="AQ181" s="293"/>
      <c r="AR181" s="293"/>
      <c r="AS181" s="293"/>
      <c r="AT181" s="293"/>
      <c r="AU181" s="293"/>
      <c r="AV181" s="293"/>
      <c r="AW181" s="293"/>
      <c r="AX181" s="293"/>
      <c r="AY181" s="293"/>
      <c r="AZ181" s="293"/>
      <c r="BA181" s="293"/>
      <c r="BB181" s="293"/>
      <c r="BC181" s="293"/>
      <c r="BD181" s="293"/>
      <c r="BE181" s="293"/>
      <c r="BF181" s="293"/>
      <c r="BG181" s="293"/>
      <c r="BH181" s="293"/>
      <c r="BI181" s="293"/>
      <c r="BJ181" s="293"/>
      <c r="BK181" s="293"/>
      <c r="BL181" s="293"/>
      <c r="BM181" s="293"/>
      <c r="BN181" s="293"/>
      <c r="BO181" s="293"/>
      <c r="BP181" s="293"/>
      <c r="BQ181" s="293"/>
      <c r="BR181" s="293"/>
      <c r="BS181" s="293"/>
      <c r="BT181" s="293"/>
      <c r="BU181" s="293"/>
      <c r="BV181" s="293"/>
      <c r="BW181" s="293"/>
      <c r="BX181" s="293"/>
      <c r="BY181" s="293"/>
      <c r="BZ181" s="293"/>
      <c r="CA181" s="293"/>
      <c r="CB181" s="293"/>
      <c r="CC181" s="293"/>
      <c r="CD181" s="293"/>
      <c r="CE181" s="293"/>
      <c r="CF181" s="293"/>
      <c r="CG181" s="293"/>
      <c r="CH181" s="293"/>
      <c r="CI181" s="293"/>
      <c r="CJ181" s="293"/>
      <c r="CK181" s="293"/>
      <c r="CL181" s="293"/>
      <c r="CM181" s="293"/>
      <c r="CN181" s="293"/>
      <c r="CO181" s="293"/>
      <c r="CP181" s="293"/>
      <c r="CQ181" s="293"/>
      <c r="CR181" s="293"/>
      <c r="CS181" s="293"/>
      <c r="CT181" s="293"/>
      <c r="CU181" s="293"/>
      <c r="CV181" s="293"/>
      <c r="CW181" s="293"/>
      <c r="CX181" s="293"/>
      <c r="CY181" s="293"/>
      <c r="CZ181" s="293"/>
      <c r="DA181" s="293"/>
      <c r="DB181" s="293"/>
      <c r="DC181" s="293"/>
      <c r="DD181" s="293"/>
      <c r="DE181" s="293"/>
      <c r="DF181" s="293"/>
    </row>
    <row r="182" ht="14.25" customHeight="1">
      <c r="A182" s="293"/>
      <c r="B182" s="293"/>
      <c r="C182" s="293"/>
      <c r="D182" s="293"/>
      <c r="E182" s="293"/>
      <c r="F182" s="293"/>
      <c r="G182" s="293"/>
      <c r="H182" s="293"/>
      <c r="I182" s="293"/>
      <c r="J182" s="293"/>
      <c r="K182" s="293"/>
      <c r="L182" s="293"/>
      <c r="M182" s="293"/>
      <c r="N182" s="293"/>
      <c r="O182" s="293"/>
      <c r="P182" s="293"/>
      <c r="Q182" s="293"/>
      <c r="R182" s="293"/>
      <c r="S182" s="293"/>
      <c r="T182" s="293"/>
      <c r="U182" s="293"/>
      <c r="V182" s="293"/>
      <c r="W182" s="293"/>
      <c r="X182" s="293"/>
      <c r="Y182" s="293"/>
      <c r="Z182" s="293"/>
      <c r="AA182" s="293"/>
      <c r="AB182" s="293"/>
      <c r="AC182" s="293"/>
      <c r="AD182" s="293"/>
      <c r="AE182" s="293"/>
      <c r="AF182" s="293"/>
      <c r="AG182" s="293"/>
      <c r="AH182" s="293"/>
      <c r="AI182" s="293"/>
      <c r="AJ182" s="293"/>
      <c r="AK182" s="293"/>
      <c r="AL182" s="293"/>
      <c r="AM182" s="293"/>
      <c r="AN182" s="293"/>
      <c r="AO182" s="293"/>
      <c r="AP182" s="293"/>
      <c r="AQ182" s="293"/>
      <c r="AR182" s="293"/>
      <c r="AS182" s="293"/>
      <c r="AT182" s="293"/>
      <c r="AU182" s="293"/>
      <c r="AV182" s="293"/>
      <c r="AW182" s="293"/>
      <c r="AX182" s="293"/>
      <c r="AY182" s="293"/>
      <c r="AZ182" s="293"/>
      <c r="BA182" s="293"/>
      <c r="BB182" s="293"/>
      <c r="BC182" s="293"/>
      <c r="BD182" s="293"/>
      <c r="BE182" s="293"/>
      <c r="BF182" s="293"/>
      <c r="BG182" s="293"/>
      <c r="BH182" s="293"/>
      <c r="BI182" s="293"/>
      <c r="BJ182" s="293"/>
      <c r="BK182" s="293"/>
      <c r="BL182" s="293"/>
      <c r="BM182" s="293"/>
      <c r="BN182" s="293"/>
      <c r="BO182" s="293"/>
      <c r="BP182" s="293"/>
      <c r="BQ182" s="293"/>
      <c r="BR182" s="293"/>
      <c r="BS182" s="293"/>
      <c r="BT182" s="293"/>
      <c r="BU182" s="293"/>
      <c r="BV182" s="293"/>
      <c r="BW182" s="293"/>
      <c r="BX182" s="293"/>
      <c r="BY182" s="293"/>
      <c r="BZ182" s="293"/>
      <c r="CA182" s="293"/>
      <c r="CB182" s="293"/>
      <c r="CC182" s="293"/>
      <c r="CD182" s="293"/>
      <c r="CE182" s="293"/>
      <c r="CF182" s="293"/>
      <c r="CG182" s="293"/>
      <c r="CH182" s="293"/>
      <c r="CI182" s="293"/>
      <c r="CJ182" s="293"/>
      <c r="CK182" s="293"/>
      <c r="CL182" s="293"/>
      <c r="CM182" s="293"/>
      <c r="CN182" s="293"/>
      <c r="CO182" s="293"/>
      <c r="CP182" s="293"/>
      <c r="CQ182" s="293"/>
      <c r="CR182" s="293"/>
      <c r="CS182" s="293"/>
      <c r="CT182" s="293"/>
      <c r="CU182" s="293"/>
      <c r="CV182" s="293"/>
      <c r="CW182" s="293"/>
      <c r="CX182" s="293"/>
      <c r="CY182" s="293"/>
      <c r="CZ182" s="293"/>
      <c r="DA182" s="293"/>
      <c r="DB182" s="293"/>
      <c r="DC182" s="293"/>
      <c r="DD182" s="293"/>
      <c r="DE182" s="293"/>
      <c r="DF182" s="293"/>
    </row>
    <row r="183" ht="14.25" customHeight="1">
      <c r="A183" s="293"/>
      <c r="B183" s="293"/>
      <c r="C183" s="293"/>
      <c r="D183" s="293"/>
      <c r="E183" s="293"/>
      <c r="F183" s="293"/>
      <c r="G183" s="293"/>
      <c r="H183" s="293"/>
      <c r="I183" s="293"/>
      <c r="J183" s="293"/>
      <c r="K183" s="293"/>
      <c r="L183" s="293"/>
      <c r="M183" s="293"/>
      <c r="N183" s="293"/>
      <c r="O183" s="293"/>
      <c r="P183" s="293"/>
      <c r="Q183" s="293"/>
      <c r="R183" s="293"/>
      <c r="S183" s="293"/>
      <c r="T183" s="293"/>
      <c r="U183" s="293"/>
      <c r="V183" s="293"/>
      <c r="W183" s="293"/>
      <c r="X183" s="293"/>
      <c r="Y183" s="293"/>
      <c r="Z183" s="293"/>
      <c r="AA183" s="293"/>
      <c r="AB183" s="293"/>
      <c r="AC183" s="293"/>
      <c r="AD183" s="293"/>
      <c r="AE183" s="293"/>
      <c r="AF183" s="293"/>
      <c r="AG183" s="293"/>
      <c r="AH183" s="293"/>
      <c r="AI183" s="293"/>
      <c r="AJ183" s="293"/>
      <c r="AK183" s="293"/>
      <c r="AL183" s="293"/>
      <c r="AM183" s="293"/>
      <c r="AN183" s="293"/>
      <c r="AO183" s="293"/>
      <c r="AP183" s="293"/>
      <c r="AQ183" s="293"/>
      <c r="AR183" s="293"/>
      <c r="AS183" s="293"/>
      <c r="AT183" s="293"/>
      <c r="AU183" s="293"/>
      <c r="AV183" s="293"/>
      <c r="AW183" s="293"/>
      <c r="AX183" s="293"/>
      <c r="AY183" s="293"/>
      <c r="AZ183" s="293"/>
      <c r="BA183" s="293"/>
      <c r="BB183" s="293"/>
      <c r="BC183" s="293"/>
      <c r="BD183" s="293"/>
      <c r="BE183" s="293"/>
      <c r="BF183" s="293"/>
      <c r="BG183" s="293"/>
      <c r="BH183" s="293"/>
      <c r="BI183" s="293"/>
      <c r="BJ183" s="293"/>
      <c r="BK183" s="293"/>
      <c r="BL183" s="293"/>
      <c r="BM183" s="293"/>
      <c r="BN183" s="293"/>
      <c r="BO183" s="293"/>
      <c r="BP183" s="293"/>
      <c r="BQ183" s="293"/>
      <c r="BR183" s="293"/>
      <c r="BS183" s="293"/>
      <c r="BT183" s="293"/>
      <c r="BU183" s="293"/>
      <c r="BV183" s="293"/>
      <c r="BW183" s="293"/>
      <c r="BX183" s="293"/>
      <c r="BY183" s="293"/>
      <c r="BZ183" s="293"/>
      <c r="CA183" s="293"/>
      <c r="CB183" s="293"/>
      <c r="CC183" s="293"/>
      <c r="CD183" s="293"/>
      <c r="CE183" s="293"/>
      <c r="CF183" s="293"/>
      <c r="CG183" s="293"/>
      <c r="CH183" s="293"/>
      <c r="CI183" s="293"/>
      <c r="CJ183" s="293"/>
      <c r="CK183" s="293"/>
      <c r="CL183" s="293"/>
      <c r="CM183" s="293"/>
      <c r="CN183" s="293"/>
      <c r="CO183" s="293"/>
      <c r="CP183" s="293"/>
      <c r="CQ183" s="293"/>
      <c r="CR183" s="293"/>
      <c r="CS183" s="293"/>
      <c r="CT183" s="293"/>
      <c r="CU183" s="293"/>
      <c r="CV183" s="293"/>
      <c r="CW183" s="293"/>
      <c r="CX183" s="293"/>
      <c r="CY183" s="293"/>
      <c r="CZ183" s="293"/>
      <c r="DA183" s="293"/>
      <c r="DB183" s="293"/>
      <c r="DC183" s="293"/>
      <c r="DD183" s="293"/>
      <c r="DE183" s="293"/>
      <c r="DF183" s="293"/>
    </row>
    <row r="184" ht="14.25" customHeight="1">
      <c r="A184" s="293"/>
      <c r="B184" s="293"/>
      <c r="C184" s="293"/>
      <c r="D184" s="293"/>
      <c r="E184" s="293"/>
      <c r="F184" s="293"/>
      <c r="G184" s="293"/>
      <c r="H184" s="293"/>
      <c r="I184" s="293"/>
      <c r="J184" s="293"/>
      <c r="K184" s="293"/>
      <c r="L184" s="293"/>
      <c r="M184" s="293"/>
      <c r="N184" s="293"/>
      <c r="O184" s="293"/>
      <c r="P184" s="293"/>
      <c r="Q184" s="293"/>
      <c r="R184" s="293"/>
      <c r="S184" s="293"/>
      <c r="T184" s="293"/>
      <c r="U184" s="293"/>
      <c r="V184" s="293"/>
      <c r="W184" s="293"/>
      <c r="X184" s="293"/>
      <c r="Y184" s="293"/>
      <c r="Z184" s="293"/>
      <c r="AA184" s="293"/>
      <c r="AB184" s="293"/>
      <c r="AC184" s="293"/>
      <c r="AD184" s="293"/>
      <c r="AE184" s="293"/>
      <c r="AF184" s="293"/>
      <c r="AG184" s="293"/>
      <c r="AH184" s="293"/>
      <c r="AI184" s="293"/>
      <c r="AJ184" s="293"/>
      <c r="AK184" s="293"/>
      <c r="AL184" s="293"/>
      <c r="AM184" s="293"/>
      <c r="AN184" s="293"/>
      <c r="AO184" s="293"/>
      <c r="AP184" s="293"/>
      <c r="AQ184" s="293"/>
      <c r="AR184" s="293"/>
      <c r="AS184" s="293"/>
      <c r="AT184" s="293"/>
      <c r="AU184" s="293"/>
      <c r="AV184" s="293"/>
      <c r="AW184" s="293"/>
      <c r="AX184" s="293"/>
      <c r="AY184" s="293"/>
      <c r="AZ184" s="293"/>
      <c r="BA184" s="293"/>
      <c r="BB184" s="293"/>
      <c r="BC184" s="293"/>
      <c r="BD184" s="293"/>
      <c r="BE184" s="293"/>
      <c r="BF184" s="293"/>
      <c r="BG184" s="293"/>
      <c r="BH184" s="293"/>
      <c r="BI184" s="293"/>
      <c r="BJ184" s="293"/>
      <c r="BK184" s="293"/>
      <c r="BL184" s="293"/>
      <c r="BM184" s="293"/>
      <c r="BN184" s="293"/>
      <c r="BO184" s="293"/>
      <c r="BP184" s="293"/>
      <c r="BQ184" s="293"/>
      <c r="BR184" s="293"/>
      <c r="BS184" s="293"/>
      <c r="BT184" s="293"/>
      <c r="BU184" s="293"/>
      <c r="BV184" s="293"/>
      <c r="BW184" s="293"/>
      <c r="BX184" s="293"/>
      <c r="BY184" s="293"/>
      <c r="BZ184" s="293"/>
      <c r="CA184" s="293"/>
      <c r="CB184" s="293"/>
      <c r="CC184" s="293"/>
      <c r="CD184" s="293"/>
      <c r="CE184" s="293"/>
      <c r="CF184" s="293"/>
      <c r="CG184" s="293"/>
      <c r="CH184" s="293"/>
      <c r="CI184" s="293"/>
      <c r="CJ184" s="293"/>
      <c r="CK184" s="293"/>
      <c r="CL184" s="293"/>
      <c r="CM184" s="293"/>
      <c r="CN184" s="293"/>
      <c r="CO184" s="293"/>
      <c r="CP184" s="293"/>
      <c r="CQ184" s="293"/>
      <c r="CR184" s="293"/>
      <c r="CS184" s="293"/>
      <c r="CT184" s="293"/>
      <c r="CU184" s="293"/>
      <c r="CV184" s="293"/>
      <c r="CW184" s="293"/>
      <c r="CX184" s="293"/>
      <c r="CY184" s="293"/>
      <c r="CZ184" s="293"/>
      <c r="DA184" s="293"/>
      <c r="DB184" s="293"/>
      <c r="DC184" s="293"/>
      <c r="DD184" s="293"/>
      <c r="DE184" s="293"/>
      <c r="DF184" s="293"/>
    </row>
    <row r="185" ht="14.25" customHeight="1">
      <c r="A185" s="293"/>
      <c r="B185" s="293"/>
      <c r="C185" s="293"/>
      <c r="D185" s="293"/>
      <c r="E185" s="293"/>
      <c r="F185" s="293"/>
      <c r="G185" s="293"/>
      <c r="H185" s="293"/>
      <c r="I185" s="293"/>
      <c r="J185" s="293"/>
      <c r="K185" s="293"/>
      <c r="L185" s="293"/>
      <c r="M185" s="293"/>
      <c r="N185" s="293"/>
      <c r="O185" s="293"/>
      <c r="P185" s="293"/>
      <c r="Q185" s="293"/>
      <c r="R185" s="293"/>
      <c r="S185" s="293"/>
      <c r="T185" s="293"/>
      <c r="U185" s="293"/>
      <c r="V185" s="293"/>
      <c r="W185" s="293"/>
      <c r="X185" s="293"/>
      <c r="Y185" s="293"/>
      <c r="Z185" s="293"/>
      <c r="AA185" s="293"/>
      <c r="AB185" s="293"/>
      <c r="AC185" s="293"/>
      <c r="AD185" s="293"/>
      <c r="AE185" s="293"/>
      <c r="AF185" s="293"/>
      <c r="AG185" s="293"/>
      <c r="AH185" s="293"/>
      <c r="AI185" s="293"/>
      <c r="AJ185" s="293"/>
      <c r="AK185" s="293"/>
      <c r="AL185" s="293"/>
      <c r="AM185" s="293"/>
      <c r="AN185" s="293"/>
      <c r="AO185" s="293"/>
      <c r="AP185" s="293"/>
      <c r="AQ185" s="293"/>
      <c r="AR185" s="293"/>
      <c r="AS185" s="293"/>
      <c r="AT185" s="293"/>
      <c r="AU185" s="293"/>
      <c r="AV185" s="293"/>
      <c r="AW185" s="293"/>
      <c r="AX185" s="293"/>
      <c r="AY185" s="293"/>
      <c r="AZ185" s="293"/>
      <c r="BA185" s="293"/>
      <c r="BB185" s="293"/>
      <c r="BC185" s="293"/>
      <c r="BD185" s="293"/>
      <c r="BE185" s="293"/>
      <c r="BF185" s="293"/>
      <c r="BG185" s="293"/>
      <c r="BH185" s="293"/>
      <c r="BI185" s="293"/>
      <c r="BJ185" s="293"/>
      <c r="BK185" s="293"/>
      <c r="BL185" s="293"/>
      <c r="BM185" s="293"/>
      <c r="BN185" s="293"/>
      <c r="BO185" s="293"/>
      <c r="BP185" s="293"/>
      <c r="BQ185" s="293"/>
      <c r="BR185" s="293"/>
      <c r="BS185" s="293"/>
      <c r="BT185" s="293"/>
      <c r="BU185" s="293"/>
      <c r="BV185" s="293"/>
      <c r="BW185" s="293"/>
      <c r="BX185" s="293"/>
      <c r="BY185" s="293"/>
      <c r="BZ185" s="293"/>
      <c r="CA185" s="293"/>
      <c r="CB185" s="293"/>
      <c r="CC185" s="293"/>
      <c r="CD185" s="293"/>
      <c r="CE185" s="293"/>
      <c r="CF185" s="293"/>
      <c r="CG185" s="293"/>
      <c r="CH185" s="293"/>
      <c r="CI185" s="293"/>
      <c r="CJ185" s="293"/>
      <c r="CK185" s="293"/>
      <c r="CL185" s="293"/>
      <c r="CM185" s="293"/>
      <c r="CN185" s="293"/>
      <c r="CO185" s="293"/>
      <c r="CP185" s="293"/>
      <c r="CQ185" s="293"/>
      <c r="CR185" s="293"/>
      <c r="CS185" s="293"/>
      <c r="CT185" s="293"/>
      <c r="CU185" s="293"/>
      <c r="CV185" s="293"/>
      <c r="CW185" s="293"/>
      <c r="CX185" s="293"/>
      <c r="CY185" s="293"/>
      <c r="CZ185" s="293"/>
      <c r="DA185" s="293"/>
      <c r="DB185" s="293"/>
      <c r="DC185" s="293"/>
      <c r="DD185" s="293"/>
      <c r="DE185" s="293"/>
      <c r="DF185" s="293"/>
    </row>
    <row r="186" ht="14.25" customHeight="1">
      <c r="A186" s="293"/>
      <c r="B186" s="293"/>
      <c r="C186" s="293"/>
      <c r="D186" s="293"/>
      <c r="E186" s="293"/>
      <c r="F186" s="293"/>
      <c r="G186" s="293"/>
      <c r="H186" s="293"/>
      <c r="I186" s="293"/>
      <c r="J186" s="293"/>
      <c r="K186" s="293"/>
      <c r="L186" s="293"/>
      <c r="M186" s="293"/>
      <c r="N186" s="293"/>
      <c r="O186" s="293"/>
      <c r="P186" s="293"/>
      <c r="Q186" s="293"/>
      <c r="R186" s="293"/>
      <c r="S186" s="293"/>
      <c r="T186" s="293"/>
      <c r="U186" s="293"/>
      <c r="V186" s="293"/>
      <c r="W186" s="293"/>
      <c r="X186" s="293"/>
      <c r="Y186" s="293"/>
      <c r="Z186" s="293"/>
      <c r="AA186" s="293"/>
      <c r="AB186" s="293"/>
      <c r="AC186" s="293"/>
      <c r="AD186" s="293"/>
      <c r="AE186" s="293"/>
      <c r="AF186" s="293"/>
      <c r="AG186" s="293"/>
      <c r="AH186" s="293"/>
      <c r="AI186" s="293"/>
      <c r="AJ186" s="293"/>
      <c r="AK186" s="293"/>
      <c r="AL186" s="293"/>
      <c r="AM186" s="293"/>
      <c r="AN186" s="293"/>
      <c r="AO186" s="293"/>
      <c r="AP186" s="293"/>
      <c r="AQ186" s="293"/>
      <c r="AR186" s="293"/>
      <c r="AS186" s="293"/>
      <c r="AT186" s="293"/>
      <c r="AU186" s="293"/>
      <c r="AV186" s="293"/>
      <c r="AW186" s="293"/>
      <c r="AX186" s="293"/>
      <c r="AY186" s="293"/>
      <c r="AZ186" s="293"/>
      <c r="BA186" s="293"/>
      <c r="BB186" s="293"/>
      <c r="BC186" s="293"/>
      <c r="BD186" s="293"/>
      <c r="BE186" s="293"/>
      <c r="BF186" s="293"/>
      <c r="BG186" s="293"/>
      <c r="BH186" s="293"/>
      <c r="BI186" s="293"/>
      <c r="BJ186" s="293"/>
      <c r="BK186" s="293"/>
      <c r="BL186" s="293"/>
      <c r="BM186" s="293"/>
      <c r="BN186" s="293"/>
      <c r="BO186" s="293"/>
      <c r="BP186" s="293"/>
      <c r="BQ186" s="293"/>
      <c r="BR186" s="293"/>
      <c r="BS186" s="293"/>
      <c r="BT186" s="293"/>
      <c r="BU186" s="293"/>
      <c r="BV186" s="293"/>
      <c r="BW186" s="293"/>
      <c r="BX186" s="293"/>
      <c r="BY186" s="293"/>
      <c r="BZ186" s="293"/>
      <c r="CA186" s="293"/>
      <c r="CB186" s="293"/>
      <c r="CC186" s="293"/>
      <c r="CD186" s="293"/>
      <c r="CE186" s="293"/>
      <c r="CF186" s="293"/>
      <c r="CG186" s="293"/>
      <c r="CH186" s="293"/>
      <c r="CI186" s="293"/>
      <c r="CJ186" s="293"/>
      <c r="CK186" s="293"/>
      <c r="CL186" s="293"/>
      <c r="CM186" s="293"/>
      <c r="CN186" s="293"/>
      <c r="CO186" s="293"/>
      <c r="CP186" s="293"/>
      <c r="CQ186" s="293"/>
      <c r="CR186" s="293"/>
      <c r="CS186" s="293"/>
      <c r="CT186" s="293"/>
      <c r="CU186" s="293"/>
      <c r="CV186" s="293"/>
      <c r="CW186" s="293"/>
      <c r="CX186" s="293"/>
      <c r="CY186" s="293"/>
      <c r="CZ186" s="293"/>
      <c r="DA186" s="293"/>
      <c r="DB186" s="293"/>
      <c r="DC186" s="293"/>
      <c r="DD186" s="293"/>
      <c r="DE186" s="293"/>
      <c r="DF186" s="293"/>
    </row>
    <row r="187" ht="14.25" customHeight="1">
      <c r="A187" s="293"/>
      <c r="B187" s="293"/>
      <c r="C187" s="293"/>
      <c r="D187" s="293"/>
      <c r="E187" s="293"/>
      <c r="F187" s="293"/>
      <c r="G187" s="293"/>
      <c r="H187" s="293"/>
      <c r="I187" s="293"/>
      <c r="J187" s="293"/>
      <c r="K187" s="293"/>
      <c r="L187" s="293"/>
      <c r="M187" s="293"/>
      <c r="N187" s="293"/>
      <c r="O187" s="293"/>
      <c r="P187" s="293"/>
      <c r="Q187" s="293"/>
      <c r="R187" s="293"/>
      <c r="S187" s="293"/>
      <c r="T187" s="293"/>
      <c r="U187" s="293"/>
      <c r="V187" s="293"/>
      <c r="W187" s="293"/>
      <c r="X187" s="293"/>
      <c r="Y187" s="293"/>
      <c r="Z187" s="293"/>
      <c r="AA187" s="293"/>
      <c r="AB187" s="293"/>
      <c r="AC187" s="293"/>
      <c r="AD187" s="293"/>
      <c r="AE187" s="293"/>
      <c r="AF187" s="293"/>
      <c r="AG187" s="293"/>
      <c r="AH187" s="293"/>
      <c r="AI187" s="293"/>
      <c r="AJ187" s="293"/>
      <c r="AK187" s="293"/>
      <c r="AL187" s="293"/>
      <c r="AM187" s="293"/>
      <c r="AN187" s="293"/>
      <c r="AO187" s="293"/>
      <c r="AP187" s="293"/>
      <c r="AQ187" s="293"/>
      <c r="AR187" s="293"/>
      <c r="AS187" s="293"/>
      <c r="AT187" s="293"/>
      <c r="AU187" s="293"/>
      <c r="AV187" s="293"/>
      <c r="AW187" s="293"/>
      <c r="AX187" s="293"/>
      <c r="AY187" s="293"/>
      <c r="AZ187" s="293"/>
      <c r="BA187" s="293"/>
      <c r="BB187" s="293"/>
      <c r="BC187" s="293"/>
      <c r="BD187" s="293"/>
      <c r="BE187" s="293"/>
      <c r="BF187" s="293"/>
      <c r="BG187" s="293"/>
      <c r="BH187" s="293"/>
      <c r="BI187" s="293"/>
      <c r="BJ187" s="293"/>
      <c r="BK187" s="293"/>
      <c r="BL187" s="293"/>
      <c r="BM187" s="293"/>
      <c r="BN187" s="293"/>
      <c r="BO187" s="293"/>
      <c r="BP187" s="293"/>
      <c r="BQ187" s="293"/>
      <c r="BR187" s="293"/>
      <c r="BS187" s="293"/>
      <c r="BT187" s="293"/>
      <c r="BU187" s="293"/>
      <c r="BV187" s="293"/>
      <c r="BW187" s="293"/>
      <c r="BX187" s="293"/>
      <c r="BY187" s="293"/>
      <c r="BZ187" s="293"/>
      <c r="CA187" s="293"/>
      <c r="CB187" s="293"/>
      <c r="CC187" s="293"/>
      <c r="CD187" s="293"/>
      <c r="CE187" s="293"/>
      <c r="CF187" s="293"/>
      <c r="CG187" s="293"/>
      <c r="CH187" s="293"/>
      <c r="CI187" s="293"/>
      <c r="CJ187" s="293"/>
      <c r="CK187" s="293"/>
      <c r="CL187" s="293"/>
      <c r="CM187" s="293"/>
      <c r="CN187" s="293"/>
      <c r="CO187" s="293"/>
      <c r="CP187" s="293"/>
      <c r="CQ187" s="293"/>
      <c r="CR187" s="293"/>
      <c r="CS187" s="293"/>
      <c r="CT187" s="293"/>
      <c r="CU187" s="293"/>
      <c r="CV187" s="293"/>
      <c r="CW187" s="293"/>
      <c r="CX187" s="293"/>
      <c r="CY187" s="293"/>
      <c r="CZ187" s="293"/>
      <c r="DA187" s="293"/>
      <c r="DB187" s="293"/>
      <c r="DC187" s="293"/>
      <c r="DD187" s="293"/>
      <c r="DE187" s="293"/>
      <c r="DF187" s="293"/>
    </row>
    <row r="188" ht="14.25" customHeight="1">
      <c r="A188" s="293"/>
      <c r="B188" s="293"/>
      <c r="C188" s="293"/>
      <c r="D188" s="293"/>
      <c r="E188" s="293"/>
      <c r="F188" s="293"/>
      <c r="G188" s="293"/>
      <c r="H188" s="293"/>
      <c r="I188" s="293"/>
      <c r="J188" s="293"/>
      <c r="K188" s="293"/>
      <c r="L188" s="293"/>
      <c r="M188" s="293"/>
      <c r="N188" s="293"/>
      <c r="O188" s="293"/>
      <c r="P188" s="293"/>
      <c r="Q188" s="293"/>
      <c r="R188" s="293"/>
      <c r="S188" s="293"/>
      <c r="T188" s="293"/>
      <c r="U188" s="293"/>
      <c r="V188" s="293"/>
      <c r="W188" s="293"/>
      <c r="X188" s="293"/>
      <c r="Y188" s="293"/>
      <c r="Z188" s="293"/>
      <c r="AA188" s="293"/>
      <c r="AB188" s="293"/>
      <c r="AC188" s="293"/>
      <c r="AD188" s="293"/>
      <c r="AE188" s="293"/>
      <c r="AF188" s="293"/>
      <c r="AG188" s="293"/>
      <c r="AH188" s="293"/>
      <c r="AI188" s="293"/>
      <c r="AJ188" s="293"/>
      <c r="AK188" s="293"/>
      <c r="AL188" s="293"/>
      <c r="AM188" s="293"/>
      <c r="AN188" s="293"/>
      <c r="AO188" s="293"/>
      <c r="AP188" s="293"/>
      <c r="AQ188" s="293"/>
      <c r="AR188" s="293"/>
      <c r="AS188" s="293"/>
      <c r="AT188" s="293"/>
      <c r="AU188" s="293"/>
      <c r="AV188" s="293"/>
      <c r="AW188" s="293"/>
      <c r="AX188" s="293"/>
      <c r="AY188" s="293"/>
      <c r="AZ188" s="293"/>
      <c r="BA188" s="293"/>
      <c r="BB188" s="293"/>
      <c r="BC188" s="293"/>
      <c r="BD188" s="293"/>
      <c r="BE188" s="293"/>
      <c r="BF188" s="293"/>
      <c r="BG188" s="293"/>
      <c r="BH188" s="293"/>
      <c r="BI188" s="293"/>
      <c r="BJ188" s="293"/>
      <c r="BK188" s="293"/>
      <c r="BL188" s="293"/>
      <c r="BM188" s="293"/>
      <c r="BN188" s="293"/>
      <c r="BO188" s="293"/>
      <c r="BP188" s="293"/>
      <c r="BQ188" s="293"/>
      <c r="BR188" s="293"/>
      <c r="BS188" s="293"/>
      <c r="BT188" s="293"/>
      <c r="BU188" s="293"/>
      <c r="BV188" s="293"/>
      <c r="BW188" s="293"/>
      <c r="BX188" s="293"/>
      <c r="BY188" s="293"/>
      <c r="BZ188" s="293"/>
      <c r="CA188" s="293"/>
      <c r="CB188" s="293"/>
      <c r="CC188" s="293"/>
      <c r="CD188" s="293"/>
      <c r="CE188" s="293"/>
      <c r="CF188" s="293"/>
      <c r="CG188" s="293"/>
      <c r="CH188" s="293"/>
      <c r="CI188" s="293"/>
      <c r="CJ188" s="293"/>
      <c r="CK188" s="293"/>
      <c r="CL188" s="293"/>
      <c r="CM188" s="293"/>
      <c r="CN188" s="293"/>
      <c r="CO188" s="293"/>
      <c r="CP188" s="293"/>
      <c r="CQ188" s="293"/>
      <c r="CR188" s="293"/>
      <c r="CS188" s="293"/>
      <c r="CT188" s="293"/>
      <c r="CU188" s="293"/>
      <c r="CV188" s="293"/>
      <c r="CW188" s="293"/>
      <c r="CX188" s="293"/>
      <c r="CY188" s="293"/>
      <c r="CZ188" s="293"/>
      <c r="DA188" s="293"/>
      <c r="DB188" s="293"/>
      <c r="DC188" s="293"/>
      <c r="DD188" s="293"/>
      <c r="DE188" s="293"/>
      <c r="DF188" s="293"/>
    </row>
    <row r="189" ht="14.25" customHeight="1">
      <c r="A189" s="293"/>
      <c r="B189" s="293"/>
      <c r="C189" s="293"/>
      <c r="D189" s="293"/>
      <c r="E189" s="293"/>
      <c r="F189" s="293"/>
      <c r="G189" s="293"/>
      <c r="H189" s="293"/>
      <c r="I189" s="293"/>
      <c r="J189" s="293"/>
      <c r="K189" s="293"/>
      <c r="L189" s="293"/>
      <c r="M189" s="293"/>
      <c r="N189" s="293"/>
      <c r="O189" s="293"/>
      <c r="P189" s="293"/>
      <c r="Q189" s="293"/>
      <c r="R189" s="293"/>
      <c r="S189" s="293"/>
      <c r="T189" s="293"/>
      <c r="U189" s="293"/>
      <c r="V189" s="293"/>
      <c r="W189" s="293"/>
      <c r="X189" s="293"/>
      <c r="Y189" s="293"/>
      <c r="Z189" s="293"/>
      <c r="AA189" s="293"/>
      <c r="AB189" s="293"/>
      <c r="AC189" s="293"/>
      <c r="AD189" s="293"/>
      <c r="AE189" s="293"/>
      <c r="AF189" s="293"/>
      <c r="AG189" s="293"/>
      <c r="AH189" s="293"/>
      <c r="AI189" s="293"/>
      <c r="AJ189" s="293"/>
      <c r="AK189" s="293"/>
      <c r="AL189" s="293"/>
      <c r="AM189" s="293"/>
      <c r="AN189" s="293"/>
      <c r="AO189" s="293"/>
      <c r="AP189" s="293"/>
      <c r="AQ189" s="293"/>
      <c r="AR189" s="293"/>
      <c r="AS189" s="293"/>
      <c r="AT189" s="293"/>
      <c r="AU189" s="293"/>
      <c r="AV189" s="293"/>
      <c r="AW189" s="293"/>
      <c r="AX189" s="293"/>
      <c r="AY189" s="293"/>
      <c r="AZ189" s="293"/>
      <c r="BA189" s="293"/>
      <c r="BB189" s="293"/>
      <c r="BC189" s="293"/>
      <c r="BD189" s="293"/>
      <c r="BE189" s="293"/>
      <c r="BF189" s="293"/>
      <c r="BG189" s="293"/>
      <c r="BH189" s="293"/>
      <c r="BI189" s="293"/>
      <c r="BJ189" s="293"/>
      <c r="BK189" s="293"/>
      <c r="BL189" s="293"/>
      <c r="BM189" s="293"/>
      <c r="BN189" s="293"/>
      <c r="BO189" s="293"/>
      <c r="BP189" s="293"/>
      <c r="BQ189" s="293"/>
      <c r="BR189" s="293"/>
      <c r="BS189" s="293"/>
      <c r="BT189" s="293"/>
      <c r="BU189" s="293"/>
      <c r="BV189" s="293"/>
      <c r="BW189" s="293"/>
      <c r="BX189" s="293"/>
      <c r="BY189" s="293"/>
      <c r="BZ189" s="293"/>
      <c r="CA189" s="293"/>
      <c r="CB189" s="293"/>
      <c r="CC189" s="293"/>
      <c r="CD189" s="293"/>
      <c r="CE189" s="293"/>
      <c r="CF189" s="293"/>
      <c r="CG189" s="293"/>
      <c r="CH189" s="293"/>
      <c r="CI189" s="293"/>
      <c r="CJ189" s="293"/>
      <c r="CK189" s="293"/>
      <c r="CL189" s="293"/>
      <c r="CM189" s="293"/>
      <c r="CN189" s="293"/>
      <c r="CO189" s="293"/>
      <c r="CP189" s="293"/>
      <c r="CQ189" s="293"/>
      <c r="CR189" s="293"/>
      <c r="CS189" s="293"/>
      <c r="CT189" s="293"/>
      <c r="CU189" s="293"/>
      <c r="CV189" s="293"/>
      <c r="CW189" s="293"/>
      <c r="CX189" s="293"/>
      <c r="CY189" s="293"/>
      <c r="CZ189" s="293"/>
      <c r="DA189" s="293"/>
      <c r="DB189" s="293"/>
      <c r="DC189" s="293"/>
      <c r="DD189" s="293"/>
      <c r="DE189" s="293"/>
      <c r="DF189" s="293"/>
    </row>
    <row r="190" ht="14.25" customHeight="1">
      <c r="A190" s="293"/>
      <c r="B190" s="293"/>
      <c r="C190" s="293"/>
      <c r="D190" s="293"/>
      <c r="E190" s="293"/>
      <c r="F190" s="293"/>
      <c r="G190" s="293"/>
      <c r="H190" s="293"/>
      <c r="I190" s="293"/>
      <c r="J190" s="293"/>
      <c r="K190" s="293"/>
      <c r="L190" s="293"/>
      <c r="M190" s="293"/>
      <c r="N190" s="293"/>
      <c r="O190" s="293"/>
      <c r="P190" s="293"/>
      <c r="Q190" s="293"/>
      <c r="R190" s="293"/>
      <c r="S190" s="293"/>
      <c r="T190" s="293"/>
      <c r="U190" s="293"/>
      <c r="V190" s="293"/>
      <c r="W190" s="293"/>
      <c r="X190" s="293"/>
      <c r="Y190" s="293"/>
      <c r="Z190" s="293"/>
      <c r="AA190" s="293"/>
      <c r="AB190" s="293"/>
      <c r="AC190" s="293"/>
      <c r="AD190" s="293"/>
      <c r="AE190" s="293"/>
      <c r="AF190" s="293"/>
      <c r="AG190" s="293"/>
      <c r="AH190" s="293"/>
      <c r="AI190" s="293"/>
      <c r="AJ190" s="293"/>
      <c r="AK190" s="293"/>
      <c r="AL190" s="293"/>
      <c r="AM190" s="293"/>
      <c r="AN190" s="293"/>
      <c r="AO190" s="293"/>
      <c r="AP190" s="293"/>
      <c r="AQ190" s="293"/>
      <c r="AR190" s="293"/>
      <c r="AS190" s="293"/>
      <c r="AT190" s="293"/>
      <c r="AU190" s="293"/>
      <c r="AV190" s="293"/>
      <c r="AW190" s="293"/>
      <c r="AX190" s="293"/>
      <c r="AY190" s="293"/>
      <c r="AZ190" s="293"/>
      <c r="BA190" s="293"/>
      <c r="BB190" s="293"/>
      <c r="BC190" s="293"/>
      <c r="BD190" s="293"/>
      <c r="BE190" s="293"/>
      <c r="BF190" s="293"/>
      <c r="BG190" s="293"/>
      <c r="BH190" s="293"/>
      <c r="BI190" s="293"/>
      <c r="BJ190" s="293"/>
      <c r="BK190" s="293"/>
      <c r="BL190" s="293"/>
      <c r="BM190" s="293"/>
      <c r="BN190" s="293"/>
      <c r="BO190" s="293"/>
      <c r="BP190" s="293"/>
      <c r="BQ190" s="293"/>
      <c r="BR190" s="293"/>
      <c r="BS190" s="293"/>
      <c r="BT190" s="293"/>
      <c r="BU190" s="293"/>
      <c r="BV190" s="293"/>
      <c r="BW190" s="293"/>
      <c r="BX190" s="293"/>
      <c r="BY190" s="293"/>
      <c r="BZ190" s="293"/>
      <c r="CA190" s="293"/>
      <c r="CB190" s="293"/>
      <c r="CC190" s="293"/>
      <c r="CD190" s="293"/>
      <c r="CE190" s="293"/>
      <c r="CF190" s="293"/>
      <c r="CG190" s="293"/>
      <c r="CH190" s="293"/>
      <c r="CI190" s="293"/>
      <c r="CJ190" s="293"/>
      <c r="CK190" s="293"/>
      <c r="CL190" s="293"/>
      <c r="CM190" s="293"/>
      <c r="CN190" s="293"/>
      <c r="CO190" s="293"/>
      <c r="CP190" s="293"/>
      <c r="CQ190" s="293"/>
      <c r="CR190" s="293"/>
      <c r="CS190" s="293"/>
      <c r="CT190" s="293"/>
      <c r="CU190" s="293"/>
      <c r="CV190" s="293"/>
      <c r="CW190" s="293"/>
      <c r="CX190" s="293"/>
      <c r="CY190" s="293"/>
      <c r="CZ190" s="293"/>
      <c r="DA190" s="293"/>
      <c r="DB190" s="293"/>
      <c r="DC190" s="293"/>
      <c r="DD190" s="293"/>
      <c r="DE190" s="293"/>
      <c r="DF190" s="293"/>
    </row>
    <row r="191" ht="14.25" customHeight="1">
      <c r="A191" s="293"/>
      <c r="B191" s="293"/>
      <c r="C191" s="293"/>
      <c r="D191" s="293"/>
      <c r="E191" s="293"/>
      <c r="F191" s="293"/>
      <c r="G191" s="293"/>
      <c r="H191" s="293"/>
      <c r="I191" s="293"/>
      <c r="J191" s="293"/>
      <c r="K191" s="293"/>
      <c r="L191" s="293"/>
      <c r="M191" s="293"/>
      <c r="N191" s="293"/>
      <c r="O191" s="293"/>
      <c r="P191" s="293"/>
      <c r="Q191" s="293"/>
      <c r="R191" s="293"/>
      <c r="S191" s="293"/>
      <c r="T191" s="293"/>
      <c r="U191" s="293"/>
      <c r="V191" s="293"/>
      <c r="W191" s="293"/>
      <c r="X191" s="293"/>
      <c r="Y191" s="293"/>
      <c r="Z191" s="293"/>
      <c r="AA191" s="293"/>
      <c r="AB191" s="293"/>
      <c r="AC191" s="293"/>
      <c r="AD191" s="293"/>
      <c r="AE191" s="293"/>
      <c r="AF191" s="293"/>
      <c r="AG191" s="293"/>
      <c r="AH191" s="293"/>
      <c r="AI191" s="293"/>
      <c r="AJ191" s="293"/>
      <c r="AK191" s="293"/>
      <c r="AL191" s="293"/>
      <c r="AM191" s="293"/>
      <c r="AN191" s="293"/>
      <c r="AO191" s="293"/>
      <c r="AP191" s="293"/>
      <c r="AQ191" s="293"/>
      <c r="AR191" s="293"/>
      <c r="AS191" s="293"/>
      <c r="AT191" s="293"/>
      <c r="AU191" s="293"/>
      <c r="AV191" s="293"/>
      <c r="AW191" s="293"/>
      <c r="AX191" s="293"/>
      <c r="AY191" s="293"/>
      <c r="AZ191" s="293"/>
      <c r="BA191" s="293"/>
      <c r="BB191" s="293"/>
      <c r="BC191" s="293"/>
      <c r="BD191" s="293"/>
      <c r="BE191" s="293"/>
      <c r="BF191" s="293"/>
      <c r="BG191" s="293"/>
      <c r="BH191" s="293"/>
      <c r="BI191" s="293"/>
      <c r="BJ191" s="293"/>
      <c r="BK191" s="293"/>
      <c r="BL191" s="293"/>
      <c r="BM191" s="293"/>
      <c r="BN191" s="293"/>
      <c r="BO191" s="293"/>
      <c r="BP191" s="293"/>
      <c r="BQ191" s="293"/>
      <c r="BR191" s="293"/>
      <c r="BS191" s="293"/>
      <c r="BT191" s="293"/>
      <c r="BU191" s="293"/>
      <c r="BV191" s="293"/>
      <c r="BW191" s="293"/>
      <c r="BX191" s="293"/>
      <c r="BY191" s="293"/>
      <c r="BZ191" s="293"/>
      <c r="CA191" s="293"/>
      <c r="CB191" s="293"/>
      <c r="CC191" s="293"/>
      <c r="CD191" s="293"/>
      <c r="CE191" s="293"/>
      <c r="CF191" s="293"/>
      <c r="CG191" s="293"/>
      <c r="CH191" s="293"/>
      <c r="CI191" s="293"/>
      <c r="CJ191" s="293"/>
      <c r="CK191" s="293"/>
      <c r="CL191" s="293"/>
      <c r="CM191" s="293"/>
      <c r="CN191" s="293"/>
      <c r="CO191" s="293"/>
      <c r="CP191" s="293"/>
      <c r="CQ191" s="293"/>
      <c r="CR191" s="293"/>
      <c r="CS191" s="293"/>
      <c r="CT191" s="293"/>
      <c r="CU191" s="293"/>
      <c r="CV191" s="293"/>
      <c r="CW191" s="293"/>
      <c r="CX191" s="293"/>
      <c r="CY191" s="293"/>
      <c r="CZ191" s="293"/>
      <c r="DA191" s="293"/>
      <c r="DB191" s="293"/>
      <c r="DC191" s="293"/>
      <c r="DD191" s="293"/>
      <c r="DE191" s="293"/>
      <c r="DF191" s="293"/>
    </row>
    <row r="192" ht="14.25" customHeight="1">
      <c r="A192" s="293"/>
      <c r="B192" s="293"/>
      <c r="C192" s="293"/>
      <c r="D192" s="293"/>
      <c r="E192" s="293"/>
      <c r="F192" s="293"/>
      <c r="G192" s="293"/>
      <c r="H192" s="293"/>
      <c r="I192" s="293"/>
      <c r="J192" s="293"/>
      <c r="K192" s="293"/>
      <c r="L192" s="293"/>
      <c r="M192" s="293"/>
      <c r="N192" s="293"/>
      <c r="O192" s="293"/>
      <c r="P192" s="293"/>
      <c r="Q192" s="293"/>
      <c r="R192" s="293"/>
      <c r="S192" s="293"/>
      <c r="T192" s="293"/>
      <c r="U192" s="293"/>
      <c r="V192" s="293"/>
      <c r="W192" s="293"/>
      <c r="X192" s="293"/>
      <c r="Y192" s="293"/>
      <c r="Z192" s="293"/>
      <c r="AA192" s="293"/>
      <c r="AB192" s="293"/>
      <c r="AC192" s="293"/>
      <c r="AD192" s="293"/>
      <c r="AE192" s="293"/>
      <c r="AF192" s="293"/>
      <c r="AG192" s="293"/>
      <c r="AH192" s="293"/>
      <c r="AI192" s="293"/>
      <c r="AJ192" s="293"/>
      <c r="AK192" s="293"/>
      <c r="AL192" s="293"/>
      <c r="AM192" s="293"/>
      <c r="AN192" s="293"/>
      <c r="AO192" s="293"/>
      <c r="AP192" s="293"/>
      <c r="AQ192" s="293"/>
      <c r="AR192" s="293"/>
      <c r="AS192" s="293"/>
      <c r="AT192" s="293"/>
      <c r="AU192" s="293"/>
      <c r="AV192" s="293"/>
      <c r="AW192" s="293"/>
      <c r="AX192" s="293"/>
      <c r="AY192" s="293"/>
      <c r="AZ192" s="293"/>
      <c r="BA192" s="293"/>
      <c r="BB192" s="293"/>
      <c r="BC192" s="293"/>
      <c r="BD192" s="293"/>
      <c r="BE192" s="293"/>
      <c r="BF192" s="293"/>
      <c r="BG192" s="293"/>
      <c r="BH192" s="293"/>
      <c r="BI192" s="293"/>
      <c r="BJ192" s="293"/>
      <c r="BK192" s="293"/>
      <c r="BL192" s="293"/>
      <c r="BM192" s="293"/>
      <c r="BN192" s="293"/>
      <c r="BO192" s="293"/>
      <c r="BP192" s="293"/>
      <c r="BQ192" s="293"/>
      <c r="BR192" s="293"/>
      <c r="BS192" s="293"/>
      <c r="BT192" s="293"/>
      <c r="BU192" s="293"/>
      <c r="BV192" s="293"/>
      <c r="BW192" s="293"/>
      <c r="BX192" s="293"/>
      <c r="BY192" s="293"/>
      <c r="BZ192" s="293"/>
      <c r="CA192" s="293"/>
      <c r="CB192" s="293"/>
      <c r="CC192" s="293"/>
      <c r="CD192" s="293"/>
      <c r="CE192" s="293"/>
      <c r="CF192" s="293"/>
      <c r="CG192" s="293"/>
      <c r="CH192" s="293"/>
      <c r="CI192" s="293"/>
      <c r="CJ192" s="293"/>
      <c r="CK192" s="293"/>
      <c r="CL192" s="293"/>
      <c r="CM192" s="293"/>
      <c r="CN192" s="293"/>
      <c r="CO192" s="293"/>
      <c r="CP192" s="293"/>
      <c r="CQ192" s="293"/>
      <c r="CR192" s="293"/>
      <c r="CS192" s="293"/>
      <c r="CT192" s="293"/>
      <c r="CU192" s="293"/>
      <c r="CV192" s="293"/>
      <c r="CW192" s="293"/>
      <c r="CX192" s="293"/>
      <c r="CY192" s="293"/>
      <c r="CZ192" s="293"/>
      <c r="DA192" s="293"/>
      <c r="DB192" s="293"/>
      <c r="DC192" s="293"/>
      <c r="DD192" s="293"/>
      <c r="DE192" s="293"/>
      <c r="DF192" s="293"/>
    </row>
    <row r="193" ht="14.25" customHeight="1">
      <c r="A193" s="293"/>
      <c r="B193" s="293"/>
      <c r="C193" s="293"/>
      <c r="D193" s="293"/>
      <c r="E193" s="293"/>
      <c r="F193" s="293"/>
      <c r="G193" s="293"/>
      <c r="H193" s="293"/>
      <c r="I193" s="293"/>
      <c r="J193" s="293"/>
      <c r="K193" s="293"/>
      <c r="L193" s="293"/>
      <c r="M193" s="293"/>
      <c r="N193" s="293"/>
      <c r="O193" s="293"/>
      <c r="P193" s="293"/>
      <c r="Q193" s="293"/>
      <c r="R193" s="293"/>
      <c r="S193" s="293"/>
      <c r="T193" s="293"/>
      <c r="U193" s="293"/>
      <c r="V193" s="293"/>
      <c r="W193" s="293"/>
      <c r="X193" s="293"/>
      <c r="Y193" s="293"/>
      <c r="Z193" s="293"/>
      <c r="AA193" s="293"/>
      <c r="AB193" s="293"/>
      <c r="AC193" s="293"/>
      <c r="AD193" s="293"/>
      <c r="AE193" s="293"/>
      <c r="AF193" s="293"/>
      <c r="AG193" s="293"/>
      <c r="AH193" s="293"/>
      <c r="AI193" s="293"/>
      <c r="AJ193" s="293"/>
      <c r="AK193" s="293"/>
      <c r="AL193" s="293"/>
      <c r="AM193" s="293"/>
      <c r="AN193" s="293"/>
      <c r="AO193" s="293"/>
      <c r="AP193" s="293"/>
      <c r="AQ193" s="293"/>
      <c r="AR193" s="293"/>
      <c r="AS193" s="293"/>
      <c r="AT193" s="293"/>
      <c r="AU193" s="293"/>
      <c r="AV193" s="293"/>
      <c r="AW193" s="293"/>
      <c r="AX193" s="293"/>
      <c r="AY193" s="293"/>
      <c r="AZ193" s="293"/>
      <c r="BA193" s="293"/>
      <c r="BB193" s="293"/>
      <c r="BC193" s="293"/>
      <c r="BD193" s="293"/>
      <c r="BE193" s="293"/>
      <c r="BF193" s="293"/>
      <c r="BG193" s="293"/>
      <c r="BH193" s="293"/>
      <c r="BI193" s="293"/>
      <c r="BJ193" s="293"/>
      <c r="BK193" s="293"/>
      <c r="BL193" s="293"/>
      <c r="BM193" s="293"/>
      <c r="BN193" s="293"/>
      <c r="BO193" s="293"/>
      <c r="BP193" s="293"/>
      <c r="BQ193" s="293"/>
      <c r="BR193" s="293"/>
      <c r="BS193" s="293"/>
      <c r="BT193" s="293"/>
      <c r="BU193" s="293"/>
      <c r="BV193" s="293"/>
      <c r="BW193" s="293"/>
      <c r="BX193" s="293"/>
      <c r="BY193" s="293"/>
      <c r="BZ193" s="293"/>
      <c r="CA193" s="293"/>
      <c r="CB193" s="293"/>
      <c r="CC193" s="293"/>
      <c r="CD193" s="293"/>
      <c r="CE193" s="293"/>
      <c r="CF193" s="293"/>
      <c r="CG193" s="293"/>
      <c r="CH193" s="293"/>
      <c r="CI193" s="293"/>
      <c r="CJ193" s="293"/>
      <c r="CK193" s="293"/>
      <c r="CL193" s="293"/>
      <c r="CM193" s="293"/>
      <c r="CN193" s="293"/>
      <c r="CO193" s="293"/>
      <c r="CP193" s="293"/>
      <c r="CQ193" s="293"/>
      <c r="CR193" s="293"/>
      <c r="CS193" s="293"/>
      <c r="CT193" s="293"/>
      <c r="CU193" s="293"/>
      <c r="CV193" s="293"/>
      <c r="CW193" s="293"/>
      <c r="CX193" s="293"/>
      <c r="CY193" s="293"/>
      <c r="CZ193" s="293"/>
      <c r="DA193" s="293"/>
      <c r="DB193" s="293"/>
      <c r="DC193" s="293"/>
      <c r="DD193" s="293"/>
      <c r="DE193" s="293"/>
      <c r="DF193" s="293"/>
    </row>
    <row r="194" ht="14.25" customHeight="1">
      <c r="A194" s="293"/>
      <c r="B194" s="293"/>
      <c r="C194" s="293"/>
      <c r="D194" s="293"/>
      <c r="E194" s="293"/>
      <c r="F194" s="293"/>
      <c r="G194" s="293"/>
      <c r="H194" s="293"/>
      <c r="I194" s="293"/>
      <c r="J194" s="293"/>
      <c r="K194" s="293"/>
      <c r="L194" s="293"/>
      <c r="M194" s="293"/>
      <c r="N194" s="293"/>
      <c r="O194" s="293"/>
      <c r="P194" s="293"/>
      <c r="Q194" s="293"/>
      <c r="R194" s="293"/>
      <c r="S194" s="293"/>
      <c r="T194" s="293"/>
      <c r="U194" s="293"/>
      <c r="V194" s="293"/>
      <c r="W194" s="293"/>
      <c r="X194" s="293"/>
      <c r="Y194" s="293"/>
      <c r="Z194" s="293"/>
      <c r="AA194" s="293"/>
      <c r="AB194" s="293"/>
      <c r="AC194" s="293"/>
      <c r="AD194" s="293"/>
      <c r="AE194" s="293"/>
      <c r="AF194" s="293"/>
      <c r="AG194" s="293"/>
      <c r="AH194" s="293"/>
      <c r="AI194" s="293"/>
      <c r="AJ194" s="293"/>
      <c r="AK194" s="293"/>
      <c r="AL194" s="293"/>
      <c r="AM194" s="293"/>
      <c r="AN194" s="293"/>
      <c r="AO194" s="293"/>
      <c r="AP194" s="293"/>
      <c r="AQ194" s="293"/>
      <c r="AR194" s="293"/>
      <c r="AS194" s="293"/>
      <c r="AT194" s="293"/>
      <c r="AU194" s="293"/>
      <c r="AV194" s="293"/>
      <c r="AW194" s="293"/>
      <c r="AX194" s="293"/>
      <c r="AY194" s="293"/>
      <c r="AZ194" s="293"/>
      <c r="BA194" s="293"/>
      <c r="BB194" s="293"/>
      <c r="BC194" s="293"/>
      <c r="BD194" s="293"/>
      <c r="BE194" s="293"/>
      <c r="BF194" s="293"/>
      <c r="BG194" s="293"/>
      <c r="BH194" s="293"/>
      <c r="BI194" s="293"/>
      <c r="BJ194" s="293"/>
      <c r="BK194" s="293"/>
      <c r="BL194" s="293"/>
      <c r="BM194" s="293"/>
      <c r="BN194" s="293"/>
      <c r="BO194" s="293"/>
      <c r="BP194" s="293"/>
      <c r="BQ194" s="293"/>
      <c r="BR194" s="293"/>
      <c r="BS194" s="293"/>
      <c r="BT194" s="293"/>
      <c r="BU194" s="293"/>
      <c r="BV194" s="293"/>
      <c r="BW194" s="293"/>
      <c r="BX194" s="293"/>
      <c r="BY194" s="293"/>
      <c r="BZ194" s="293"/>
      <c r="CA194" s="293"/>
      <c r="CB194" s="293"/>
      <c r="CC194" s="293"/>
      <c r="CD194" s="293"/>
      <c r="CE194" s="293"/>
      <c r="CF194" s="293"/>
      <c r="CG194" s="293"/>
      <c r="CH194" s="293"/>
      <c r="CI194" s="293"/>
      <c r="CJ194" s="293"/>
      <c r="CK194" s="293"/>
      <c r="CL194" s="293"/>
      <c r="CM194" s="293"/>
      <c r="CN194" s="293"/>
      <c r="CO194" s="293"/>
      <c r="CP194" s="293"/>
      <c r="CQ194" s="293"/>
      <c r="CR194" s="293"/>
      <c r="CS194" s="293"/>
      <c r="CT194" s="293"/>
      <c r="CU194" s="293"/>
      <c r="CV194" s="293"/>
      <c r="CW194" s="293"/>
      <c r="CX194" s="293"/>
      <c r="CY194" s="293"/>
      <c r="CZ194" s="293"/>
      <c r="DA194" s="293"/>
      <c r="DB194" s="293"/>
      <c r="DC194" s="293"/>
      <c r="DD194" s="293"/>
      <c r="DE194" s="293"/>
      <c r="DF194" s="293"/>
    </row>
    <row r="195" ht="14.25" customHeight="1">
      <c r="A195" s="293"/>
      <c r="B195" s="293"/>
      <c r="C195" s="293"/>
      <c r="D195" s="293"/>
      <c r="E195" s="293"/>
      <c r="F195" s="293"/>
      <c r="G195" s="293"/>
      <c r="H195" s="293"/>
      <c r="I195" s="293"/>
      <c r="J195" s="293"/>
      <c r="K195" s="293"/>
      <c r="L195" s="293"/>
      <c r="M195" s="293"/>
      <c r="N195" s="293"/>
      <c r="O195" s="293"/>
      <c r="P195" s="293"/>
      <c r="Q195" s="293"/>
      <c r="R195" s="293"/>
      <c r="S195" s="293"/>
      <c r="T195" s="293"/>
      <c r="U195" s="293"/>
      <c r="V195" s="293"/>
      <c r="W195" s="293"/>
      <c r="X195" s="293"/>
      <c r="Y195" s="293"/>
      <c r="Z195" s="293"/>
      <c r="AA195" s="293"/>
      <c r="AB195" s="293"/>
      <c r="AC195" s="293"/>
      <c r="AD195" s="293"/>
      <c r="AE195" s="293"/>
      <c r="AF195" s="293"/>
      <c r="AG195" s="293"/>
      <c r="AH195" s="293"/>
      <c r="AI195" s="293"/>
      <c r="AJ195" s="293"/>
      <c r="AK195" s="293"/>
      <c r="AL195" s="293"/>
      <c r="AM195" s="293"/>
      <c r="AN195" s="293"/>
      <c r="AO195" s="293"/>
      <c r="AP195" s="293"/>
      <c r="AQ195" s="293"/>
      <c r="AR195" s="293"/>
      <c r="AS195" s="293"/>
      <c r="AT195" s="293"/>
      <c r="AU195" s="293"/>
      <c r="AV195" s="293"/>
      <c r="AW195" s="293"/>
      <c r="AX195" s="293"/>
      <c r="AY195" s="293"/>
      <c r="AZ195" s="293"/>
      <c r="BA195" s="293"/>
      <c r="BB195" s="293"/>
      <c r="BC195" s="293"/>
      <c r="BD195" s="293"/>
      <c r="BE195" s="293"/>
      <c r="BF195" s="293"/>
      <c r="BG195" s="293"/>
      <c r="BH195" s="293"/>
      <c r="BI195" s="293"/>
      <c r="BJ195" s="293"/>
      <c r="BK195" s="293"/>
      <c r="BL195" s="293"/>
      <c r="BM195" s="293"/>
      <c r="BN195" s="293"/>
      <c r="BO195" s="293"/>
      <c r="BP195" s="293"/>
      <c r="BQ195" s="293"/>
      <c r="BR195" s="293"/>
      <c r="BS195" s="293"/>
      <c r="BT195" s="293"/>
      <c r="BU195" s="293"/>
      <c r="BV195" s="293"/>
      <c r="BW195" s="293"/>
      <c r="BX195" s="293"/>
      <c r="BY195" s="293"/>
      <c r="BZ195" s="293"/>
      <c r="CA195" s="293"/>
      <c r="CB195" s="293"/>
      <c r="CC195" s="293"/>
      <c r="CD195" s="293"/>
      <c r="CE195" s="293"/>
      <c r="CF195" s="293"/>
      <c r="CG195" s="293"/>
      <c r="CH195" s="293"/>
      <c r="CI195" s="293"/>
      <c r="CJ195" s="293"/>
      <c r="CK195" s="293"/>
      <c r="CL195" s="293"/>
      <c r="CM195" s="293"/>
      <c r="CN195" s="293"/>
      <c r="CO195" s="293"/>
      <c r="CP195" s="293"/>
      <c r="CQ195" s="293"/>
      <c r="CR195" s="293"/>
      <c r="CS195" s="293"/>
      <c r="CT195" s="293"/>
      <c r="CU195" s="293"/>
      <c r="CV195" s="293"/>
      <c r="CW195" s="293"/>
      <c r="CX195" s="293"/>
      <c r="CY195" s="293"/>
      <c r="CZ195" s="293"/>
      <c r="DA195" s="293"/>
      <c r="DB195" s="293"/>
      <c r="DC195" s="293"/>
      <c r="DD195" s="293"/>
      <c r="DE195" s="293"/>
      <c r="DF195" s="293"/>
    </row>
    <row r="196" ht="14.25" customHeight="1">
      <c r="A196" s="293"/>
      <c r="B196" s="293"/>
      <c r="C196" s="293"/>
      <c r="D196" s="293"/>
      <c r="E196" s="293"/>
      <c r="F196" s="293"/>
      <c r="G196" s="293"/>
      <c r="H196" s="293"/>
      <c r="I196" s="293"/>
      <c r="J196" s="293"/>
      <c r="K196" s="293"/>
      <c r="L196" s="293"/>
      <c r="M196" s="293"/>
      <c r="N196" s="293"/>
      <c r="O196" s="293"/>
      <c r="P196" s="293"/>
      <c r="Q196" s="293"/>
      <c r="R196" s="293"/>
      <c r="S196" s="293"/>
      <c r="T196" s="293"/>
      <c r="U196" s="293"/>
      <c r="V196" s="293"/>
      <c r="W196" s="293"/>
      <c r="X196" s="293"/>
      <c r="Y196" s="293"/>
      <c r="Z196" s="293"/>
      <c r="AA196" s="293"/>
      <c r="AB196" s="293"/>
      <c r="AC196" s="293"/>
      <c r="AD196" s="293"/>
      <c r="AE196" s="293"/>
      <c r="AF196" s="293"/>
      <c r="AG196" s="293"/>
      <c r="AH196" s="293"/>
      <c r="AI196" s="293"/>
      <c r="AJ196" s="293"/>
      <c r="AK196" s="293"/>
      <c r="AL196" s="293"/>
      <c r="AM196" s="293"/>
      <c r="AN196" s="293"/>
      <c r="AO196" s="293"/>
      <c r="AP196" s="293"/>
      <c r="AQ196" s="293"/>
      <c r="AR196" s="293"/>
      <c r="AS196" s="293"/>
      <c r="AT196" s="293"/>
      <c r="AU196" s="293"/>
      <c r="AV196" s="293"/>
      <c r="AW196" s="293"/>
      <c r="AX196" s="293"/>
      <c r="AY196" s="293"/>
      <c r="AZ196" s="293"/>
      <c r="BA196" s="293"/>
      <c r="BB196" s="293"/>
      <c r="BC196" s="293"/>
      <c r="BD196" s="293"/>
      <c r="BE196" s="293"/>
      <c r="BF196" s="293"/>
      <c r="BG196" s="293"/>
      <c r="BH196" s="293"/>
      <c r="BI196" s="293"/>
      <c r="BJ196" s="293"/>
      <c r="BK196" s="293"/>
      <c r="BL196" s="293"/>
      <c r="BM196" s="293"/>
      <c r="BN196" s="293"/>
      <c r="BO196" s="293"/>
      <c r="BP196" s="293"/>
      <c r="BQ196" s="293"/>
      <c r="BR196" s="293"/>
      <c r="BS196" s="293"/>
      <c r="BT196" s="293"/>
      <c r="BU196" s="293"/>
      <c r="BV196" s="293"/>
      <c r="BW196" s="293"/>
      <c r="BX196" s="293"/>
      <c r="BY196" s="293"/>
      <c r="BZ196" s="293"/>
      <c r="CA196" s="293"/>
      <c r="CB196" s="293"/>
      <c r="CC196" s="293"/>
      <c r="CD196" s="293"/>
      <c r="CE196" s="293"/>
      <c r="CF196" s="293"/>
      <c r="CG196" s="293"/>
      <c r="CH196" s="293"/>
      <c r="CI196" s="293"/>
      <c r="CJ196" s="293"/>
      <c r="CK196" s="293"/>
      <c r="CL196" s="293"/>
      <c r="CM196" s="293"/>
      <c r="CN196" s="293"/>
      <c r="CO196" s="293"/>
      <c r="CP196" s="293"/>
      <c r="CQ196" s="293"/>
      <c r="CR196" s="293"/>
      <c r="CS196" s="293"/>
      <c r="CT196" s="293"/>
      <c r="CU196" s="293"/>
      <c r="CV196" s="293"/>
      <c r="CW196" s="293"/>
      <c r="CX196" s="293"/>
      <c r="CY196" s="293"/>
      <c r="CZ196" s="293"/>
      <c r="DA196" s="293"/>
      <c r="DB196" s="293"/>
      <c r="DC196" s="293"/>
      <c r="DD196" s="293"/>
      <c r="DE196" s="293"/>
      <c r="DF196" s="293"/>
    </row>
    <row r="197" ht="14.25" customHeight="1">
      <c r="A197" s="293"/>
      <c r="B197" s="293"/>
      <c r="C197" s="293"/>
      <c r="D197" s="293"/>
      <c r="E197" s="293"/>
      <c r="F197" s="293"/>
      <c r="G197" s="293"/>
      <c r="H197" s="293"/>
      <c r="I197" s="293"/>
      <c r="J197" s="293"/>
      <c r="K197" s="293"/>
      <c r="L197" s="293"/>
      <c r="M197" s="293"/>
      <c r="N197" s="293"/>
      <c r="O197" s="293"/>
      <c r="P197" s="293"/>
      <c r="Q197" s="293"/>
      <c r="R197" s="293"/>
      <c r="S197" s="293"/>
      <c r="T197" s="293"/>
      <c r="U197" s="293"/>
      <c r="V197" s="293"/>
      <c r="W197" s="293"/>
      <c r="X197" s="293"/>
      <c r="Y197" s="293"/>
      <c r="Z197" s="293"/>
      <c r="AA197" s="293"/>
      <c r="AB197" s="293"/>
      <c r="AC197" s="293"/>
      <c r="AD197" s="293"/>
      <c r="AE197" s="293"/>
      <c r="AF197" s="293"/>
      <c r="AG197" s="293"/>
      <c r="AH197" s="293"/>
      <c r="AI197" s="293"/>
      <c r="AJ197" s="293"/>
      <c r="AK197" s="293"/>
      <c r="AL197" s="293"/>
      <c r="AM197" s="293"/>
      <c r="AN197" s="293"/>
      <c r="AO197" s="293"/>
      <c r="AP197" s="293"/>
      <c r="AQ197" s="293"/>
      <c r="AR197" s="293"/>
      <c r="AS197" s="293"/>
      <c r="AT197" s="293"/>
      <c r="AU197" s="293"/>
      <c r="AV197" s="293"/>
      <c r="AW197" s="293"/>
      <c r="AX197" s="293"/>
      <c r="AY197" s="293"/>
      <c r="AZ197" s="293"/>
      <c r="BA197" s="293"/>
      <c r="BB197" s="293"/>
      <c r="BC197" s="293"/>
      <c r="BD197" s="293"/>
      <c r="BE197" s="293"/>
      <c r="BF197" s="293"/>
      <c r="BG197" s="293"/>
      <c r="BH197" s="293"/>
      <c r="BI197" s="293"/>
      <c r="BJ197" s="293"/>
      <c r="BK197" s="293"/>
      <c r="BL197" s="293"/>
      <c r="BM197" s="293"/>
      <c r="BN197" s="293"/>
      <c r="BO197" s="293"/>
      <c r="BP197" s="293"/>
      <c r="BQ197" s="293"/>
      <c r="BR197" s="293"/>
      <c r="BS197" s="293"/>
      <c r="BT197" s="293"/>
      <c r="BU197" s="293"/>
      <c r="BV197" s="293"/>
      <c r="BW197" s="293"/>
      <c r="BX197" s="293"/>
      <c r="BY197" s="293"/>
      <c r="BZ197" s="293"/>
      <c r="CA197" s="293"/>
      <c r="CB197" s="293"/>
      <c r="CC197" s="293"/>
      <c r="CD197" s="293"/>
      <c r="CE197" s="293"/>
      <c r="CF197" s="293"/>
      <c r="CG197" s="293"/>
      <c r="CH197" s="293"/>
      <c r="CI197" s="293"/>
      <c r="CJ197" s="293"/>
      <c r="CK197" s="293"/>
      <c r="CL197" s="293"/>
      <c r="CM197" s="293"/>
      <c r="CN197" s="293"/>
      <c r="CO197" s="293"/>
      <c r="CP197" s="293"/>
      <c r="CQ197" s="293"/>
      <c r="CR197" s="293"/>
      <c r="CS197" s="293"/>
      <c r="CT197" s="293"/>
      <c r="CU197" s="293"/>
      <c r="CV197" s="293"/>
      <c r="CW197" s="293"/>
      <c r="CX197" s="293"/>
      <c r="CY197" s="293"/>
      <c r="CZ197" s="293"/>
      <c r="DA197" s="293"/>
      <c r="DB197" s="293"/>
      <c r="DC197" s="293"/>
      <c r="DD197" s="293"/>
      <c r="DE197" s="293"/>
      <c r="DF197" s="293"/>
    </row>
    <row r="198" ht="14.25" customHeight="1">
      <c r="A198" s="293"/>
      <c r="B198" s="293"/>
      <c r="C198" s="293"/>
      <c r="D198" s="293"/>
      <c r="E198" s="293"/>
      <c r="F198" s="293"/>
      <c r="G198" s="293"/>
      <c r="H198" s="293"/>
      <c r="I198" s="293"/>
      <c r="J198" s="293"/>
      <c r="K198" s="293"/>
      <c r="L198" s="293"/>
      <c r="M198" s="293"/>
      <c r="N198" s="293"/>
      <c r="O198" s="293"/>
      <c r="P198" s="293"/>
      <c r="Q198" s="293"/>
      <c r="R198" s="293"/>
      <c r="S198" s="293"/>
      <c r="T198" s="293"/>
      <c r="U198" s="293"/>
      <c r="V198" s="293"/>
      <c r="W198" s="293"/>
      <c r="X198" s="293"/>
      <c r="Y198" s="293"/>
      <c r="Z198" s="293"/>
      <c r="AA198" s="293"/>
      <c r="AB198" s="293"/>
      <c r="AC198" s="293"/>
      <c r="AD198" s="293"/>
      <c r="AE198" s="293"/>
      <c r="AF198" s="293"/>
      <c r="AG198" s="293"/>
      <c r="AH198" s="293"/>
      <c r="AI198" s="293"/>
      <c r="AJ198" s="293"/>
      <c r="AK198" s="293"/>
      <c r="AL198" s="293"/>
      <c r="AM198" s="293"/>
      <c r="AN198" s="293"/>
      <c r="AO198" s="293"/>
      <c r="AP198" s="293"/>
      <c r="AQ198" s="293"/>
      <c r="AR198" s="293"/>
      <c r="AS198" s="293"/>
      <c r="AT198" s="293"/>
      <c r="AU198" s="293"/>
      <c r="AV198" s="293"/>
      <c r="AW198" s="293"/>
      <c r="AX198" s="293"/>
      <c r="AY198" s="293"/>
      <c r="AZ198" s="293"/>
      <c r="BA198" s="293"/>
      <c r="BB198" s="293"/>
      <c r="BC198" s="293"/>
      <c r="BD198" s="293"/>
      <c r="BE198" s="293"/>
      <c r="BF198" s="293"/>
      <c r="BG198" s="293"/>
      <c r="BH198" s="293"/>
      <c r="BI198" s="293"/>
      <c r="BJ198" s="293"/>
      <c r="BK198" s="293"/>
      <c r="BL198" s="293"/>
      <c r="BM198" s="293"/>
      <c r="BN198" s="293"/>
      <c r="BO198" s="293"/>
      <c r="BP198" s="293"/>
      <c r="BQ198" s="293"/>
      <c r="BR198" s="293"/>
      <c r="BS198" s="293"/>
      <c r="BT198" s="293"/>
      <c r="BU198" s="293"/>
      <c r="BV198" s="293"/>
      <c r="BW198" s="293"/>
      <c r="BX198" s="293"/>
      <c r="BY198" s="293"/>
      <c r="BZ198" s="293"/>
      <c r="CA198" s="293"/>
      <c r="CB198" s="293"/>
      <c r="CC198" s="293"/>
      <c r="CD198" s="293"/>
      <c r="CE198" s="293"/>
      <c r="CF198" s="293"/>
      <c r="CG198" s="293"/>
      <c r="CH198" s="293"/>
      <c r="CI198" s="293"/>
      <c r="CJ198" s="293"/>
      <c r="CK198" s="293"/>
      <c r="CL198" s="293"/>
      <c r="CM198" s="293"/>
      <c r="CN198" s="293"/>
      <c r="CO198" s="293"/>
      <c r="CP198" s="293"/>
      <c r="CQ198" s="293"/>
      <c r="CR198" s="293"/>
      <c r="CS198" s="293"/>
      <c r="CT198" s="293"/>
      <c r="CU198" s="293"/>
      <c r="CV198" s="293"/>
      <c r="CW198" s="293"/>
      <c r="CX198" s="293"/>
      <c r="CY198" s="293"/>
      <c r="CZ198" s="293"/>
      <c r="DA198" s="293"/>
      <c r="DB198" s="293"/>
      <c r="DC198" s="293"/>
      <c r="DD198" s="293"/>
      <c r="DE198" s="293"/>
      <c r="DF198" s="293"/>
    </row>
    <row r="199" ht="14.25" customHeight="1">
      <c r="A199" s="293"/>
      <c r="B199" s="293"/>
      <c r="C199" s="293"/>
      <c r="D199" s="293"/>
      <c r="E199" s="293"/>
      <c r="F199" s="293"/>
      <c r="G199" s="293"/>
      <c r="H199" s="293"/>
      <c r="I199" s="293"/>
      <c r="J199" s="293"/>
      <c r="K199" s="293"/>
      <c r="L199" s="293"/>
      <c r="M199" s="293"/>
      <c r="N199" s="293"/>
      <c r="O199" s="293"/>
      <c r="P199" s="293"/>
      <c r="Q199" s="293"/>
      <c r="R199" s="293"/>
      <c r="S199" s="293"/>
      <c r="T199" s="293"/>
      <c r="U199" s="293"/>
      <c r="V199" s="293"/>
      <c r="W199" s="293"/>
      <c r="X199" s="293"/>
      <c r="Y199" s="293"/>
      <c r="Z199" s="293"/>
      <c r="AA199" s="293"/>
      <c r="AB199" s="293"/>
      <c r="AC199" s="293"/>
      <c r="AD199" s="293"/>
      <c r="AE199" s="293"/>
      <c r="AF199" s="293"/>
      <c r="AG199" s="293"/>
      <c r="AH199" s="293"/>
      <c r="AI199" s="293"/>
      <c r="AJ199" s="293"/>
      <c r="AK199" s="293"/>
      <c r="AL199" s="293"/>
      <c r="AM199" s="293"/>
      <c r="AN199" s="293"/>
      <c r="AO199" s="293"/>
      <c r="AP199" s="293"/>
      <c r="AQ199" s="293"/>
      <c r="AR199" s="293"/>
      <c r="AS199" s="293"/>
      <c r="AT199" s="293"/>
      <c r="AU199" s="293"/>
      <c r="AV199" s="293"/>
      <c r="AW199" s="293"/>
      <c r="AX199" s="293"/>
      <c r="AY199" s="293"/>
      <c r="AZ199" s="293"/>
      <c r="BA199" s="293"/>
      <c r="BB199" s="293"/>
      <c r="BC199" s="293"/>
      <c r="BD199" s="293"/>
      <c r="BE199" s="293"/>
      <c r="BF199" s="293"/>
      <c r="BG199" s="293"/>
      <c r="BH199" s="293"/>
      <c r="BI199" s="293"/>
      <c r="BJ199" s="293"/>
      <c r="BK199" s="293"/>
      <c r="BL199" s="293"/>
      <c r="BM199" s="293"/>
      <c r="BN199" s="293"/>
      <c r="BO199" s="293"/>
      <c r="BP199" s="293"/>
      <c r="BQ199" s="293"/>
      <c r="BR199" s="293"/>
      <c r="BS199" s="293"/>
      <c r="BT199" s="293"/>
      <c r="BU199" s="293"/>
      <c r="BV199" s="293"/>
      <c r="BW199" s="293"/>
      <c r="BX199" s="293"/>
      <c r="BY199" s="293"/>
      <c r="BZ199" s="293"/>
      <c r="CA199" s="293"/>
      <c r="CB199" s="293"/>
      <c r="CC199" s="293"/>
      <c r="CD199" s="293"/>
      <c r="CE199" s="293"/>
      <c r="CF199" s="293"/>
      <c r="CG199" s="293"/>
      <c r="CH199" s="293"/>
      <c r="CI199" s="293"/>
      <c r="CJ199" s="293"/>
      <c r="CK199" s="293"/>
      <c r="CL199" s="293"/>
      <c r="CM199" s="293"/>
      <c r="CN199" s="293"/>
      <c r="CO199" s="293"/>
      <c r="CP199" s="293"/>
      <c r="CQ199" s="293"/>
      <c r="CR199" s="293"/>
      <c r="CS199" s="293"/>
      <c r="CT199" s="293"/>
      <c r="CU199" s="293"/>
      <c r="CV199" s="293"/>
      <c r="CW199" s="293"/>
      <c r="CX199" s="293"/>
      <c r="CY199" s="293"/>
      <c r="CZ199" s="293"/>
      <c r="DA199" s="293"/>
      <c r="DB199" s="293"/>
      <c r="DC199" s="293"/>
      <c r="DD199" s="293"/>
      <c r="DE199" s="293"/>
      <c r="DF199" s="293"/>
    </row>
    <row r="200" ht="14.25" customHeight="1">
      <c r="A200" s="293"/>
      <c r="B200" s="293"/>
      <c r="C200" s="293"/>
      <c r="D200" s="293"/>
      <c r="E200" s="293"/>
      <c r="F200" s="293"/>
      <c r="G200" s="293"/>
      <c r="H200" s="293"/>
      <c r="I200" s="293"/>
      <c r="J200" s="293"/>
      <c r="K200" s="293"/>
      <c r="L200" s="293"/>
      <c r="M200" s="293"/>
      <c r="N200" s="293"/>
      <c r="O200" s="293"/>
      <c r="P200" s="293"/>
      <c r="Q200" s="293"/>
      <c r="R200" s="293"/>
      <c r="S200" s="293"/>
      <c r="T200" s="293"/>
      <c r="U200" s="293"/>
      <c r="V200" s="293"/>
      <c r="W200" s="293"/>
      <c r="X200" s="293"/>
      <c r="Y200" s="293"/>
      <c r="Z200" s="293"/>
      <c r="AA200" s="293"/>
      <c r="AB200" s="293"/>
      <c r="AC200" s="293"/>
      <c r="AD200" s="293"/>
      <c r="AE200" s="293"/>
      <c r="AF200" s="293"/>
      <c r="AG200" s="293"/>
      <c r="AH200" s="293"/>
      <c r="AI200" s="293"/>
      <c r="AJ200" s="293"/>
      <c r="AK200" s="293"/>
      <c r="AL200" s="293"/>
      <c r="AM200" s="293"/>
      <c r="AN200" s="293"/>
      <c r="AO200" s="293"/>
      <c r="AP200" s="293"/>
      <c r="AQ200" s="293"/>
      <c r="AR200" s="293"/>
      <c r="AS200" s="293"/>
      <c r="AT200" s="293"/>
      <c r="AU200" s="293"/>
      <c r="AV200" s="293"/>
      <c r="AW200" s="293"/>
      <c r="AX200" s="293"/>
      <c r="AY200" s="293"/>
      <c r="AZ200" s="293"/>
      <c r="BA200" s="293"/>
      <c r="BB200" s="293"/>
      <c r="BC200" s="293"/>
      <c r="BD200" s="293"/>
      <c r="BE200" s="293"/>
      <c r="BF200" s="293"/>
      <c r="BG200" s="293"/>
      <c r="BH200" s="293"/>
      <c r="BI200" s="293"/>
      <c r="BJ200" s="293"/>
      <c r="BK200" s="293"/>
      <c r="BL200" s="293"/>
      <c r="BM200" s="293"/>
      <c r="BN200" s="293"/>
      <c r="BO200" s="293"/>
      <c r="BP200" s="293"/>
      <c r="BQ200" s="293"/>
      <c r="BR200" s="293"/>
      <c r="BS200" s="293"/>
      <c r="BT200" s="293"/>
      <c r="BU200" s="293"/>
      <c r="BV200" s="293"/>
      <c r="BW200" s="293"/>
      <c r="BX200" s="293"/>
      <c r="BY200" s="293"/>
      <c r="BZ200" s="293"/>
      <c r="CA200" s="293"/>
      <c r="CB200" s="293"/>
      <c r="CC200" s="293"/>
      <c r="CD200" s="293"/>
      <c r="CE200" s="293"/>
      <c r="CF200" s="293"/>
      <c r="CG200" s="293"/>
      <c r="CH200" s="293"/>
      <c r="CI200" s="293"/>
      <c r="CJ200" s="293"/>
      <c r="CK200" s="293"/>
      <c r="CL200" s="293"/>
      <c r="CM200" s="293"/>
      <c r="CN200" s="293"/>
      <c r="CO200" s="293"/>
      <c r="CP200" s="293"/>
      <c r="CQ200" s="293"/>
      <c r="CR200" s="293"/>
      <c r="CS200" s="293"/>
      <c r="CT200" s="293"/>
      <c r="CU200" s="293"/>
      <c r="CV200" s="293"/>
      <c r="CW200" s="293"/>
      <c r="CX200" s="293"/>
      <c r="CY200" s="293"/>
      <c r="CZ200" s="293"/>
      <c r="DA200" s="293"/>
      <c r="DB200" s="293"/>
      <c r="DC200" s="293"/>
      <c r="DD200" s="293"/>
      <c r="DE200" s="293"/>
      <c r="DF200" s="293"/>
    </row>
    <row r="201" ht="14.25" customHeight="1">
      <c r="A201" s="293"/>
      <c r="B201" s="293"/>
      <c r="C201" s="293"/>
      <c r="D201" s="293"/>
      <c r="E201" s="293"/>
      <c r="F201" s="293"/>
      <c r="G201" s="293"/>
      <c r="H201" s="293"/>
      <c r="I201" s="293"/>
      <c r="J201" s="293"/>
      <c r="K201" s="293"/>
      <c r="L201" s="293"/>
      <c r="M201" s="293"/>
      <c r="N201" s="293"/>
      <c r="O201" s="293"/>
      <c r="P201" s="293"/>
      <c r="Q201" s="293"/>
      <c r="R201" s="293"/>
      <c r="S201" s="293"/>
      <c r="T201" s="293"/>
      <c r="U201" s="293"/>
      <c r="V201" s="293"/>
      <c r="W201" s="293"/>
      <c r="X201" s="293"/>
      <c r="Y201" s="293"/>
      <c r="Z201" s="293"/>
      <c r="AA201" s="293"/>
      <c r="AB201" s="293"/>
      <c r="AC201" s="293"/>
      <c r="AD201" s="293"/>
      <c r="AE201" s="293"/>
      <c r="AF201" s="293"/>
      <c r="AG201" s="293"/>
      <c r="AH201" s="293"/>
      <c r="AI201" s="293"/>
      <c r="AJ201" s="293"/>
      <c r="AK201" s="293"/>
      <c r="AL201" s="293"/>
      <c r="AM201" s="293"/>
      <c r="AN201" s="293"/>
      <c r="AO201" s="293"/>
      <c r="AP201" s="293"/>
      <c r="AQ201" s="293"/>
      <c r="AR201" s="293"/>
      <c r="AS201" s="293"/>
      <c r="AT201" s="293"/>
      <c r="AU201" s="293"/>
      <c r="AV201" s="293"/>
      <c r="AW201" s="293"/>
      <c r="AX201" s="293"/>
      <c r="AY201" s="293"/>
      <c r="AZ201" s="293"/>
      <c r="BA201" s="293"/>
      <c r="BB201" s="293"/>
      <c r="BC201" s="293"/>
      <c r="BD201" s="293"/>
      <c r="BE201" s="293"/>
      <c r="BF201" s="293"/>
      <c r="BG201" s="293"/>
      <c r="BH201" s="293"/>
      <c r="BI201" s="293"/>
      <c r="BJ201" s="293"/>
      <c r="BK201" s="293"/>
      <c r="BL201" s="293"/>
      <c r="BM201" s="293"/>
      <c r="BN201" s="293"/>
      <c r="BO201" s="293"/>
      <c r="BP201" s="293"/>
      <c r="BQ201" s="293"/>
      <c r="BR201" s="293"/>
      <c r="BS201" s="293"/>
      <c r="BT201" s="293"/>
      <c r="BU201" s="293"/>
      <c r="BV201" s="293"/>
      <c r="BW201" s="293"/>
      <c r="BX201" s="293"/>
      <c r="BY201" s="293"/>
      <c r="BZ201" s="293"/>
      <c r="CA201" s="293"/>
      <c r="CB201" s="293"/>
      <c r="CC201" s="293"/>
      <c r="CD201" s="293"/>
      <c r="CE201" s="293"/>
      <c r="CF201" s="293"/>
      <c r="CG201" s="293"/>
      <c r="CH201" s="293"/>
      <c r="CI201" s="293"/>
      <c r="CJ201" s="293"/>
      <c r="CK201" s="293"/>
      <c r="CL201" s="293"/>
      <c r="CM201" s="293"/>
      <c r="CN201" s="293"/>
      <c r="CO201" s="293"/>
      <c r="CP201" s="293"/>
      <c r="CQ201" s="293"/>
      <c r="CR201" s="293"/>
      <c r="CS201" s="293"/>
      <c r="CT201" s="293"/>
      <c r="CU201" s="293"/>
      <c r="CV201" s="293"/>
      <c r="CW201" s="293"/>
      <c r="CX201" s="293"/>
      <c r="CY201" s="293"/>
      <c r="CZ201" s="293"/>
      <c r="DA201" s="293"/>
      <c r="DB201" s="293"/>
      <c r="DC201" s="293"/>
      <c r="DD201" s="293"/>
      <c r="DE201" s="293"/>
      <c r="DF201" s="293"/>
    </row>
    <row r="202" ht="14.25" customHeight="1">
      <c r="A202" s="293"/>
      <c r="B202" s="293"/>
      <c r="C202" s="293"/>
      <c r="D202" s="293"/>
      <c r="E202" s="293"/>
      <c r="F202" s="293"/>
      <c r="G202" s="293"/>
      <c r="H202" s="293"/>
      <c r="I202" s="293"/>
      <c r="J202" s="293"/>
      <c r="K202" s="293"/>
      <c r="L202" s="293"/>
      <c r="M202" s="293"/>
      <c r="N202" s="293"/>
      <c r="O202" s="293"/>
      <c r="P202" s="293"/>
      <c r="Q202" s="293"/>
      <c r="R202" s="293"/>
      <c r="S202" s="293"/>
      <c r="T202" s="293"/>
      <c r="U202" s="293"/>
      <c r="V202" s="293"/>
      <c r="W202" s="293"/>
      <c r="X202" s="293"/>
      <c r="Y202" s="293"/>
      <c r="Z202" s="293"/>
      <c r="AA202" s="293"/>
      <c r="AB202" s="293"/>
      <c r="AC202" s="293"/>
      <c r="AD202" s="293"/>
      <c r="AE202" s="293"/>
      <c r="AF202" s="293"/>
      <c r="AG202" s="293"/>
      <c r="AH202" s="293"/>
      <c r="AI202" s="293"/>
      <c r="AJ202" s="293"/>
      <c r="AK202" s="293"/>
      <c r="AL202" s="293"/>
      <c r="AM202" s="293"/>
      <c r="AN202" s="293"/>
      <c r="AO202" s="293"/>
      <c r="AP202" s="293"/>
      <c r="AQ202" s="293"/>
      <c r="AR202" s="293"/>
      <c r="AS202" s="293"/>
      <c r="AT202" s="293"/>
      <c r="AU202" s="293"/>
      <c r="AV202" s="293"/>
      <c r="AW202" s="293"/>
      <c r="AX202" s="293"/>
      <c r="AY202" s="293"/>
      <c r="AZ202" s="293"/>
      <c r="BA202" s="293"/>
      <c r="BB202" s="293"/>
      <c r="BC202" s="293"/>
      <c r="BD202" s="293"/>
      <c r="BE202" s="293"/>
      <c r="BF202" s="293"/>
      <c r="BG202" s="293"/>
      <c r="BH202" s="293"/>
      <c r="BI202" s="293"/>
      <c r="BJ202" s="293"/>
      <c r="BK202" s="293"/>
      <c r="BL202" s="293"/>
      <c r="BM202" s="293"/>
      <c r="BN202" s="293"/>
      <c r="BO202" s="293"/>
      <c r="BP202" s="293"/>
      <c r="BQ202" s="293"/>
      <c r="BR202" s="293"/>
      <c r="BS202" s="293"/>
      <c r="BT202" s="293"/>
      <c r="BU202" s="293"/>
      <c r="BV202" s="293"/>
      <c r="BW202" s="293"/>
      <c r="BX202" s="293"/>
      <c r="BY202" s="293"/>
      <c r="BZ202" s="293"/>
      <c r="CA202" s="293"/>
      <c r="CB202" s="293"/>
      <c r="CC202" s="293"/>
      <c r="CD202" s="293"/>
      <c r="CE202" s="293"/>
      <c r="CF202" s="293"/>
      <c r="CG202" s="293"/>
      <c r="CH202" s="293"/>
      <c r="CI202" s="293"/>
      <c r="CJ202" s="293"/>
      <c r="CK202" s="293"/>
      <c r="CL202" s="293"/>
      <c r="CM202" s="293"/>
      <c r="CN202" s="293"/>
      <c r="CO202" s="293"/>
      <c r="CP202" s="293"/>
      <c r="CQ202" s="293"/>
      <c r="CR202" s="293"/>
      <c r="CS202" s="293"/>
      <c r="CT202" s="293"/>
      <c r="CU202" s="293"/>
      <c r="CV202" s="293"/>
      <c r="CW202" s="293"/>
      <c r="CX202" s="293"/>
      <c r="CY202" s="293"/>
      <c r="CZ202" s="293"/>
      <c r="DA202" s="293"/>
      <c r="DB202" s="293"/>
      <c r="DC202" s="293"/>
      <c r="DD202" s="293"/>
      <c r="DE202" s="293"/>
      <c r="DF202" s="293"/>
    </row>
    <row r="203" ht="14.25" customHeight="1">
      <c r="A203" s="293"/>
      <c r="B203" s="293"/>
      <c r="C203" s="293"/>
      <c r="D203" s="293"/>
      <c r="E203" s="293"/>
      <c r="F203" s="293"/>
      <c r="G203" s="293"/>
      <c r="H203" s="293"/>
      <c r="I203" s="293"/>
      <c r="J203" s="293"/>
      <c r="K203" s="293"/>
      <c r="L203" s="293"/>
      <c r="M203" s="293"/>
      <c r="N203" s="293"/>
      <c r="O203" s="293"/>
      <c r="P203" s="293"/>
      <c r="Q203" s="293"/>
      <c r="R203" s="293"/>
      <c r="S203" s="293"/>
      <c r="T203" s="293"/>
      <c r="U203" s="293"/>
      <c r="V203" s="293"/>
      <c r="W203" s="293"/>
      <c r="X203" s="293"/>
      <c r="Y203" s="293"/>
      <c r="Z203" s="293"/>
      <c r="AA203" s="293"/>
      <c r="AB203" s="293"/>
      <c r="AC203" s="293"/>
      <c r="AD203" s="293"/>
      <c r="AE203" s="293"/>
      <c r="AF203" s="293"/>
      <c r="AG203" s="293"/>
      <c r="AH203" s="293"/>
      <c r="AI203" s="293"/>
      <c r="AJ203" s="293"/>
      <c r="AK203" s="293"/>
      <c r="AL203" s="293"/>
      <c r="AM203" s="293"/>
      <c r="AN203" s="293"/>
      <c r="AO203" s="293"/>
      <c r="AP203" s="293"/>
      <c r="AQ203" s="293"/>
      <c r="AR203" s="293"/>
      <c r="AS203" s="293"/>
      <c r="AT203" s="293"/>
      <c r="AU203" s="293"/>
      <c r="AV203" s="293"/>
      <c r="AW203" s="293"/>
      <c r="AX203" s="293"/>
      <c r="AY203" s="293"/>
      <c r="AZ203" s="293"/>
      <c r="BA203" s="293"/>
      <c r="BB203" s="293"/>
      <c r="BC203" s="293"/>
      <c r="BD203" s="293"/>
      <c r="BE203" s="293"/>
      <c r="BF203" s="293"/>
      <c r="BG203" s="293"/>
      <c r="BH203" s="293"/>
      <c r="BI203" s="293"/>
      <c r="BJ203" s="293"/>
      <c r="BK203" s="293"/>
      <c r="BL203" s="293"/>
      <c r="BM203" s="293"/>
      <c r="BN203" s="293"/>
      <c r="BO203" s="293"/>
      <c r="BP203" s="293"/>
      <c r="BQ203" s="293"/>
      <c r="BR203" s="293"/>
      <c r="BS203" s="293"/>
      <c r="BT203" s="293"/>
      <c r="BU203" s="293"/>
      <c r="BV203" s="293"/>
      <c r="BW203" s="293"/>
      <c r="BX203" s="293"/>
      <c r="BY203" s="293"/>
      <c r="BZ203" s="293"/>
      <c r="CA203" s="293"/>
      <c r="CB203" s="293"/>
      <c r="CC203" s="293"/>
      <c r="CD203" s="293"/>
      <c r="CE203" s="293"/>
      <c r="CF203" s="293"/>
      <c r="CG203" s="293"/>
      <c r="CH203" s="293"/>
      <c r="CI203" s="293"/>
      <c r="CJ203" s="293"/>
      <c r="CK203" s="293"/>
      <c r="CL203" s="293"/>
      <c r="CM203" s="293"/>
      <c r="CN203" s="293"/>
      <c r="CO203" s="293"/>
      <c r="CP203" s="293"/>
      <c r="CQ203" s="293"/>
      <c r="CR203" s="293"/>
      <c r="CS203" s="293"/>
      <c r="CT203" s="293"/>
      <c r="CU203" s="293"/>
      <c r="CV203" s="293"/>
      <c r="CW203" s="293"/>
      <c r="CX203" s="293"/>
      <c r="CY203" s="293"/>
      <c r="CZ203" s="293"/>
      <c r="DA203" s="293"/>
      <c r="DB203" s="293"/>
      <c r="DC203" s="293"/>
      <c r="DD203" s="293"/>
      <c r="DE203" s="293"/>
      <c r="DF203" s="293"/>
    </row>
    <row r="204" ht="14.25" customHeight="1">
      <c r="A204" s="293"/>
      <c r="B204" s="293"/>
      <c r="C204" s="293"/>
      <c r="D204" s="293"/>
      <c r="E204" s="293"/>
      <c r="F204" s="293"/>
      <c r="G204" s="293"/>
      <c r="H204" s="293"/>
      <c r="I204" s="293"/>
      <c r="J204" s="293"/>
      <c r="K204" s="293"/>
      <c r="L204" s="293"/>
      <c r="M204" s="293"/>
      <c r="N204" s="293"/>
      <c r="O204" s="293"/>
      <c r="P204" s="293"/>
      <c r="Q204" s="293"/>
      <c r="R204" s="293"/>
      <c r="S204" s="293"/>
      <c r="T204" s="293"/>
      <c r="U204" s="293"/>
      <c r="V204" s="293"/>
      <c r="W204" s="293"/>
      <c r="X204" s="293"/>
      <c r="Y204" s="293"/>
      <c r="Z204" s="293"/>
      <c r="AA204" s="293"/>
      <c r="AB204" s="293"/>
      <c r="AC204" s="293"/>
      <c r="AD204" s="293"/>
      <c r="AE204" s="293"/>
      <c r="AF204" s="293"/>
      <c r="AG204" s="293"/>
      <c r="AH204" s="293"/>
      <c r="AI204" s="293"/>
      <c r="AJ204" s="293"/>
      <c r="AK204" s="293"/>
      <c r="AL204" s="293"/>
      <c r="AM204" s="293"/>
      <c r="AN204" s="293"/>
      <c r="AO204" s="293"/>
      <c r="AP204" s="293"/>
      <c r="AQ204" s="293"/>
      <c r="AR204" s="293"/>
      <c r="AS204" s="293"/>
      <c r="AT204" s="293"/>
      <c r="AU204" s="293"/>
      <c r="AV204" s="293"/>
      <c r="AW204" s="293"/>
      <c r="AX204" s="293"/>
      <c r="AY204" s="293"/>
      <c r="AZ204" s="293"/>
      <c r="BA204" s="293"/>
      <c r="BB204" s="293"/>
      <c r="BC204" s="293"/>
      <c r="BD204" s="293"/>
      <c r="BE204" s="293"/>
      <c r="BF204" s="293"/>
      <c r="BG204" s="293"/>
      <c r="BH204" s="293"/>
      <c r="BI204" s="293"/>
      <c r="BJ204" s="293"/>
      <c r="BK204" s="293"/>
      <c r="BL204" s="293"/>
      <c r="BM204" s="293"/>
      <c r="BN204" s="293"/>
      <c r="BO204" s="293"/>
      <c r="BP204" s="293"/>
      <c r="BQ204" s="293"/>
      <c r="BR204" s="293"/>
      <c r="BS204" s="293"/>
      <c r="BT204" s="293"/>
      <c r="BU204" s="293"/>
      <c r="BV204" s="293"/>
      <c r="BW204" s="293"/>
      <c r="BX204" s="293"/>
      <c r="BY204" s="293"/>
      <c r="BZ204" s="293"/>
      <c r="CA204" s="293"/>
      <c r="CB204" s="293"/>
      <c r="CC204" s="293"/>
      <c r="CD204" s="293"/>
      <c r="CE204" s="293"/>
      <c r="CF204" s="293"/>
      <c r="CG204" s="293"/>
      <c r="CH204" s="293"/>
      <c r="CI204" s="293"/>
      <c r="CJ204" s="293"/>
      <c r="CK204" s="293"/>
      <c r="CL204" s="293"/>
      <c r="CM204" s="293"/>
      <c r="CN204" s="293"/>
      <c r="CO204" s="293"/>
      <c r="CP204" s="293"/>
      <c r="CQ204" s="293"/>
      <c r="CR204" s="293"/>
      <c r="CS204" s="293"/>
      <c r="CT204" s="293"/>
      <c r="CU204" s="293"/>
      <c r="CV204" s="293"/>
      <c r="CW204" s="293"/>
      <c r="CX204" s="293"/>
      <c r="CY204" s="293"/>
      <c r="CZ204" s="293"/>
      <c r="DA204" s="293"/>
      <c r="DB204" s="293"/>
      <c r="DC204" s="293"/>
      <c r="DD204" s="293"/>
      <c r="DE204" s="293"/>
      <c r="DF204" s="293"/>
    </row>
    <row r="205" ht="14.25" customHeight="1">
      <c r="A205" s="293"/>
      <c r="B205" s="293"/>
      <c r="C205" s="293"/>
      <c r="D205" s="293"/>
      <c r="E205" s="293"/>
      <c r="F205" s="293"/>
      <c r="G205" s="293"/>
      <c r="H205" s="293"/>
      <c r="I205" s="293"/>
      <c r="J205" s="293"/>
      <c r="K205" s="293"/>
      <c r="L205" s="293"/>
      <c r="M205" s="293"/>
      <c r="N205" s="293"/>
      <c r="O205" s="293"/>
      <c r="P205" s="293"/>
      <c r="Q205" s="293"/>
      <c r="R205" s="293"/>
      <c r="S205" s="293"/>
      <c r="T205" s="293"/>
      <c r="U205" s="293"/>
      <c r="V205" s="293"/>
      <c r="W205" s="293"/>
      <c r="X205" s="293"/>
      <c r="Y205" s="293"/>
      <c r="Z205" s="293"/>
      <c r="AA205" s="293"/>
      <c r="AB205" s="293"/>
      <c r="AC205" s="293"/>
      <c r="AD205" s="293"/>
      <c r="AE205" s="293"/>
      <c r="AF205" s="293"/>
      <c r="AG205" s="293"/>
      <c r="AH205" s="293"/>
      <c r="AI205" s="293"/>
      <c r="AJ205" s="293"/>
      <c r="AK205" s="293"/>
      <c r="AL205" s="293"/>
      <c r="AM205" s="293"/>
      <c r="AN205" s="293"/>
      <c r="AO205" s="293"/>
      <c r="AP205" s="293"/>
      <c r="AQ205" s="293"/>
      <c r="AR205" s="293"/>
      <c r="AS205" s="293"/>
      <c r="AT205" s="293"/>
      <c r="AU205" s="293"/>
      <c r="AV205" s="293"/>
      <c r="AW205" s="293"/>
      <c r="AX205" s="293"/>
      <c r="AY205" s="293"/>
      <c r="AZ205" s="293"/>
      <c r="BA205" s="293"/>
      <c r="BB205" s="293"/>
      <c r="BC205" s="293"/>
      <c r="BD205" s="293"/>
      <c r="BE205" s="293"/>
      <c r="BF205" s="293"/>
      <c r="BG205" s="293"/>
      <c r="BH205" s="293"/>
      <c r="BI205" s="293"/>
      <c r="BJ205" s="293"/>
      <c r="BK205" s="293"/>
      <c r="BL205" s="293"/>
      <c r="BM205" s="293"/>
      <c r="BN205" s="293"/>
      <c r="BO205" s="293"/>
      <c r="BP205" s="293"/>
      <c r="BQ205" s="293"/>
      <c r="BR205" s="293"/>
      <c r="BS205" s="293"/>
      <c r="BT205" s="293"/>
      <c r="BU205" s="293"/>
      <c r="BV205" s="293"/>
      <c r="BW205" s="293"/>
      <c r="BX205" s="293"/>
      <c r="BY205" s="293"/>
      <c r="BZ205" s="293"/>
      <c r="CA205" s="293"/>
      <c r="CB205" s="293"/>
      <c r="CC205" s="293"/>
      <c r="CD205" s="293"/>
      <c r="CE205" s="293"/>
      <c r="CF205" s="293"/>
      <c r="CG205" s="293"/>
      <c r="CH205" s="293"/>
      <c r="CI205" s="293"/>
      <c r="CJ205" s="293"/>
      <c r="CK205" s="293"/>
      <c r="CL205" s="293"/>
      <c r="CM205" s="293"/>
      <c r="CN205" s="293"/>
      <c r="CO205" s="293"/>
      <c r="CP205" s="293"/>
      <c r="CQ205" s="293"/>
      <c r="CR205" s="293"/>
      <c r="CS205" s="293"/>
      <c r="CT205" s="293"/>
      <c r="CU205" s="293"/>
      <c r="CV205" s="293"/>
      <c r="CW205" s="293"/>
      <c r="CX205" s="293"/>
      <c r="CY205" s="293"/>
      <c r="CZ205" s="293"/>
      <c r="DA205" s="293"/>
      <c r="DB205" s="293"/>
      <c r="DC205" s="293"/>
      <c r="DD205" s="293"/>
      <c r="DE205" s="293"/>
      <c r="DF205" s="293"/>
    </row>
    <row r="206" ht="14.25" customHeight="1">
      <c r="A206" s="293"/>
      <c r="B206" s="293"/>
      <c r="C206" s="293"/>
      <c r="D206" s="293"/>
      <c r="E206" s="293"/>
      <c r="F206" s="293"/>
      <c r="G206" s="293"/>
      <c r="H206" s="293"/>
      <c r="I206" s="293"/>
      <c r="J206" s="293"/>
      <c r="K206" s="293"/>
      <c r="L206" s="293"/>
      <c r="M206" s="293"/>
      <c r="N206" s="293"/>
      <c r="O206" s="293"/>
      <c r="P206" s="293"/>
      <c r="Q206" s="293"/>
      <c r="R206" s="293"/>
      <c r="S206" s="293"/>
      <c r="T206" s="293"/>
      <c r="U206" s="293"/>
      <c r="V206" s="293"/>
      <c r="W206" s="293"/>
      <c r="X206" s="293"/>
      <c r="Y206" s="293"/>
      <c r="Z206" s="293"/>
      <c r="AA206" s="293"/>
      <c r="AB206" s="293"/>
      <c r="AC206" s="293"/>
      <c r="AD206" s="293"/>
      <c r="AE206" s="293"/>
      <c r="AF206" s="293"/>
      <c r="AG206" s="293"/>
      <c r="AH206" s="293"/>
      <c r="AI206" s="293"/>
      <c r="AJ206" s="293"/>
      <c r="AK206" s="293"/>
      <c r="AL206" s="293"/>
      <c r="AM206" s="293"/>
      <c r="AN206" s="293"/>
      <c r="AO206" s="293"/>
      <c r="AP206" s="293"/>
      <c r="AQ206" s="293"/>
      <c r="AR206" s="293"/>
      <c r="AS206" s="293"/>
      <c r="AT206" s="293"/>
      <c r="AU206" s="293"/>
      <c r="AV206" s="293"/>
      <c r="AW206" s="293"/>
      <c r="AX206" s="293"/>
      <c r="AY206" s="293"/>
      <c r="AZ206" s="293"/>
      <c r="BA206" s="293"/>
      <c r="BB206" s="293"/>
      <c r="BC206" s="293"/>
      <c r="BD206" s="293"/>
      <c r="BE206" s="293"/>
      <c r="BF206" s="293"/>
      <c r="BG206" s="293"/>
      <c r="BH206" s="293"/>
      <c r="BI206" s="293"/>
      <c r="BJ206" s="293"/>
      <c r="BK206" s="293"/>
      <c r="BL206" s="293"/>
      <c r="BM206" s="293"/>
      <c r="BN206" s="293"/>
      <c r="BO206" s="293"/>
      <c r="BP206" s="293"/>
      <c r="BQ206" s="293"/>
      <c r="BR206" s="293"/>
      <c r="BS206" s="293"/>
      <c r="BT206" s="293"/>
      <c r="BU206" s="293"/>
      <c r="BV206" s="293"/>
      <c r="BW206" s="293"/>
      <c r="BX206" s="293"/>
      <c r="BY206" s="293"/>
      <c r="BZ206" s="293"/>
      <c r="CA206" s="293"/>
      <c r="CB206" s="293"/>
      <c r="CC206" s="293"/>
      <c r="CD206" s="293"/>
      <c r="CE206" s="293"/>
      <c r="CF206" s="293"/>
      <c r="CG206" s="293"/>
      <c r="CH206" s="293"/>
      <c r="CI206" s="293"/>
      <c r="CJ206" s="293"/>
      <c r="CK206" s="293"/>
      <c r="CL206" s="293"/>
      <c r="CM206" s="293"/>
      <c r="CN206" s="293"/>
      <c r="CO206" s="293"/>
      <c r="CP206" s="293"/>
      <c r="CQ206" s="293"/>
      <c r="CR206" s="293"/>
      <c r="CS206" s="293"/>
      <c r="CT206" s="293"/>
      <c r="CU206" s="293"/>
      <c r="CV206" s="293"/>
      <c r="CW206" s="293"/>
      <c r="CX206" s="293"/>
      <c r="CY206" s="293"/>
      <c r="CZ206" s="293"/>
      <c r="DA206" s="293"/>
      <c r="DB206" s="293"/>
      <c r="DC206" s="293"/>
      <c r="DD206" s="293"/>
      <c r="DE206" s="293"/>
      <c r="DF206" s="293"/>
    </row>
    <row r="207" ht="14.25" customHeight="1">
      <c r="A207" s="293"/>
      <c r="B207" s="293"/>
      <c r="C207" s="293"/>
      <c r="D207" s="293"/>
      <c r="E207" s="293"/>
      <c r="F207" s="293"/>
      <c r="G207" s="293"/>
      <c r="H207" s="293"/>
      <c r="I207" s="293"/>
      <c r="J207" s="293"/>
      <c r="K207" s="293"/>
      <c r="L207" s="293"/>
      <c r="M207" s="293"/>
      <c r="N207" s="293"/>
      <c r="O207" s="293"/>
      <c r="P207" s="293"/>
      <c r="Q207" s="293"/>
      <c r="R207" s="293"/>
      <c r="S207" s="293"/>
      <c r="T207" s="293"/>
      <c r="U207" s="293"/>
      <c r="V207" s="293"/>
      <c r="W207" s="293"/>
      <c r="X207" s="293"/>
      <c r="Y207" s="293"/>
      <c r="Z207" s="293"/>
      <c r="AA207" s="293"/>
      <c r="AB207" s="293"/>
      <c r="AC207" s="293"/>
      <c r="AD207" s="293"/>
      <c r="AE207" s="293"/>
      <c r="AF207" s="293"/>
      <c r="AG207" s="293"/>
      <c r="AH207" s="293"/>
      <c r="AI207" s="293"/>
      <c r="AJ207" s="293"/>
      <c r="AK207" s="293"/>
      <c r="AL207" s="293"/>
      <c r="AM207" s="293"/>
      <c r="AN207" s="293"/>
      <c r="AO207" s="293"/>
      <c r="AP207" s="293"/>
      <c r="AQ207" s="293"/>
      <c r="AR207" s="293"/>
      <c r="AS207" s="293"/>
      <c r="AT207" s="293"/>
      <c r="AU207" s="293"/>
      <c r="AV207" s="293"/>
      <c r="AW207" s="293"/>
      <c r="AX207" s="293"/>
      <c r="AY207" s="293"/>
      <c r="AZ207" s="293"/>
      <c r="BA207" s="293"/>
      <c r="BB207" s="293"/>
      <c r="BC207" s="293"/>
      <c r="BD207" s="293"/>
      <c r="BE207" s="293"/>
      <c r="BF207" s="293"/>
      <c r="BG207" s="293"/>
      <c r="BH207" s="293"/>
      <c r="BI207" s="293"/>
      <c r="BJ207" s="293"/>
      <c r="BK207" s="293"/>
      <c r="BL207" s="293"/>
      <c r="BM207" s="293"/>
      <c r="BN207" s="293"/>
      <c r="BO207" s="293"/>
      <c r="BP207" s="293"/>
      <c r="BQ207" s="293"/>
      <c r="BR207" s="293"/>
      <c r="BS207" s="293"/>
      <c r="BT207" s="293"/>
      <c r="BU207" s="293"/>
      <c r="BV207" s="293"/>
      <c r="BW207" s="293"/>
      <c r="BX207" s="293"/>
      <c r="BY207" s="293"/>
      <c r="BZ207" s="293"/>
      <c r="CA207" s="293"/>
      <c r="CB207" s="293"/>
      <c r="CC207" s="293"/>
      <c r="CD207" s="293"/>
      <c r="CE207" s="293"/>
      <c r="CF207" s="293"/>
      <c r="CG207" s="293"/>
      <c r="CH207" s="293"/>
      <c r="CI207" s="293"/>
      <c r="CJ207" s="293"/>
      <c r="CK207" s="293"/>
      <c r="CL207" s="293"/>
      <c r="CM207" s="293"/>
      <c r="CN207" s="293"/>
      <c r="CO207" s="293"/>
      <c r="CP207" s="293"/>
      <c r="CQ207" s="293"/>
      <c r="CR207" s="293"/>
      <c r="CS207" s="293"/>
      <c r="CT207" s="293"/>
      <c r="CU207" s="293"/>
      <c r="CV207" s="293"/>
      <c r="CW207" s="293"/>
      <c r="CX207" s="293"/>
      <c r="CY207" s="293"/>
      <c r="CZ207" s="293"/>
      <c r="DA207" s="293"/>
      <c r="DB207" s="293"/>
      <c r="DC207" s="293"/>
      <c r="DD207" s="293"/>
      <c r="DE207" s="293"/>
      <c r="DF207" s="293"/>
    </row>
    <row r="208" ht="14.25" customHeight="1">
      <c r="A208" s="293"/>
      <c r="B208" s="293"/>
      <c r="C208" s="293"/>
      <c r="D208" s="293"/>
      <c r="E208" s="293"/>
      <c r="F208" s="293"/>
      <c r="G208" s="293"/>
      <c r="H208" s="293"/>
      <c r="I208" s="293"/>
      <c r="J208" s="293"/>
      <c r="K208" s="293"/>
      <c r="L208" s="293"/>
      <c r="M208" s="293"/>
      <c r="N208" s="293"/>
      <c r="O208" s="293"/>
      <c r="P208" s="293"/>
      <c r="Q208" s="293"/>
      <c r="R208" s="293"/>
      <c r="S208" s="293"/>
      <c r="T208" s="293"/>
      <c r="U208" s="293"/>
      <c r="V208" s="293"/>
      <c r="W208" s="293"/>
      <c r="X208" s="293"/>
      <c r="Y208" s="293"/>
      <c r="Z208" s="293"/>
      <c r="AA208" s="293"/>
      <c r="AB208" s="293"/>
      <c r="AC208" s="293"/>
      <c r="AD208" s="293"/>
      <c r="AE208" s="293"/>
      <c r="AF208" s="293"/>
      <c r="AG208" s="293"/>
      <c r="AH208" s="293"/>
      <c r="AI208" s="293"/>
      <c r="AJ208" s="293"/>
      <c r="AK208" s="293"/>
      <c r="AL208" s="293"/>
      <c r="AM208" s="293"/>
      <c r="AN208" s="293"/>
      <c r="AO208" s="293"/>
      <c r="AP208" s="293"/>
      <c r="AQ208" s="293"/>
      <c r="AR208" s="293"/>
      <c r="AS208" s="293"/>
      <c r="AT208" s="293"/>
      <c r="AU208" s="293"/>
      <c r="AV208" s="293"/>
      <c r="AW208" s="293"/>
      <c r="AX208" s="293"/>
      <c r="AY208" s="293"/>
      <c r="AZ208" s="293"/>
      <c r="BA208" s="293"/>
      <c r="BB208" s="293"/>
      <c r="BC208" s="293"/>
      <c r="BD208" s="293"/>
      <c r="BE208" s="293"/>
      <c r="BF208" s="293"/>
      <c r="BG208" s="293"/>
      <c r="BH208" s="293"/>
      <c r="BI208" s="293"/>
      <c r="BJ208" s="293"/>
      <c r="BK208" s="293"/>
      <c r="BL208" s="293"/>
      <c r="BM208" s="293"/>
      <c r="BN208" s="293"/>
      <c r="BO208" s="293"/>
      <c r="BP208" s="293"/>
      <c r="BQ208" s="293"/>
      <c r="BR208" s="293"/>
      <c r="BS208" s="293"/>
      <c r="BT208" s="293"/>
      <c r="BU208" s="293"/>
      <c r="BV208" s="293"/>
      <c r="BW208" s="293"/>
      <c r="BX208" s="293"/>
      <c r="BY208" s="293"/>
      <c r="BZ208" s="293"/>
      <c r="CA208" s="293"/>
      <c r="CB208" s="293"/>
      <c r="CC208" s="293"/>
      <c r="CD208" s="293"/>
      <c r="CE208" s="293"/>
      <c r="CF208" s="293"/>
      <c r="CG208" s="293"/>
      <c r="CH208" s="293"/>
      <c r="CI208" s="293"/>
      <c r="CJ208" s="293"/>
      <c r="CK208" s="293"/>
      <c r="CL208" s="293"/>
      <c r="CM208" s="293"/>
      <c r="CN208" s="293"/>
      <c r="CO208" s="293"/>
      <c r="CP208" s="293"/>
      <c r="CQ208" s="293"/>
      <c r="CR208" s="293"/>
      <c r="CS208" s="293"/>
      <c r="CT208" s="293"/>
      <c r="CU208" s="293"/>
      <c r="CV208" s="293"/>
      <c r="CW208" s="293"/>
      <c r="CX208" s="293"/>
      <c r="CY208" s="293"/>
      <c r="CZ208" s="293"/>
      <c r="DA208" s="293"/>
      <c r="DB208" s="293"/>
      <c r="DC208" s="293"/>
      <c r="DD208" s="293"/>
      <c r="DE208" s="293"/>
      <c r="DF208" s="293"/>
    </row>
    <row r="209" ht="14.25" customHeight="1">
      <c r="A209" s="293"/>
      <c r="B209" s="293"/>
      <c r="C209" s="293"/>
      <c r="D209" s="293"/>
      <c r="E209" s="293"/>
      <c r="F209" s="293"/>
      <c r="G209" s="293"/>
      <c r="H209" s="293"/>
      <c r="I209" s="293"/>
      <c r="J209" s="293"/>
      <c r="K209" s="293"/>
      <c r="L209" s="293"/>
      <c r="M209" s="293"/>
      <c r="N209" s="293"/>
      <c r="O209" s="293"/>
      <c r="P209" s="293"/>
      <c r="Q209" s="293"/>
      <c r="R209" s="293"/>
      <c r="S209" s="293"/>
      <c r="T209" s="293"/>
      <c r="U209" s="293"/>
      <c r="V209" s="293"/>
      <c r="W209" s="293"/>
      <c r="X209" s="293"/>
      <c r="Y209" s="293"/>
      <c r="Z209" s="293"/>
      <c r="AA209" s="293"/>
      <c r="AB209" s="293"/>
      <c r="AC209" s="293"/>
      <c r="AD209" s="293"/>
      <c r="AE209" s="293"/>
      <c r="AF209" s="293"/>
      <c r="AG209" s="293"/>
      <c r="AH209" s="293"/>
      <c r="AI209" s="293"/>
      <c r="AJ209" s="293"/>
      <c r="AK209" s="293"/>
      <c r="AL209" s="293"/>
      <c r="AM209" s="293"/>
      <c r="AN209" s="293"/>
      <c r="AO209" s="293"/>
      <c r="AP209" s="293"/>
      <c r="AQ209" s="293"/>
      <c r="AR209" s="293"/>
      <c r="AS209" s="293"/>
      <c r="AT209" s="293"/>
      <c r="AU209" s="293"/>
      <c r="AV209" s="293"/>
      <c r="AW209" s="293"/>
      <c r="AX209" s="293"/>
      <c r="AY209" s="293"/>
      <c r="AZ209" s="293"/>
      <c r="BA209" s="293"/>
      <c r="BB209" s="293"/>
      <c r="BC209" s="293"/>
      <c r="BD209" s="293"/>
      <c r="BE209" s="293"/>
      <c r="BF209" s="293"/>
      <c r="BG209" s="293"/>
      <c r="BH209" s="293"/>
      <c r="BI209" s="293"/>
      <c r="BJ209" s="293"/>
      <c r="BK209" s="293"/>
      <c r="BL209" s="293"/>
      <c r="BM209" s="293"/>
      <c r="BN209" s="293"/>
      <c r="BO209" s="293"/>
      <c r="BP209" s="293"/>
      <c r="BQ209" s="293"/>
      <c r="BR209" s="293"/>
      <c r="BS209" s="293"/>
      <c r="BT209" s="293"/>
      <c r="BU209" s="293"/>
      <c r="BV209" s="293"/>
      <c r="BW209" s="293"/>
      <c r="BX209" s="293"/>
      <c r="BY209" s="293"/>
      <c r="BZ209" s="293"/>
      <c r="CA209" s="293"/>
      <c r="CB209" s="293"/>
      <c r="CC209" s="293"/>
      <c r="CD209" s="293"/>
      <c r="CE209" s="293"/>
      <c r="CF209" s="293"/>
      <c r="CG209" s="293"/>
      <c r="CH209" s="293"/>
      <c r="CI209" s="293"/>
      <c r="CJ209" s="293"/>
      <c r="CK209" s="293"/>
      <c r="CL209" s="293"/>
      <c r="CM209" s="293"/>
      <c r="CN209" s="293"/>
      <c r="CO209" s="293"/>
      <c r="CP209" s="293"/>
      <c r="CQ209" s="293"/>
      <c r="CR209" s="293"/>
      <c r="CS209" s="293"/>
      <c r="CT209" s="293"/>
      <c r="CU209" s="293"/>
      <c r="CV209" s="293"/>
      <c r="CW209" s="293"/>
      <c r="CX209" s="293"/>
      <c r="CY209" s="293"/>
      <c r="CZ209" s="293"/>
      <c r="DA209" s="293"/>
      <c r="DB209" s="293"/>
      <c r="DC209" s="293"/>
      <c r="DD209" s="293"/>
      <c r="DE209" s="293"/>
      <c r="DF209" s="293"/>
    </row>
    <row r="210" ht="14.25" customHeight="1">
      <c r="A210" s="293"/>
      <c r="B210" s="293"/>
      <c r="C210" s="293"/>
      <c r="D210" s="293"/>
      <c r="E210" s="293"/>
      <c r="F210" s="293"/>
      <c r="G210" s="293"/>
      <c r="H210" s="293"/>
      <c r="I210" s="293"/>
      <c r="J210" s="293"/>
      <c r="K210" s="293"/>
      <c r="L210" s="293"/>
      <c r="M210" s="293"/>
      <c r="N210" s="293"/>
      <c r="O210" s="293"/>
      <c r="P210" s="293"/>
      <c r="Q210" s="293"/>
      <c r="R210" s="293"/>
      <c r="S210" s="293"/>
      <c r="T210" s="293"/>
      <c r="U210" s="293"/>
      <c r="V210" s="293"/>
      <c r="W210" s="293"/>
      <c r="X210" s="293"/>
      <c r="Y210" s="293"/>
      <c r="Z210" s="293"/>
      <c r="AA210" s="293"/>
      <c r="AB210" s="293"/>
      <c r="AC210" s="293"/>
      <c r="AD210" s="293"/>
      <c r="AE210" s="293"/>
      <c r="AF210" s="293"/>
      <c r="AG210" s="293"/>
      <c r="AH210" s="293"/>
      <c r="AI210" s="293"/>
      <c r="AJ210" s="293"/>
      <c r="AK210" s="293"/>
      <c r="AL210" s="293"/>
      <c r="AM210" s="293"/>
      <c r="AN210" s="293"/>
      <c r="AO210" s="293"/>
      <c r="AP210" s="293"/>
      <c r="AQ210" s="293"/>
      <c r="AR210" s="293"/>
      <c r="AS210" s="293"/>
      <c r="AT210" s="293"/>
      <c r="AU210" s="293"/>
      <c r="AV210" s="293"/>
      <c r="AW210" s="293"/>
      <c r="AX210" s="293"/>
      <c r="AY210" s="293"/>
      <c r="AZ210" s="293"/>
      <c r="BA210" s="293"/>
      <c r="BB210" s="293"/>
      <c r="BC210" s="293"/>
      <c r="BD210" s="293"/>
      <c r="BE210" s="293"/>
      <c r="BF210" s="293"/>
      <c r="BG210" s="293"/>
      <c r="BH210" s="293"/>
      <c r="BI210" s="293"/>
      <c r="BJ210" s="293"/>
      <c r="BK210" s="293"/>
      <c r="BL210" s="293"/>
      <c r="BM210" s="293"/>
      <c r="BN210" s="293"/>
      <c r="BO210" s="293"/>
      <c r="BP210" s="293"/>
      <c r="BQ210" s="293"/>
      <c r="BR210" s="293"/>
      <c r="BS210" s="293"/>
      <c r="BT210" s="293"/>
      <c r="BU210" s="293"/>
      <c r="BV210" s="293"/>
      <c r="BW210" s="293"/>
      <c r="BX210" s="293"/>
      <c r="BY210" s="293"/>
      <c r="BZ210" s="293"/>
      <c r="CA210" s="293"/>
      <c r="CB210" s="293"/>
      <c r="CC210" s="293"/>
      <c r="CD210" s="293"/>
      <c r="CE210" s="293"/>
      <c r="CF210" s="293"/>
      <c r="CG210" s="293"/>
      <c r="CH210" s="293"/>
      <c r="CI210" s="293"/>
      <c r="CJ210" s="293"/>
      <c r="CK210" s="293"/>
      <c r="CL210" s="293"/>
      <c r="CM210" s="293"/>
      <c r="CN210" s="293"/>
      <c r="CO210" s="293"/>
      <c r="CP210" s="293"/>
      <c r="CQ210" s="293"/>
      <c r="CR210" s="293"/>
      <c r="CS210" s="293"/>
      <c r="CT210" s="293"/>
      <c r="CU210" s="293"/>
      <c r="CV210" s="293"/>
      <c r="CW210" s="293"/>
      <c r="CX210" s="293"/>
      <c r="CY210" s="293"/>
      <c r="CZ210" s="293"/>
      <c r="DA210" s="293"/>
      <c r="DB210" s="293"/>
      <c r="DC210" s="293"/>
      <c r="DD210" s="293"/>
      <c r="DE210" s="293"/>
      <c r="DF210" s="293"/>
    </row>
    <row r="211" ht="14.25" customHeight="1">
      <c r="A211" s="293"/>
      <c r="B211" s="293"/>
      <c r="C211" s="293"/>
      <c r="D211" s="293"/>
      <c r="E211" s="293"/>
      <c r="F211" s="293"/>
      <c r="G211" s="293"/>
      <c r="H211" s="293"/>
      <c r="I211" s="293"/>
      <c r="J211" s="293"/>
      <c r="K211" s="293"/>
      <c r="L211" s="293"/>
      <c r="M211" s="293"/>
      <c r="N211" s="293"/>
      <c r="O211" s="293"/>
      <c r="P211" s="293"/>
      <c r="Q211" s="293"/>
      <c r="R211" s="293"/>
      <c r="S211" s="293"/>
      <c r="T211" s="293"/>
      <c r="U211" s="293"/>
      <c r="V211" s="293"/>
      <c r="W211" s="293"/>
      <c r="X211" s="293"/>
      <c r="Y211" s="293"/>
      <c r="Z211" s="293"/>
      <c r="AA211" s="293"/>
      <c r="AB211" s="293"/>
      <c r="AC211" s="293"/>
      <c r="AD211" s="293"/>
      <c r="AE211" s="293"/>
      <c r="AF211" s="293"/>
      <c r="AG211" s="293"/>
      <c r="AH211" s="293"/>
      <c r="AI211" s="293"/>
      <c r="AJ211" s="293"/>
      <c r="AK211" s="293"/>
      <c r="AL211" s="293"/>
      <c r="AM211" s="293"/>
      <c r="AN211" s="293"/>
      <c r="AO211" s="293"/>
      <c r="AP211" s="293"/>
      <c r="AQ211" s="293"/>
      <c r="AR211" s="293"/>
      <c r="AS211" s="293"/>
      <c r="AT211" s="293"/>
      <c r="AU211" s="293"/>
      <c r="AV211" s="293"/>
      <c r="AW211" s="293"/>
      <c r="AX211" s="293"/>
      <c r="AY211" s="293"/>
      <c r="AZ211" s="293"/>
      <c r="BA211" s="293"/>
      <c r="BB211" s="293"/>
      <c r="BC211" s="293"/>
      <c r="BD211" s="293"/>
      <c r="BE211" s="293"/>
      <c r="BF211" s="293"/>
      <c r="BG211" s="293"/>
      <c r="BH211" s="293"/>
      <c r="BI211" s="293"/>
      <c r="BJ211" s="293"/>
      <c r="BK211" s="293"/>
      <c r="BL211" s="293"/>
      <c r="BM211" s="293"/>
      <c r="BN211" s="293"/>
      <c r="BO211" s="293"/>
      <c r="BP211" s="293"/>
      <c r="BQ211" s="293"/>
      <c r="BR211" s="293"/>
      <c r="BS211" s="293"/>
      <c r="BT211" s="293"/>
      <c r="BU211" s="293"/>
      <c r="BV211" s="293"/>
      <c r="BW211" s="293"/>
      <c r="BX211" s="293"/>
      <c r="BY211" s="293"/>
      <c r="BZ211" s="293"/>
      <c r="CA211" s="293"/>
      <c r="CB211" s="293"/>
      <c r="CC211" s="293"/>
      <c r="CD211" s="293"/>
      <c r="CE211" s="293"/>
      <c r="CF211" s="293"/>
      <c r="CG211" s="293"/>
      <c r="CH211" s="293"/>
      <c r="CI211" s="293"/>
      <c r="CJ211" s="293"/>
      <c r="CK211" s="293"/>
      <c r="CL211" s="293"/>
      <c r="CM211" s="293"/>
      <c r="CN211" s="293"/>
      <c r="CO211" s="293"/>
      <c r="CP211" s="293"/>
      <c r="CQ211" s="293"/>
      <c r="CR211" s="293"/>
      <c r="CS211" s="293"/>
      <c r="CT211" s="293"/>
      <c r="CU211" s="293"/>
      <c r="CV211" s="293"/>
      <c r="CW211" s="293"/>
      <c r="CX211" s="293"/>
      <c r="CY211" s="293"/>
      <c r="CZ211" s="293"/>
      <c r="DA211" s="293"/>
      <c r="DB211" s="293"/>
      <c r="DC211" s="293"/>
      <c r="DD211" s="293"/>
      <c r="DE211" s="293"/>
      <c r="DF211" s="293"/>
    </row>
    <row r="212" ht="14.25" customHeight="1">
      <c r="A212" s="293"/>
      <c r="B212" s="293"/>
      <c r="C212" s="293"/>
      <c r="D212" s="293"/>
      <c r="E212" s="293"/>
      <c r="F212" s="293"/>
      <c r="G212" s="293"/>
      <c r="H212" s="293"/>
      <c r="I212" s="293"/>
      <c r="J212" s="293"/>
      <c r="K212" s="293"/>
      <c r="L212" s="293"/>
      <c r="M212" s="293"/>
      <c r="N212" s="293"/>
      <c r="O212" s="293"/>
      <c r="P212" s="293"/>
      <c r="Q212" s="293"/>
      <c r="R212" s="293"/>
      <c r="S212" s="293"/>
      <c r="T212" s="293"/>
      <c r="U212" s="293"/>
      <c r="V212" s="293"/>
      <c r="W212" s="293"/>
      <c r="X212" s="293"/>
      <c r="Y212" s="293"/>
      <c r="Z212" s="293"/>
      <c r="AA212" s="293"/>
      <c r="AB212" s="293"/>
      <c r="AC212" s="293"/>
      <c r="AD212" s="293"/>
      <c r="AE212" s="293"/>
      <c r="AF212" s="293"/>
      <c r="AG212" s="293"/>
      <c r="AH212" s="293"/>
      <c r="AI212" s="293"/>
      <c r="AJ212" s="293"/>
      <c r="AK212" s="293"/>
      <c r="AL212" s="293"/>
      <c r="AM212" s="293"/>
      <c r="AN212" s="293"/>
      <c r="AO212" s="293"/>
      <c r="AP212" s="293"/>
      <c r="AQ212" s="293"/>
      <c r="AR212" s="293"/>
      <c r="AS212" s="293"/>
      <c r="AT212" s="293"/>
      <c r="AU212" s="293"/>
      <c r="AV212" s="293"/>
      <c r="AW212" s="293"/>
      <c r="AX212" s="293"/>
      <c r="AY212" s="293"/>
      <c r="AZ212" s="293"/>
      <c r="BA212" s="293"/>
      <c r="BB212" s="293"/>
      <c r="BC212" s="293"/>
      <c r="BD212" s="293"/>
      <c r="BE212" s="293"/>
      <c r="BF212" s="293"/>
      <c r="BG212" s="293"/>
      <c r="BH212" s="293"/>
      <c r="BI212" s="293"/>
      <c r="BJ212" s="293"/>
      <c r="BK212" s="293"/>
      <c r="BL212" s="293"/>
      <c r="BM212" s="293"/>
      <c r="BN212" s="293"/>
      <c r="BO212" s="293"/>
      <c r="BP212" s="293"/>
      <c r="BQ212" s="293"/>
      <c r="BR212" s="293"/>
      <c r="BS212" s="293"/>
      <c r="BT212" s="293"/>
      <c r="BU212" s="293"/>
      <c r="BV212" s="293"/>
      <c r="BW212" s="293"/>
      <c r="BX212" s="293"/>
      <c r="BY212" s="293"/>
      <c r="BZ212" s="293"/>
      <c r="CA212" s="293"/>
      <c r="CB212" s="293"/>
      <c r="CC212" s="293"/>
      <c r="CD212" s="293"/>
      <c r="CE212" s="293"/>
      <c r="CF212" s="293"/>
      <c r="CG212" s="293"/>
      <c r="CH212" s="293"/>
      <c r="CI212" s="293"/>
      <c r="CJ212" s="293"/>
      <c r="CK212" s="293"/>
      <c r="CL212" s="293"/>
      <c r="CM212" s="293"/>
      <c r="CN212" s="293"/>
      <c r="CO212" s="293"/>
      <c r="CP212" s="293"/>
      <c r="CQ212" s="293"/>
      <c r="CR212" s="293"/>
      <c r="CS212" s="293"/>
      <c r="CT212" s="293"/>
      <c r="CU212" s="293"/>
      <c r="CV212" s="293"/>
      <c r="CW212" s="293"/>
      <c r="CX212" s="293"/>
      <c r="CY212" s="293"/>
      <c r="CZ212" s="293"/>
      <c r="DA212" s="293"/>
      <c r="DB212" s="293"/>
      <c r="DC212" s="293"/>
      <c r="DD212" s="293"/>
      <c r="DE212" s="293"/>
      <c r="DF212" s="293"/>
    </row>
    <row r="213" ht="14.25" customHeight="1">
      <c r="A213" s="293"/>
      <c r="B213" s="293"/>
      <c r="C213" s="293"/>
      <c r="D213" s="293"/>
      <c r="E213" s="293"/>
      <c r="F213" s="293"/>
      <c r="G213" s="293"/>
      <c r="H213" s="293"/>
      <c r="I213" s="293"/>
      <c r="J213" s="293"/>
      <c r="K213" s="293"/>
      <c r="L213" s="293"/>
      <c r="M213" s="293"/>
      <c r="N213" s="293"/>
      <c r="O213" s="293"/>
      <c r="P213" s="293"/>
      <c r="Q213" s="293"/>
      <c r="R213" s="293"/>
      <c r="S213" s="293"/>
      <c r="T213" s="293"/>
      <c r="U213" s="293"/>
      <c r="V213" s="293"/>
      <c r="W213" s="293"/>
      <c r="X213" s="293"/>
      <c r="Y213" s="293"/>
      <c r="Z213" s="293"/>
      <c r="AA213" s="293"/>
      <c r="AB213" s="293"/>
      <c r="AC213" s="293"/>
      <c r="AD213" s="293"/>
      <c r="AE213" s="293"/>
      <c r="AF213" s="293"/>
      <c r="AG213" s="293"/>
      <c r="AH213" s="293"/>
      <c r="AI213" s="293"/>
      <c r="AJ213" s="293"/>
      <c r="AK213" s="293"/>
      <c r="AL213" s="293"/>
      <c r="AM213" s="293"/>
      <c r="AN213" s="293"/>
      <c r="AO213" s="293"/>
      <c r="AP213" s="293"/>
      <c r="AQ213" s="293"/>
      <c r="AR213" s="293"/>
      <c r="AS213" s="293"/>
      <c r="AT213" s="293"/>
      <c r="AU213" s="293"/>
      <c r="AV213" s="293"/>
      <c r="AW213" s="293"/>
      <c r="AX213" s="293"/>
      <c r="AY213" s="293"/>
      <c r="AZ213" s="293"/>
      <c r="BA213" s="293"/>
      <c r="BB213" s="293"/>
      <c r="BC213" s="293"/>
      <c r="BD213" s="293"/>
      <c r="BE213" s="293"/>
      <c r="BF213" s="293"/>
      <c r="BG213" s="293"/>
      <c r="BH213" s="293"/>
      <c r="BI213" s="293"/>
      <c r="BJ213" s="293"/>
      <c r="BK213" s="293"/>
      <c r="BL213" s="293"/>
      <c r="BM213" s="293"/>
      <c r="BN213" s="293"/>
      <c r="BO213" s="293"/>
      <c r="BP213" s="293"/>
      <c r="BQ213" s="293"/>
      <c r="BR213" s="293"/>
      <c r="BS213" s="293"/>
      <c r="BT213" s="293"/>
      <c r="BU213" s="293"/>
      <c r="BV213" s="293"/>
      <c r="BW213" s="293"/>
      <c r="BX213" s="293"/>
      <c r="BY213" s="293"/>
      <c r="BZ213" s="293"/>
      <c r="CA213" s="293"/>
      <c r="CB213" s="293"/>
      <c r="CC213" s="293"/>
      <c r="CD213" s="293"/>
      <c r="CE213" s="293"/>
      <c r="CF213" s="293"/>
      <c r="CG213" s="293"/>
      <c r="CH213" s="293"/>
      <c r="CI213" s="293"/>
      <c r="CJ213" s="293"/>
      <c r="CK213" s="293"/>
      <c r="CL213" s="293"/>
      <c r="CM213" s="293"/>
      <c r="CN213" s="293"/>
      <c r="CO213" s="293"/>
      <c r="CP213" s="293"/>
      <c r="CQ213" s="293"/>
      <c r="CR213" s="293"/>
      <c r="CS213" s="293"/>
      <c r="CT213" s="293"/>
      <c r="CU213" s="293"/>
      <c r="CV213" s="293"/>
      <c r="CW213" s="293"/>
      <c r="CX213" s="293"/>
      <c r="CY213" s="293"/>
      <c r="CZ213" s="293"/>
      <c r="DA213" s="293"/>
      <c r="DB213" s="293"/>
      <c r="DC213" s="293"/>
      <c r="DD213" s="293"/>
      <c r="DE213" s="293"/>
      <c r="DF213" s="293"/>
    </row>
    <row r="214" ht="14.25" customHeight="1">
      <c r="A214" s="293"/>
      <c r="B214" s="293"/>
      <c r="C214" s="293"/>
      <c r="D214" s="293"/>
      <c r="E214" s="293"/>
      <c r="F214" s="293"/>
      <c r="G214" s="293"/>
      <c r="H214" s="293"/>
      <c r="I214" s="293"/>
      <c r="J214" s="293"/>
      <c r="K214" s="293"/>
      <c r="L214" s="293"/>
      <c r="M214" s="293"/>
      <c r="N214" s="293"/>
      <c r="O214" s="293"/>
      <c r="P214" s="293"/>
      <c r="Q214" s="293"/>
      <c r="R214" s="293"/>
      <c r="S214" s="293"/>
      <c r="T214" s="293"/>
      <c r="U214" s="293"/>
      <c r="V214" s="293"/>
      <c r="W214" s="293"/>
      <c r="X214" s="293"/>
      <c r="Y214" s="293"/>
      <c r="Z214" s="293"/>
      <c r="AA214" s="293"/>
      <c r="AB214" s="293"/>
      <c r="AC214" s="293"/>
      <c r="AD214" s="293"/>
      <c r="AE214" s="293"/>
      <c r="AF214" s="293"/>
      <c r="AG214" s="293"/>
      <c r="AH214" s="293"/>
      <c r="AI214" s="293"/>
      <c r="AJ214" s="293"/>
      <c r="AK214" s="293"/>
      <c r="AL214" s="293"/>
      <c r="AM214" s="293"/>
      <c r="AN214" s="293"/>
      <c r="AO214" s="293"/>
      <c r="AP214" s="293"/>
      <c r="AQ214" s="293"/>
      <c r="AR214" s="293"/>
      <c r="AS214" s="293"/>
      <c r="AT214" s="293"/>
      <c r="AU214" s="293"/>
      <c r="AV214" s="293"/>
      <c r="AW214" s="293"/>
      <c r="AX214" s="293"/>
      <c r="AY214" s="293"/>
      <c r="AZ214" s="293"/>
      <c r="BA214" s="293"/>
      <c r="BB214" s="293"/>
      <c r="BC214" s="293"/>
      <c r="BD214" s="293"/>
      <c r="BE214" s="293"/>
      <c r="BF214" s="293"/>
      <c r="BG214" s="293"/>
      <c r="BH214" s="293"/>
      <c r="BI214" s="293"/>
      <c r="BJ214" s="293"/>
      <c r="BK214" s="293"/>
      <c r="BL214" s="293"/>
      <c r="BM214" s="293"/>
      <c r="BN214" s="293"/>
      <c r="BO214" s="293"/>
      <c r="BP214" s="293"/>
      <c r="BQ214" s="293"/>
      <c r="BR214" s="293"/>
      <c r="BS214" s="293"/>
      <c r="BT214" s="293"/>
      <c r="BU214" s="293"/>
      <c r="BV214" s="293"/>
      <c r="BW214" s="293"/>
      <c r="BX214" s="293"/>
      <c r="BY214" s="293"/>
      <c r="BZ214" s="293"/>
      <c r="CA214" s="293"/>
      <c r="CB214" s="293"/>
      <c r="CC214" s="293"/>
      <c r="CD214" s="293"/>
      <c r="CE214" s="293"/>
      <c r="CF214" s="293"/>
      <c r="CG214" s="293"/>
      <c r="CH214" s="293"/>
      <c r="CI214" s="293"/>
      <c r="CJ214" s="293"/>
      <c r="CK214" s="293"/>
      <c r="CL214" s="293"/>
      <c r="CM214" s="293"/>
      <c r="CN214" s="293"/>
      <c r="CO214" s="293"/>
      <c r="CP214" s="293"/>
      <c r="CQ214" s="293"/>
      <c r="CR214" s="293"/>
      <c r="CS214" s="293"/>
      <c r="CT214" s="293"/>
      <c r="CU214" s="293"/>
      <c r="CV214" s="293"/>
      <c r="CW214" s="293"/>
      <c r="CX214" s="293"/>
      <c r="CY214" s="293"/>
      <c r="CZ214" s="293"/>
      <c r="DA214" s="293"/>
      <c r="DB214" s="293"/>
      <c r="DC214" s="293"/>
      <c r="DD214" s="293"/>
      <c r="DE214" s="293"/>
      <c r="DF214" s="293"/>
    </row>
    <row r="215" ht="14.25" customHeight="1">
      <c r="A215" s="293"/>
      <c r="B215" s="293"/>
      <c r="C215" s="293"/>
      <c r="D215" s="293"/>
      <c r="E215" s="293"/>
      <c r="F215" s="293"/>
      <c r="G215" s="293"/>
      <c r="H215" s="293"/>
      <c r="I215" s="293"/>
      <c r="J215" s="293"/>
      <c r="K215" s="293"/>
      <c r="L215" s="293"/>
      <c r="M215" s="293"/>
      <c r="N215" s="293"/>
      <c r="O215" s="293"/>
      <c r="P215" s="293"/>
      <c r="Q215" s="293"/>
      <c r="R215" s="293"/>
      <c r="S215" s="293"/>
      <c r="T215" s="293"/>
      <c r="U215" s="293"/>
      <c r="V215" s="293"/>
      <c r="W215" s="293"/>
      <c r="X215" s="293"/>
      <c r="Y215" s="293"/>
      <c r="Z215" s="293"/>
      <c r="AA215" s="293"/>
      <c r="AB215" s="293"/>
      <c r="AC215" s="293"/>
      <c r="AD215" s="293"/>
      <c r="AE215" s="293"/>
      <c r="AF215" s="293"/>
      <c r="AG215" s="293"/>
      <c r="AH215" s="293"/>
      <c r="AI215" s="293"/>
      <c r="AJ215" s="293"/>
      <c r="AK215" s="293"/>
      <c r="AL215" s="293"/>
      <c r="AM215" s="293"/>
      <c r="AN215" s="293"/>
      <c r="AO215" s="293"/>
      <c r="AP215" s="293"/>
      <c r="AQ215" s="293"/>
      <c r="AR215" s="293"/>
      <c r="AS215" s="293"/>
      <c r="AT215" s="293"/>
      <c r="AU215" s="293"/>
      <c r="AV215" s="293"/>
      <c r="AW215" s="293"/>
      <c r="AX215" s="293"/>
      <c r="AY215" s="293"/>
      <c r="AZ215" s="293"/>
      <c r="BA215" s="293"/>
      <c r="BB215" s="293"/>
      <c r="BC215" s="293"/>
      <c r="BD215" s="293"/>
      <c r="BE215" s="293"/>
      <c r="BF215" s="293"/>
      <c r="BG215" s="293"/>
      <c r="BH215" s="293"/>
      <c r="BI215" s="293"/>
      <c r="BJ215" s="293"/>
      <c r="BK215" s="293"/>
      <c r="BL215" s="293"/>
      <c r="BM215" s="293"/>
      <c r="BN215" s="293"/>
      <c r="BO215" s="293"/>
      <c r="BP215" s="293"/>
      <c r="BQ215" s="293"/>
      <c r="BR215" s="293"/>
      <c r="BS215" s="293"/>
      <c r="BT215" s="293"/>
      <c r="BU215" s="293"/>
      <c r="BV215" s="293"/>
      <c r="BW215" s="293"/>
      <c r="BX215" s="293"/>
      <c r="BY215" s="293"/>
      <c r="BZ215" s="293"/>
      <c r="CA215" s="293"/>
      <c r="CB215" s="293"/>
      <c r="CC215" s="293"/>
      <c r="CD215" s="293"/>
      <c r="CE215" s="293"/>
      <c r="CF215" s="293"/>
      <c r="CG215" s="293"/>
      <c r="CH215" s="293"/>
      <c r="CI215" s="293"/>
      <c r="CJ215" s="293"/>
      <c r="CK215" s="293"/>
      <c r="CL215" s="293"/>
      <c r="CM215" s="293"/>
      <c r="CN215" s="293"/>
      <c r="CO215" s="293"/>
      <c r="CP215" s="293"/>
      <c r="CQ215" s="293"/>
      <c r="CR215" s="293"/>
      <c r="CS215" s="293"/>
      <c r="CT215" s="293"/>
      <c r="CU215" s="293"/>
      <c r="CV215" s="293"/>
      <c r="CW215" s="293"/>
      <c r="CX215" s="293"/>
      <c r="CY215" s="293"/>
      <c r="CZ215" s="293"/>
      <c r="DA215" s="293"/>
      <c r="DB215" s="293"/>
      <c r="DC215" s="293"/>
      <c r="DD215" s="293"/>
      <c r="DE215" s="293"/>
      <c r="DF215" s="293"/>
    </row>
    <row r="216" ht="14.25" customHeight="1">
      <c r="A216" s="293"/>
      <c r="B216" s="293"/>
      <c r="C216" s="293"/>
      <c r="D216" s="293"/>
      <c r="E216" s="293"/>
      <c r="F216" s="293"/>
      <c r="G216" s="293"/>
      <c r="H216" s="293"/>
      <c r="I216" s="293"/>
      <c r="J216" s="293"/>
      <c r="K216" s="293"/>
      <c r="L216" s="293"/>
      <c r="M216" s="293"/>
      <c r="N216" s="293"/>
      <c r="O216" s="293"/>
      <c r="P216" s="293"/>
      <c r="Q216" s="293"/>
      <c r="R216" s="293"/>
      <c r="S216" s="293"/>
      <c r="T216" s="293"/>
      <c r="U216" s="293"/>
      <c r="V216" s="293"/>
      <c r="W216" s="293"/>
      <c r="X216" s="293"/>
      <c r="Y216" s="293"/>
      <c r="Z216" s="293"/>
      <c r="AA216" s="293"/>
      <c r="AB216" s="293"/>
      <c r="AC216" s="293"/>
      <c r="AD216" s="293"/>
      <c r="AE216" s="293"/>
      <c r="AF216" s="293"/>
      <c r="AG216" s="293"/>
      <c r="AH216" s="293"/>
      <c r="AI216" s="293"/>
      <c r="AJ216" s="293"/>
      <c r="AK216" s="293"/>
      <c r="AL216" s="293"/>
      <c r="AM216" s="293"/>
      <c r="AN216" s="293"/>
      <c r="AO216" s="293"/>
      <c r="AP216" s="293"/>
      <c r="AQ216" s="293"/>
      <c r="AR216" s="293"/>
      <c r="AS216" s="293"/>
      <c r="AT216" s="293"/>
      <c r="AU216" s="293"/>
      <c r="AV216" s="293"/>
      <c r="AW216" s="293"/>
      <c r="AX216" s="293"/>
      <c r="AY216" s="293"/>
      <c r="AZ216" s="293"/>
      <c r="BA216" s="293"/>
      <c r="BB216" s="293"/>
      <c r="BC216" s="293"/>
      <c r="BD216" s="293"/>
      <c r="BE216" s="293"/>
      <c r="BF216" s="293"/>
      <c r="BG216" s="293"/>
      <c r="BH216" s="293"/>
      <c r="BI216" s="293"/>
      <c r="BJ216" s="293"/>
      <c r="BK216" s="293"/>
      <c r="BL216" s="293"/>
      <c r="BM216" s="293"/>
      <c r="BN216" s="293"/>
      <c r="BO216" s="293"/>
      <c r="BP216" s="293"/>
      <c r="BQ216" s="293"/>
      <c r="BR216" s="293"/>
      <c r="BS216" s="293"/>
      <c r="BT216" s="293"/>
      <c r="BU216" s="293"/>
      <c r="BV216" s="293"/>
      <c r="BW216" s="293"/>
      <c r="BX216" s="293"/>
      <c r="BY216" s="293"/>
      <c r="BZ216" s="293"/>
      <c r="CA216" s="293"/>
      <c r="CB216" s="293"/>
      <c r="CC216" s="293"/>
      <c r="CD216" s="293"/>
      <c r="CE216" s="293"/>
      <c r="CF216" s="293"/>
      <c r="CG216" s="293"/>
      <c r="CH216" s="293"/>
      <c r="CI216" s="293"/>
      <c r="CJ216" s="293"/>
      <c r="CK216" s="293"/>
      <c r="CL216" s="293"/>
      <c r="CM216" s="293"/>
      <c r="CN216" s="293"/>
      <c r="CO216" s="293"/>
      <c r="CP216" s="293"/>
      <c r="CQ216" s="293"/>
      <c r="CR216" s="293"/>
      <c r="CS216" s="293"/>
      <c r="CT216" s="293"/>
      <c r="CU216" s="293"/>
      <c r="CV216" s="293"/>
      <c r="CW216" s="293"/>
      <c r="CX216" s="293"/>
      <c r="CY216" s="293"/>
      <c r="CZ216" s="293"/>
      <c r="DA216" s="293"/>
      <c r="DB216" s="293"/>
      <c r="DC216" s="293"/>
      <c r="DD216" s="293"/>
      <c r="DE216" s="293"/>
      <c r="DF216" s="293"/>
    </row>
    <row r="217" ht="14.25" customHeight="1">
      <c r="A217" s="293"/>
      <c r="B217" s="293"/>
      <c r="C217" s="293"/>
      <c r="D217" s="293"/>
      <c r="E217" s="293"/>
      <c r="F217" s="293"/>
      <c r="G217" s="293"/>
      <c r="H217" s="293"/>
      <c r="I217" s="293"/>
      <c r="J217" s="293"/>
      <c r="K217" s="293"/>
      <c r="L217" s="293"/>
      <c r="M217" s="293"/>
      <c r="N217" s="293"/>
      <c r="O217" s="293"/>
      <c r="P217" s="293"/>
      <c r="Q217" s="293"/>
      <c r="R217" s="293"/>
      <c r="S217" s="293"/>
      <c r="T217" s="293"/>
      <c r="U217" s="293"/>
      <c r="V217" s="293"/>
      <c r="W217" s="293"/>
      <c r="X217" s="293"/>
      <c r="Y217" s="293"/>
      <c r="Z217" s="293"/>
      <c r="AA217" s="293"/>
      <c r="AB217" s="293"/>
      <c r="AC217" s="293"/>
      <c r="AD217" s="293"/>
      <c r="AE217" s="293"/>
      <c r="AF217" s="293"/>
      <c r="AG217" s="293"/>
      <c r="AH217" s="293"/>
      <c r="AI217" s="293"/>
      <c r="AJ217" s="293"/>
      <c r="AK217" s="293"/>
      <c r="AL217" s="293"/>
      <c r="AM217" s="293"/>
      <c r="AN217" s="293"/>
      <c r="AO217" s="293"/>
      <c r="AP217" s="293"/>
      <c r="AQ217" s="293"/>
      <c r="AR217" s="293"/>
      <c r="AS217" s="293"/>
      <c r="AT217" s="293"/>
      <c r="AU217" s="293"/>
      <c r="AV217" s="293"/>
      <c r="AW217" s="293"/>
      <c r="AX217" s="293"/>
      <c r="AY217" s="293"/>
      <c r="AZ217" s="293"/>
      <c r="BA217" s="293"/>
      <c r="BB217" s="293"/>
      <c r="BC217" s="293"/>
      <c r="BD217" s="293"/>
      <c r="BE217" s="293"/>
      <c r="BF217" s="293"/>
      <c r="BG217" s="293"/>
      <c r="BH217" s="293"/>
      <c r="BI217" s="293"/>
      <c r="BJ217" s="293"/>
      <c r="BK217" s="293"/>
      <c r="BL217" s="293"/>
      <c r="BM217" s="293"/>
      <c r="BN217" s="293"/>
      <c r="BO217" s="293"/>
      <c r="BP217" s="293"/>
      <c r="BQ217" s="293"/>
      <c r="BR217" s="293"/>
      <c r="BS217" s="293"/>
      <c r="BT217" s="293"/>
      <c r="BU217" s="293"/>
      <c r="BV217" s="293"/>
      <c r="BW217" s="293"/>
      <c r="BX217" s="293"/>
      <c r="BY217" s="293"/>
      <c r="BZ217" s="293"/>
      <c r="CA217" s="293"/>
      <c r="CB217" s="293"/>
      <c r="CC217" s="293"/>
      <c r="CD217" s="293"/>
      <c r="CE217" s="293"/>
      <c r="CF217" s="293"/>
      <c r="CG217" s="293"/>
      <c r="CH217" s="293"/>
      <c r="CI217" s="293"/>
      <c r="CJ217" s="293"/>
      <c r="CK217" s="293"/>
      <c r="CL217" s="293"/>
      <c r="CM217" s="293"/>
      <c r="CN217" s="293"/>
      <c r="CO217" s="293"/>
      <c r="CP217" s="293"/>
      <c r="CQ217" s="293"/>
      <c r="CR217" s="293"/>
      <c r="CS217" s="293"/>
      <c r="CT217" s="293"/>
      <c r="CU217" s="293"/>
      <c r="CV217" s="293"/>
      <c r="CW217" s="293"/>
      <c r="CX217" s="293"/>
      <c r="CY217" s="293"/>
      <c r="CZ217" s="293"/>
      <c r="DA217" s="293"/>
      <c r="DB217" s="293"/>
      <c r="DC217" s="293"/>
      <c r="DD217" s="293"/>
      <c r="DE217" s="293"/>
      <c r="DF217" s="293"/>
    </row>
    <row r="218" ht="14.25" customHeight="1">
      <c r="A218" s="293"/>
      <c r="B218" s="293"/>
      <c r="C218" s="293"/>
      <c r="D218" s="293"/>
      <c r="E218" s="293"/>
      <c r="F218" s="293"/>
      <c r="G218" s="293"/>
      <c r="H218" s="293"/>
      <c r="I218" s="293"/>
      <c r="J218" s="293"/>
      <c r="K218" s="293"/>
      <c r="L218" s="293"/>
      <c r="M218" s="293"/>
      <c r="N218" s="293"/>
      <c r="O218" s="293"/>
      <c r="P218" s="293"/>
      <c r="Q218" s="293"/>
      <c r="R218" s="293"/>
      <c r="S218" s="293"/>
      <c r="T218" s="293"/>
      <c r="U218" s="293"/>
      <c r="V218" s="293"/>
      <c r="W218" s="293"/>
      <c r="X218" s="293"/>
      <c r="Y218" s="293"/>
      <c r="Z218" s="293"/>
      <c r="AA218" s="293"/>
      <c r="AB218" s="293"/>
      <c r="AC218" s="293"/>
      <c r="AD218" s="293"/>
      <c r="AE218" s="293"/>
      <c r="AF218" s="293"/>
      <c r="AG218" s="293"/>
      <c r="AH218" s="293"/>
      <c r="AI218" s="293"/>
      <c r="AJ218" s="293"/>
      <c r="AK218" s="293"/>
      <c r="AL218" s="293"/>
      <c r="AM218" s="293"/>
      <c r="AN218" s="293"/>
      <c r="AO218" s="293"/>
      <c r="AP218" s="293"/>
      <c r="AQ218" s="293"/>
      <c r="AR218" s="293"/>
      <c r="AS218" s="293"/>
      <c r="AT218" s="293"/>
      <c r="AU218" s="293"/>
      <c r="AV218" s="293"/>
      <c r="AW218" s="293"/>
      <c r="AX218" s="293"/>
      <c r="AY218" s="293"/>
      <c r="AZ218" s="293"/>
      <c r="BA218" s="293"/>
      <c r="BB218" s="293"/>
      <c r="BC218" s="293"/>
      <c r="BD218" s="293"/>
      <c r="BE218" s="293"/>
      <c r="BF218" s="293"/>
      <c r="BG218" s="293"/>
      <c r="BH218" s="293"/>
      <c r="BI218" s="293"/>
      <c r="BJ218" s="293"/>
      <c r="BK218" s="293"/>
      <c r="BL218" s="293"/>
      <c r="BM218" s="293"/>
      <c r="BN218" s="293"/>
      <c r="BO218" s="293"/>
      <c r="BP218" s="293"/>
      <c r="BQ218" s="293"/>
      <c r="BR218" s="293"/>
      <c r="BS218" s="293"/>
      <c r="BT218" s="293"/>
      <c r="BU218" s="293"/>
      <c r="BV218" s="293"/>
      <c r="BW218" s="293"/>
      <c r="BX218" s="293"/>
      <c r="BY218" s="293"/>
      <c r="BZ218" s="293"/>
      <c r="CA218" s="293"/>
      <c r="CB218" s="293"/>
      <c r="CC218" s="293"/>
      <c r="CD218" s="293"/>
      <c r="CE218" s="293"/>
      <c r="CF218" s="293"/>
      <c r="CG218" s="293"/>
      <c r="CH218" s="293"/>
      <c r="CI218" s="293"/>
      <c r="CJ218" s="293"/>
      <c r="CK218" s="293"/>
      <c r="CL218" s="293"/>
      <c r="CM218" s="293"/>
      <c r="CN218" s="293"/>
      <c r="CO218" s="293"/>
      <c r="CP218" s="293"/>
      <c r="CQ218" s="293"/>
      <c r="CR218" s="293"/>
      <c r="CS218" s="293"/>
      <c r="CT218" s="293"/>
      <c r="CU218" s="293"/>
      <c r="CV218" s="293"/>
      <c r="CW218" s="293"/>
      <c r="CX218" s="293"/>
      <c r="CY218" s="293"/>
      <c r="CZ218" s="293"/>
      <c r="DA218" s="293"/>
      <c r="DB218" s="293"/>
      <c r="DC218" s="293"/>
      <c r="DD218" s="293"/>
      <c r="DE218" s="293"/>
      <c r="DF218" s="293"/>
    </row>
    <row r="219" ht="14.25" customHeight="1">
      <c r="A219" s="293"/>
      <c r="B219" s="293"/>
      <c r="C219" s="293"/>
      <c r="D219" s="293"/>
      <c r="E219" s="293"/>
      <c r="F219" s="293"/>
      <c r="G219" s="293"/>
      <c r="H219" s="293"/>
      <c r="I219" s="293"/>
      <c r="J219" s="293"/>
      <c r="K219" s="293"/>
      <c r="L219" s="293"/>
      <c r="M219" s="293"/>
      <c r="N219" s="293"/>
      <c r="O219" s="293"/>
      <c r="P219" s="293"/>
      <c r="Q219" s="293"/>
      <c r="R219" s="293"/>
      <c r="S219" s="293"/>
      <c r="T219" s="293"/>
      <c r="U219" s="293"/>
      <c r="V219" s="293"/>
      <c r="W219" s="293"/>
      <c r="X219" s="293"/>
      <c r="Y219" s="293"/>
      <c r="Z219" s="293"/>
      <c r="AA219" s="293"/>
      <c r="AB219" s="293"/>
      <c r="AC219" s="293"/>
      <c r="AD219" s="293"/>
      <c r="AE219" s="293"/>
      <c r="AF219" s="293"/>
      <c r="AG219" s="293"/>
      <c r="AH219" s="293"/>
      <c r="AI219" s="293"/>
      <c r="AJ219" s="293"/>
      <c r="AK219" s="293"/>
      <c r="AL219" s="293"/>
      <c r="AM219" s="293"/>
      <c r="AN219" s="293"/>
      <c r="AO219" s="293"/>
      <c r="AP219" s="293"/>
      <c r="AQ219" s="293"/>
      <c r="AR219" s="293"/>
      <c r="AS219" s="293"/>
      <c r="AT219" s="293"/>
      <c r="AU219" s="293"/>
      <c r="AV219" s="293"/>
      <c r="AW219" s="293"/>
      <c r="AX219" s="293"/>
      <c r="AY219" s="293"/>
      <c r="AZ219" s="293"/>
      <c r="BA219" s="293"/>
      <c r="BB219" s="293"/>
      <c r="BC219" s="293"/>
      <c r="BD219" s="293"/>
      <c r="BE219" s="293"/>
      <c r="BF219" s="293"/>
      <c r="BG219" s="293"/>
      <c r="BH219" s="293"/>
      <c r="BI219" s="293"/>
      <c r="BJ219" s="293"/>
      <c r="BK219" s="293"/>
      <c r="BL219" s="293"/>
      <c r="BM219" s="293"/>
      <c r="BN219" s="293"/>
      <c r="BO219" s="293"/>
      <c r="BP219" s="293"/>
      <c r="BQ219" s="293"/>
      <c r="BR219" s="293"/>
      <c r="BS219" s="293"/>
      <c r="BT219" s="293"/>
      <c r="BU219" s="293"/>
      <c r="BV219" s="293"/>
      <c r="BW219" s="293"/>
      <c r="BX219" s="293"/>
      <c r="BY219" s="293"/>
      <c r="BZ219" s="293"/>
      <c r="CA219" s="293"/>
      <c r="CB219" s="293"/>
      <c r="CC219" s="293"/>
      <c r="CD219" s="293"/>
      <c r="CE219" s="293"/>
      <c r="CF219" s="293"/>
      <c r="CG219" s="293"/>
      <c r="CH219" s="293"/>
      <c r="CI219" s="293"/>
      <c r="CJ219" s="293"/>
      <c r="CK219" s="293"/>
      <c r="CL219" s="293"/>
      <c r="CM219" s="293"/>
      <c r="CN219" s="293"/>
      <c r="CO219" s="293"/>
      <c r="CP219" s="293"/>
      <c r="CQ219" s="293"/>
      <c r="CR219" s="293"/>
      <c r="CS219" s="293"/>
      <c r="CT219" s="293"/>
      <c r="CU219" s="293"/>
      <c r="CV219" s="293"/>
      <c r="CW219" s="293"/>
      <c r="CX219" s="293"/>
      <c r="CY219" s="293"/>
      <c r="CZ219" s="293"/>
      <c r="DA219" s="293"/>
      <c r="DB219" s="293"/>
      <c r="DC219" s="293"/>
      <c r="DD219" s="293"/>
      <c r="DE219" s="293"/>
      <c r="DF219" s="293"/>
    </row>
    <row r="220" ht="14.25" customHeight="1">
      <c r="A220" s="293"/>
      <c r="B220" s="293"/>
      <c r="C220" s="293"/>
      <c r="D220" s="293"/>
      <c r="E220" s="293"/>
      <c r="F220" s="293"/>
      <c r="G220" s="293"/>
      <c r="H220" s="293"/>
      <c r="I220" s="293"/>
      <c r="J220" s="293"/>
      <c r="K220" s="293"/>
      <c r="L220" s="293"/>
      <c r="M220" s="293"/>
      <c r="N220" s="293"/>
      <c r="O220" s="293"/>
      <c r="P220" s="293"/>
      <c r="Q220" s="293"/>
      <c r="R220" s="293"/>
      <c r="S220" s="293"/>
      <c r="T220" s="293"/>
      <c r="U220" s="293"/>
      <c r="V220" s="293"/>
      <c r="W220" s="293"/>
      <c r="X220" s="293"/>
      <c r="Y220" s="293"/>
      <c r="Z220" s="293"/>
      <c r="AA220" s="293"/>
      <c r="AB220" s="293"/>
      <c r="AC220" s="293"/>
      <c r="AD220" s="293"/>
      <c r="AE220" s="293"/>
      <c r="AF220" s="293"/>
      <c r="AG220" s="293"/>
      <c r="AH220" s="293"/>
      <c r="AI220" s="293"/>
      <c r="AJ220" s="293"/>
      <c r="AK220" s="293"/>
      <c r="AL220" s="293"/>
      <c r="AM220" s="293"/>
      <c r="AN220" s="293"/>
      <c r="AO220" s="293"/>
      <c r="AP220" s="293"/>
      <c r="AQ220" s="293"/>
      <c r="AR220" s="293"/>
      <c r="AS220" s="293"/>
      <c r="AT220" s="293"/>
      <c r="AU220" s="293"/>
      <c r="AV220" s="293"/>
      <c r="AW220" s="293"/>
      <c r="AX220" s="293"/>
      <c r="AY220" s="293"/>
      <c r="AZ220" s="293"/>
      <c r="BA220" s="293"/>
      <c r="BB220" s="293"/>
      <c r="BC220" s="293"/>
      <c r="BD220" s="293"/>
      <c r="BE220" s="293"/>
      <c r="BF220" s="293"/>
      <c r="BG220" s="293"/>
      <c r="BH220" s="293"/>
      <c r="BI220" s="293"/>
      <c r="BJ220" s="293"/>
      <c r="BK220" s="293"/>
      <c r="BL220" s="293"/>
      <c r="BM220" s="293"/>
      <c r="BN220" s="293"/>
      <c r="BO220" s="293"/>
      <c r="BP220" s="293"/>
      <c r="BQ220" s="293"/>
      <c r="BR220" s="293"/>
      <c r="BS220" s="293"/>
      <c r="BT220" s="293"/>
      <c r="BU220" s="293"/>
      <c r="BV220" s="293"/>
      <c r="BW220" s="293"/>
      <c r="BX220" s="293"/>
      <c r="BY220" s="293"/>
      <c r="BZ220" s="293"/>
      <c r="CA220" s="293"/>
      <c r="CB220" s="293"/>
      <c r="CC220" s="293"/>
      <c r="CD220" s="293"/>
      <c r="CE220" s="293"/>
      <c r="CF220" s="293"/>
      <c r="CG220" s="293"/>
      <c r="CH220" s="293"/>
      <c r="CI220" s="293"/>
      <c r="CJ220" s="293"/>
      <c r="CK220" s="293"/>
      <c r="CL220" s="293"/>
      <c r="CM220" s="293"/>
      <c r="CN220" s="293"/>
      <c r="CO220" s="293"/>
      <c r="CP220" s="293"/>
      <c r="CQ220" s="293"/>
      <c r="CR220" s="293"/>
      <c r="CS220" s="293"/>
      <c r="CT220" s="293"/>
      <c r="CU220" s="293"/>
      <c r="CV220" s="293"/>
      <c r="CW220" s="293"/>
      <c r="CX220" s="293"/>
      <c r="CY220" s="293"/>
      <c r="CZ220" s="293"/>
      <c r="DA220" s="293"/>
      <c r="DB220" s="293"/>
      <c r="DC220" s="293"/>
      <c r="DD220" s="293"/>
      <c r="DE220" s="293"/>
      <c r="DF220" s="293"/>
    </row>
    <row r="221" ht="14.25" customHeight="1">
      <c r="A221" s="293"/>
      <c r="B221" s="293"/>
      <c r="C221" s="293"/>
      <c r="D221" s="293"/>
      <c r="E221" s="293"/>
      <c r="F221" s="293"/>
      <c r="G221" s="293"/>
      <c r="H221" s="293"/>
      <c r="I221" s="293"/>
      <c r="J221" s="293"/>
      <c r="K221" s="293"/>
      <c r="L221" s="293"/>
      <c r="M221" s="293"/>
      <c r="N221" s="293"/>
      <c r="O221" s="293"/>
      <c r="P221" s="293"/>
      <c r="Q221" s="293"/>
      <c r="R221" s="293"/>
      <c r="S221" s="293"/>
      <c r="T221" s="293"/>
      <c r="U221" s="293"/>
      <c r="V221" s="293"/>
      <c r="W221" s="293"/>
      <c r="X221" s="293"/>
      <c r="Y221" s="293"/>
      <c r="Z221" s="293"/>
      <c r="AA221" s="293"/>
      <c r="AB221" s="293"/>
      <c r="AC221" s="293"/>
      <c r="AD221" s="293"/>
      <c r="AE221" s="293"/>
      <c r="AF221" s="293"/>
      <c r="AG221" s="293"/>
      <c r="AH221" s="293"/>
      <c r="AI221" s="293"/>
      <c r="AJ221" s="293"/>
      <c r="AK221" s="293"/>
      <c r="AL221" s="293"/>
      <c r="AM221" s="293"/>
      <c r="AN221" s="293"/>
      <c r="AO221" s="293"/>
      <c r="AP221" s="293"/>
      <c r="AQ221" s="293"/>
      <c r="AR221" s="293"/>
      <c r="AS221" s="293"/>
      <c r="AT221" s="293"/>
      <c r="AU221" s="293"/>
      <c r="AV221" s="293"/>
      <c r="AW221" s="293"/>
      <c r="AX221" s="293"/>
      <c r="AY221" s="293"/>
      <c r="AZ221" s="293"/>
      <c r="BA221" s="293"/>
      <c r="BB221" s="293"/>
      <c r="BC221" s="293"/>
      <c r="BD221" s="293"/>
      <c r="BE221" s="293"/>
      <c r="BF221" s="293"/>
      <c r="BG221" s="293"/>
      <c r="BH221" s="293"/>
      <c r="BI221" s="293"/>
      <c r="BJ221" s="293"/>
      <c r="BK221" s="293"/>
      <c r="BL221" s="293"/>
      <c r="BM221" s="293"/>
      <c r="BN221" s="293"/>
      <c r="BO221" s="293"/>
      <c r="BP221" s="293"/>
      <c r="BQ221" s="293"/>
      <c r="BR221" s="293"/>
      <c r="BS221" s="293"/>
      <c r="BT221" s="293"/>
      <c r="BU221" s="293"/>
      <c r="BV221" s="293"/>
      <c r="BW221" s="293"/>
      <c r="BX221" s="293"/>
      <c r="BY221" s="293"/>
      <c r="BZ221" s="293"/>
      <c r="CA221" s="293"/>
      <c r="CB221" s="293"/>
      <c r="CC221" s="293"/>
      <c r="CD221" s="293"/>
      <c r="CE221" s="293"/>
      <c r="CF221" s="293"/>
      <c r="CG221" s="293"/>
      <c r="CH221" s="293"/>
      <c r="CI221" s="293"/>
      <c r="CJ221" s="293"/>
      <c r="CK221" s="293"/>
      <c r="CL221" s="293"/>
      <c r="CM221" s="293"/>
      <c r="CN221" s="293"/>
      <c r="CO221" s="293"/>
      <c r="CP221" s="293"/>
      <c r="CQ221" s="293"/>
      <c r="CR221" s="293"/>
      <c r="CS221" s="293"/>
      <c r="CT221" s="293"/>
      <c r="CU221" s="293"/>
      <c r="CV221" s="293"/>
      <c r="CW221" s="293"/>
      <c r="CX221" s="293"/>
      <c r="CY221" s="293"/>
      <c r="CZ221" s="293"/>
      <c r="DA221" s="293"/>
      <c r="DB221" s="293"/>
      <c r="DC221" s="293"/>
      <c r="DD221" s="293"/>
      <c r="DE221" s="293"/>
      <c r="DF221" s="293"/>
    </row>
    <row r="222" ht="14.25" customHeight="1">
      <c r="A222" s="293"/>
      <c r="B222" s="293"/>
      <c r="C222" s="293"/>
      <c r="D222" s="293"/>
      <c r="E222" s="293"/>
      <c r="F222" s="293"/>
      <c r="G222" s="293"/>
      <c r="H222" s="293"/>
      <c r="I222" s="293"/>
      <c r="J222" s="293"/>
      <c r="K222" s="293"/>
      <c r="L222" s="293"/>
      <c r="M222" s="293"/>
      <c r="N222" s="293"/>
      <c r="O222" s="293"/>
      <c r="P222" s="293"/>
      <c r="Q222" s="293"/>
      <c r="R222" s="293"/>
      <c r="S222" s="293"/>
      <c r="T222" s="293"/>
      <c r="U222" s="293"/>
      <c r="V222" s="293"/>
      <c r="W222" s="293"/>
      <c r="X222" s="293"/>
      <c r="Y222" s="293"/>
      <c r="Z222" s="293"/>
      <c r="AA222" s="293"/>
      <c r="AB222" s="293"/>
      <c r="AC222" s="293"/>
      <c r="AD222" s="293"/>
      <c r="AE222" s="293"/>
      <c r="AF222" s="293"/>
      <c r="AG222" s="293"/>
      <c r="AH222" s="293"/>
      <c r="AI222" s="293"/>
      <c r="AJ222" s="293"/>
      <c r="AK222" s="293"/>
      <c r="AL222" s="293"/>
      <c r="AM222" s="293"/>
      <c r="AN222" s="293"/>
      <c r="AO222" s="293"/>
      <c r="AP222" s="293"/>
      <c r="AQ222" s="293"/>
      <c r="AR222" s="293"/>
      <c r="AS222" s="293"/>
      <c r="AT222" s="293"/>
      <c r="AU222" s="293"/>
      <c r="AV222" s="293"/>
      <c r="AW222" s="293"/>
      <c r="AX222" s="293"/>
      <c r="AY222" s="293"/>
      <c r="AZ222" s="293"/>
      <c r="BA222" s="293"/>
      <c r="BB222" s="293"/>
      <c r="BC222" s="293"/>
      <c r="BD222" s="293"/>
      <c r="BE222" s="293"/>
      <c r="BF222" s="293"/>
      <c r="BG222" s="293"/>
      <c r="BH222" s="293"/>
      <c r="BI222" s="293"/>
      <c r="BJ222" s="293"/>
      <c r="BK222" s="293"/>
      <c r="BL222" s="293"/>
      <c r="BM222" s="293"/>
      <c r="BN222" s="293"/>
      <c r="BO222" s="293"/>
      <c r="BP222" s="293"/>
      <c r="BQ222" s="293"/>
      <c r="BR222" s="293"/>
      <c r="BS222" s="293"/>
      <c r="BT222" s="293"/>
      <c r="BU222" s="293"/>
      <c r="BV222" s="293"/>
      <c r="BW222" s="293"/>
      <c r="BX222" s="293"/>
      <c r="BY222" s="293"/>
      <c r="BZ222" s="293"/>
      <c r="CA222" s="293"/>
      <c r="CB222" s="293"/>
      <c r="CC222" s="293"/>
      <c r="CD222" s="293"/>
      <c r="CE222" s="293"/>
      <c r="CF222" s="293"/>
      <c r="CG222" s="293"/>
      <c r="CH222" s="293"/>
      <c r="CI222" s="293"/>
      <c r="CJ222" s="293"/>
      <c r="CK222" s="293"/>
      <c r="CL222" s="293"/>
      <c r="CM222" s="293"/>
      <c r="CN222" s="293"/>
      <c r="CO222" s="293"/>
      <c r="CP222" s="293"/>
      <c r="CQ222" s="293"/>
      <c r="CR222" s="293"/>
      <c r="CS222" s="293"/>
      <c r="CT222" s="293"/>
      <c r="CU222" s="293"/>
      <c r="CV222" s="293"/>
      <c r="CW222" s="293"/>
      <c r="CX222" s="293"/>
      <c r="CY222" s="293"/>
      <c r="CZ222" s="293"/>
      <c r="DA222" s="293"/>
      <c r="DB222" s="293"/>
      <c r="DC222" s="293"/>
      <c r="DD222" s="293"/>
      <c r="DE222" s="293"/>
      <c r="DF222" s="293"/>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Q1:R1"/>
    <mergeCell ref="S1:T1"/>
    <mergeCell ref="U1:V1"/>
    <mergeCell ref="W1:X1"/>
    <mergeCell ref="Y1:Z1"/>
    <mergeCell ref="C1:D1"/>
    <mergeCell ref="E1:F1"/>
    <mergeCell ref="G1:H1"/>
    <mergeCell ref="I1:J1"/>
    <mergeCell ref="K1:L1"/>
    <mergeCell ref="M1:N1"/>
    <mergeCell ref="O1:P1"/>
    <mergeCell ref="B2:B3"/>
  </mergeCells>
  <printOptions/>
  <pageMargins bottom="0.75" footer="0.0" header="0.0" left="0.7" right="0.7" top="0.75"/>
  <pageSetup orientation="portrait"/>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8.29"/>
    <col customWidth="1" min="4" max="4" width="15.14"/>
    <col customWidth="1" min="18" max="18" width="16.14"/>
  </cols>
  <sheetData>
    <row r="1">
      <c r="E1" s="385" t="s">
        <v>418</v>
      </c>
    </row>
    <row r="2">
      <c r="A2" s="386" t="s">
        <v>419</v>
      </c>
      <c r="B2" s="386" t="s">
        <v>420</v>
      </c>
      <c r="C2" s="386" t="s">
        <v>21</v>
      </c>
      <c r="D2" s="386" t="s">
        <v>421</v>
      </c>
      <c r="E2" s="386" t="s">
        <v>83</v>
      </c>
      <c r="F2" s="386" t="s">
        <v>84</v>
      </c>
      <c r="G2" s="386" t="s">
        <v>85</v>
      </c>
      <c r="H2" s="386" t="s">
        <v>86</v>
      </c>
      <c r="I2" s="386" t="s">
        <v>87</v>
      </c>
      <c r="J2" s="386" t="s">
        <v>88</v>
      </c>
      <c r="K2" s="386" t="s">
        <v>89</v>
      </c>
      <c r="L2" s="386" t="s">
        <v>90</v>
      </c>
      <c r="M2" s="386" t="s">
        <v>422</v>
      </c>
      <c r="N2" s="386" t="s">
        <v>92</v>
      </c>
      <c r="O2" s="386" t="s">
        <v>93</v>
      </c>
      <c r="P2" s="386" t="s">
        <v>94</v>
      </c>
      <c r="Q2" s="386" t="s">
        <v>423</v>
      </c>
      <c r="R2" s="155" t="s">
        <v>424</v>
      </c>
      <c r="S2" s="34" t="s">
        <v>425</v>
      </c>
      <c r="T2" s="34" t="s">
        <v>426</v>
      </c>
      <c r="U2" s="34"/>
    </row>
    <row r="3">
      <c r="A3" s="155">
        <v>-33.34335643</v>
      </c>
      <c r="B3" s="155">
        <v>-70.52466882</v>
      </c>
      <c r="C3" s="155" t="s">
        <v>22</v>
      </c>
      <c r="D3" s="247">
        <f t="array" ref="D3">XLOOKUP(C3,'HouseHolds per "comuna"'!$B$2:$B$40,'HouseHolds per "comuna"'!$C$2:$C$40)*0.15</f>
        <v>4034.1</v>
      </c>
      <c r="E3" s="247">
        <f>EOQ!$C$4*D3</f>
        <v>26290.63311</v>
      </c>
      <c r="F3" s="247">
        <f>D3*EOQ!$E$4</f>
        <v>20521.4667</v>
      </c>
      <c r="G3" s="247">
        <f>D3*EOQ!$G$4</f>
        <v>21423.08805</v>
      </c>
      <c r="H3" s="247">
        <f>D3*EOQ!$I$4</f>
        <v>18991.73598</v>
      </c>
      <c r="I3" s="247">
        <f>D3*EOQ!$K$4</f>
        <v>18142.96134</v>
      </c>
      <c r="J3" s="247">
        <f>D3*EOQ!$M$4</f>
        <v>15524.02362</v>
      </c>
      <c r="K3" s="247">
        <f>D3*EOQ!$O$4</f>
        <v>15911.29722</v>
      </c>
      <c r="L3" s="247">
        <f>D3*EOQ!$Q$4</f>
        <v>15954.05868</v>
      </c>
      <c r="M3" s="247">
        <f>D3*EOQ!$S$4</f>
        <v>13594.51359</v>
      </c>
      <c r="N3" s="247">
        <f>D3*EOQ!$U$4</f>
        <v>14548.57824</v>
      </c>
      <c r="O3" s="247">
        <f>D3*EOQ!$W$4</f>
        <v>17800.86966</v>
      </c>
      <c r="P3" s="247">
        <f>D3*EOQ!$Y$4</f>
        <v>17509.60764</v>
      </c>
      <c r="Q3" s="247">
        <f t="shared" ref="Q3:Q12" si="1">AVERAGE(E3:P3)</f>
        <v>18017.73615</v>
      </c>
      <c r="R3" s="155">
        <f t="shared" ref="R3:R12" si="2">Q3/2500</f>
        <v>7.207094461</v>
      </c>
      <c r="S3" s="387">
        <f t="shared" ref="S3:S11" si="3">Q3+Q14+Q25+Q36+Q47+Q58+Q69+Q80</f>
        <v>44897.04971</v>
      </c>
      <c r="T3" s="35">
        <f t="shared" ref="T3:T11" si="4">S3/4</f>
        <v>11224.26243</v>
      </c>
      <c r="U3" s="35">
        <f t="shared" ref="U3:U11" si="5">T3/20000</f>
        <v>0.5612131213</v>
      </c>
    </row>
    <row r="4">
      <c r="A4" s="155">
        <v>-33.42627012</v>
      </c>
      <c r="B4" s="155">
        <v>-70.54486003</v>
      </c>
      <c r="C4" s="155" t="s">
        <v>24</v>
      </c>
      <c r="D4" s="247">
        <f t="array" ref="D4">XLOOKUP(C4,'HouseHolds per "comuna"'!$B$2:$B$40,'HouseHolds per "comuna"'!$C$2:$C$40)*0.15</f>
        <v>16000.8</v>
      </c>
      <c r="E4" s="247">
        <f>EOQ!$C$4*D4</f>
        <v>104278.8137</v>
      </c>
      <c r="F4" s="247">
        <f>D4*EOQ!$E$4</f>
        <v>81396.0696</v>
      </c>
      <c r="G4" s="247">
        <f>D4*EOQ!$G$4</f>
        <v>84972.2484</v>
      </c>
      <c r="H4" s="247">
        <f>D4*EOQ!$I$4</f>
        <v>75328.56624</v>
      </c>
      <c r="I4" s="247">
        <f>D4*EOQ!$K$4</f>
        <v>71961.99792</v>
      </c>
      <c r="J4" s="247">
        <f>D4*EOQ!$M$4</f>
        <v>61574.27856</v>
      </c>
      <c r="K4" s="247">
        <f>D4*EOQ!$O$4</f>
        <v>63110.35536</v>
      </c>
      <c r="L4" s="247">
        <f>D4*EOQ!$Q$4</f>
        <v>63279.96384</v>
      </c>
      <c r="M4" s="247">
        <f>D4*EOQ!$S$4</f>
        <v>53921.09592</v>
      </c>
      <c r="N4" s="247">
        <f>D4*EOQ!$U$4</f>
        <v>57705.28512</v>
      </c>
      <c r="O4" s="247">
        <f>D4*EOQ!$W$4</f>
        <v>70605.13008</v>
      </c>
      <c r="P4" s="247">
        <f>D4*EOQ!$Y$4</f>
        <v>69449.87232</v>
      </c>
      <c r="Q4" s="247">
        <f t="shared" si="1"/>
        <v>71465.30642</v>
      </c>
      <c r="R4" s="155">
        <f t="shared" si="2"/>
        <v>28.58612257</v>
      </c>
      <c r="S4" s="387">
        <f t="shared" si="3"/>
        <v>178079.0543</v>
      </c>
      <c r="T4" s="35">
        <f t="shared" si="4"/>
        <v>44519.76357</v>
      </c>
      <c r="U4" s="35">
        <f t="shared" si="5"/>
        <v>2.225988179</v>
      </c>
    </row>
    <row r="5">
      <c r="A5" s="155">
        <v>-33.43795143</v>
      </c>
      <c r="B5" s="155">
        <v>-70.61132569</v>
      </c>
      <c r="C5" s="155" t="s">
        <v>26</v>
      </c>
      <c r="D5" s="247">
        <f t="array" ref="D5">XLOOKUP(C5,'HouseHolds per "comuna"'!$B$2:$B$40,'HouseHolds per "comuna"'!$C$2:$C$40)*0.15</f>
        <v>9332.25</v>
      </c>
      <c r="E5" s="247">
        <f>EOQ!$C$4*D5</f>
        <v>60819.20648</v>
      </c>
      <c r="F5" s="247">
        <f>D5*EOQ!$E$4</f>
        <v>47473.15575</v>
      </c>
      <c r="G5" s="247">
        <f>D5*EOQ!$G$4</f>
        <v>49558.91363</v>
      </c>
      <c r="H5" s="247">
        <f>D5*EOQ!$I$4</f>
        <v>43934.36655</v>
      </c>
      <c r="I5" s="247">
        <f>D5*EOQ!$K$4</f>
        <v>41970.86115</v>
      </c>
      <c r="J5" s="247">
        <f>D5*EOQ!$M$4</f>
        <v>35912.36445</v>
      </c>
      <c r="K5" s="247">
        <f>D5*EOQ!$O$4</f>
        <v>36808.26045</v>
      </c>
      <c r="L5" s="247">
        <f>D5*EOQ!$Q$4</f>
        <v>36907.1823</v>
      </c>
      <c r="M5" s="247">
        <f>D5*EOQ!$S$4</f>
        <v>31448.74928</v>
      </c>
      <c r="N5" s="247">
        <f>D5*EOQ!$U$4</f>
        <v>33655.8264</v>
      </c>
      <c r="O5" s="247">
        <f>D5*EOQ!$W$4</f>
        <v>41179.48635</v>
      </c>
      <c r="P5" s="247">
        <f>D5*EOQ!$Y$4</f>
        <v>40505.6979</v>
      </c>
      <c r="Q5" s="247">
        <f t="shared" si="1"/>
        <v>41681.17256</v>
      </c>
      <c r="R5" s="155">
        <f t="shared" si="2"/>
        <v>16.67246902</v>
      </c>
      <c r="S5" s="387">
        <f t="shared" si="3"/>
        <v>103862.1978</v>
      </c>
      <c r="T5" s="35">
        <f t="shared" si="4"/>
        <v>25965.54945</v>
      </c>
      <c r="U5" s="35">
        <f t="shared" si="5"/>
        <v>1.298277472</v>
      </c>
    </row>
    <row r="6">
      <c r="A6" s="155">
        <v>-33.38144958</v>
      </c>
      <c r="B6" s="155">
        <v>-70.56353561</v>
      </c>
      <c r="C6" s="155" t="s">
        <v>28</v>
      </c>
      <c r="D6" s="247">
        <f t="array" ref="D6">XLOOKUP(C6,'HouseHolds per "comuna"'!$B$2:$B$40,'HouseHolds per "comuna"'!$C$2:$C$40)*0.15</f>
        <v>4222.35</v>
      </c>
      <c r="E6" s="247">
        <f>EOQ!$C$4*D6</f>
        <v>27517.47719</v>
      </c>
      <c r="F6" s="247">
        <f>D6*EOQ!$E$4</f>
        <v>21479.09445</v>
      </c>
      <c r="G6" s="247">
        <f>D6*EOQ!$G$4</f>
        <v>22422.78968</v>
      </c>
      <c r="H6" s="247">
        <f>D6*EOQ!$I$4</f>
        <v>19877.97933</v>
      </c>
      <c r="I6" s="247">
        <f>D6*EOQ!$K$4</f>
        <v>18989.59689</v>
      </c>
      <c r="J6" s="247">
        <f>D6*EOQ!$M$4</f>
        <v>16248.44727</v>
      </c>
      <c r="K6" s="247">
        <f>D6*EOQ!$O$4</f>
        <v>16653.79287</v>
      </c>
      <c r="L6" s="247">
        <f>D6*EOQ!$Q$4</f>
        <v>16698.54978</v>
      </c>
      <c r="M6" s="247">
        <f>D6*EOQ!$S$4</f>
        <v>14228.89727</v>
      </c>
      <c r="N6" s="247">
        <f>D6*EOQ!$U$4</f>
        <v>15227.48304</v>
      </c>
      <c r="O6" s="247">
        <f>D6*EOQ!$W$4</f>
        <v>18631.54161</v>
      </c>
      <c r="P6" s="247">
        <f>D6*EOQ!$Y$4</f>
        <v>18326.68794</v>
      </c>
      <c r="Q6" s="247">
        <f t="shared" si="1"/>
        <v>18858.52811</v>
      </c>
      <c r="R6" s="155">
        <f t="shared" si="2"/>
        <v>7.543411244</v>
      </c>
      <c r="S6" s="387">
        <f t="shared" si="3"/>
        <v>46992.15632</v>
      </c>
      <c r="T6" s="35">
        <f t="shared" si="4"/>
        <v>11748.03908</v>
      </c>
      <c r="U6" s="35">
        <f t="shared" si="5"/>
        <v>0.5874019541</v>
      </c>
    </row>
    <row r="7">
      <c r="A7" s="155">
        <v>-33.42043054552</v>
      </c>
      <c r="B7" s="155">
        <v>-70.733744571828</v>
      </c>
      <c r="C7" s="155" t="s">
        <v>30</v>
      </c>
      <c r="D7" s="247">
        <f t="array" ref="D7">XLOOKUP(C7,'HouseHolds per "comuna"'!$B$2:$B$40,'HouseHolds per "comuna"'!$C$2:$C$40)*0.15</f>
        <v>5797.65</v>
      </c>
      <c r="E7" s="247">
        <f>EOQ!$C$4*D7</f>
        <v>37783.86482</v>
      </c>
      <c r="F7" s="247">
        <f>D7*EOQ!$E$4</f>
        <v>29492.64555</v>
      </c>
      <c r="G7" s="247">
        <f>D7*EOQ!$G$4</f>
        <v>30788.42033</v>
      </c>
      <c r="H7" s="247">
        <f>D7*EOQ!$I$4</f>
        <v>27294.17667</v>
      </c>
      <c r="I7" s="247">
        <f>D7*EOQ!$K$4</f>
        <v>26074.35111</v>
      </c>
      <c r="J7" s="247">
        <f>D7*EOQ!$M$4</f>
        <v>22310.51673</v>
      </c>
      <c r="K7" s="247">
        <f>D7*EOQ!$O$4</f>
        <v>22867.09113</v>
      </c>
      <c r="L7" s="247">
        <f>D7*EOQ!$Q$4</f>
        <v>22928.54622</v>
      </c>
      <c r="M7" s="247">
        <f>D7*EOQ!$S$4</f>
        <v>19537.50074</v>
      </c>
      <c r="N7" s="247">
        <f>D7*EOQ!$U$4</f>
        <v>20908.64496</v>
      </c>
      <c r="O7" s="247">
        <f>D7*EOQ!$W$4</f>
        <v>25582.71039</v>
      </c>
      <c r="P7" s="247">
        <f>D7*EOQ!$Y$4</f>
        <v>25164.12006</v>
      </c>
      <c r="Q7" s="247">
        <f t="shared" si="1"/>
        <v>25894.38239</v>
      </c>
      <c r="R7" s="155">
        <f t="shared" si="2"/>
        <v>10.35775296</v>
      </c>
      <c r="S7" s="387">
        <f t="shared" si="3"/>
        <v>64524.27561</v>
      </c>
      <c r="T7" s="35">
        <f t="shared" si="4"/>
        <v>16131.0689</v>
      </c>
      <c r="U7" s="35">
        <f t="shared" si="5"/>
        <v>0.8065534451</v>
      </c>
      <c r="V7" s="155" t="s">
        <v>427</v>
      </c>
    </row>
    <row r="8">
      <c r="A8" s="155">
        <v>-33.4799485636684</v>
      </c>
      <c r="B8" s="155">
        <v>-70.6611965188523</v>
      </c>
      <c r="C8" s="155" t="s">
        <v>32</v>
      </c>
      <c r="D8" s="247">
        <f t="array" ref="D8">XLOOKUP(C8,'HouseHolds per "comuna"'!$B$2:$B$40,'HouseHolds per "comuna"'!$C$2:$C$40)*0.15</f>
        <v>4488.15</v>
      </c>
      <c r="E8" s="247">
        <f>EOQ!$C$4*D8</f>
        <v>29249.72237</v>
      </c>
      <c r="F8" s="247">
        <f>D8*EOQ!$E$4</f>
        <v>22831.21905</v>
      </c>
      <c r="G8" s="247">
        <f>D8*EOQ!$G$4</f>
        <v>23834.32058</v>
      </c>
      <c r="H8" s="247">
        <f>D8*EOQ!$I$4</f>
        <v>21129.31257</v>
      </c>
      <c r="I8" s="247">
        <f>D8*EOQ!$K$4</f>
        <v>20185.00581</v>
      </c>
      <c r="J8" s="247">
        <f>D8*EOQ!$M$4</f>
        <v>17271.29883</v>
      </c>
      <c r="K8" s="247">
        <f>D8*EOQ!$O$4</f>
        <v>17702.16123</v>
      </c>
      <c r="L8" s="247">
        <f>D8*EOQ!$Q$4</f>
        <v>17749.73562</v>
      </c>
      <c r="M8" s="247">
        <f>D8*EOQ!$S$4</f>
        <v>15124.61669</v>
      </c>
      <c r="N8" s="247">
        <f>D8*EOQ!$U$4</f>
        <v>16186.06416</v>
      </c>
      <c r="O8" s="247">
        <f>D8*EOQ!$W$4</f>
        <v>19804.41069</v>
      </c>
      <c r="P8" s="247">
        <f>D8*EOQ!$Y$4</f>
        <v>19480.36626</v>
      </c>
      <c r="Q8" s="247">
        <f t="shared" si="1"/>
        <v>20045.68615</v>
      </c>
      <c r="R8" s="155">
        <f t="shared" si="2"/>
        <v>8.018274462</v>
      </c>
      <c r="S8" s="387">
        <f t="shared" si="3"/>
        <v>49950.3467</v>
      </c>
      <c r="T8" s="35">
        <f t="shared" si="4"/>
        <v>12487.58668</v>
      </c>
      <c r="U8" s="35">
        <f t="shared" si="5"/>
        <v>0.6243793338</v>
      </c>
      <c r="V8" s="155" t="s">
        <v>428</v>
      </c>
      <c r="W8" s="155"/>
      <c r="X8" s="155" t="s">
        <v>429</v>
      </c>
      <c r="Y8" s="155" t="s">
        <v>430</v>
      </c>
      <c r="Z8" s="155" t="s">
        <v>431</v>
      </c>
    </row>
    <row r="9">
      <c r="A9" s="155">
        <v>-33.5669161134897</v>
      </c>
      <c r="B9" s="155">
        <v>-70.6821206157262</v>
      </c>
      <c r="C9" s="155" t="s">
        <v>34</v>
      </c>
      <c r="D9" s="247">
        <f t="array" ref="D9">XLOOKUP(C9,'HouseHolds per "comuna"'!$B$2:$B$40,'HouseHolds per "comuna"'!$C$2:$C$40)*0.15</f>
        <v>7107.6</v>
      </c>
      <c r="E9" s="247">
        <f>EOQ!$C$4*D9</f>
        <v>46320.93996</v>
      </c>
      <c r="F9" s="247">
        <f>D9*EOQ!$E$4</f>
        <v>36156.3612</v>
      </c>
      <c r="G9" s="247">
        <f>D9*EOQ!$G$4</f>
        <v>37744.9098</v>
      </c>
      <c r="H9" s="247">
        <f>D9*EOQ!$I$4</f>
        <v>33461.15928</v>
      </c>
      <c r="I9" s="247">
        <f>D9*EOQ!$K$4</f>
        <v>31965.72024</v>
      </c>
      <c r="J9" s="247">
        <f>D9*EOQ!$M$4</f>
        <v>27351.46632</v>
      </c>
      <c r="K9" s="247">
        <f>D9*EOQ!$O$4</f>
        <v>28033.79592</v>
      </c>
      <c r="L9" s="247">
        <f>D9*EOQ!$Q$4</f>
        <v>28109.13648</v>
      </c>
      <c r="M9" s="247">
        <f>D9*EOQ!$S$4</f>
        <v>23951.90124</v>
      </c>
      <c r="N9" s="247">
        <f>D9*EOQ!$U$4</f>
        <v>25632.84864</v>
      </c>
      <c r="O9" s="247">
        <f>D9*EOQ!$W$4</f>
        <v>31362.99576</v>
      </c>
      <c r="P9" s="247">
        <f>D9*EOQ!$Y$4</f>
        <v>30849.82704</v>
      </c>
      <c r="Q9" s="247">
        <f t="shared" si="1"/>
        <v>31745.08849</v>
      </c>
      <c r="R9" s="155">
        <f t="shared" si="2"/>
        <v>12.6980354</v>
      </c>
      <c r="S9" s="387">
        <f t="shared" si="3"/>
        <v>79103.21273</v>
      </c>
      <c r="T9" s="35">
        <f t="shared" si="4"/>
        <v>19775.80318</v>
      </c>
      <c r="U9" s="35">
        <f t="shared" si="5"/>
        <v>0.9887901592</v>
      </c>
      <c r="V9" s="155" t="s">
        <v>22</v>
      </c>
      <c r="W9" s="155"/>
      <c r="X9" s="155">
        <v>1.2</v>
      </c>
      <c r="Y9" s="155">
        <f t="shared" ref="Y9:Y17" si="6">R3+R14+R25+R36+R47+R58+R69+R80</f>
        <v>17.95881988</v>
      </c>
      <c r="Z9" s="155">
        <f t="shared" ref="Z9:Z17" si="7">X9*Y9</f>
        <v>21.55058386</v>
      </c>
    </row>
    <row r="10">
      <c r="A10" s="155">
        <v>-33.5225565127023</v>
      </c>
      <c r="B10" s="155">
        <v>-70.7721740162419</v>
      </c>
      <c r="C10" s="155" t="s">
        <v>36</v>
      </c>
      <c r="D10" s="247">
        <f t="array" ref="D10">XLOOKUP(C10,'HouseHolds per "comuna"'!$B$2:$B$40,'HouseHolds per "comuna"'!$C$2:$C$40)*0.15</f>
        <v>23308.65</v>
      </c>
      <c r="E10" s="247">
        <f>EOQ!$C$4*D10</f>
        <v>151904.8029</v>
      </c>
      <c r="F10" s="247">
        <f>D10*EOQ!$E$4</f>
        <v>118571.1026</v>
      </c>
      <c r="G10" s="247">
        <f>D10*EOQ!$G$4</f>
        <v>123780.5858</v>
      </c>
      <c r="H10" s="247">
        <f>D10*EOQ!$I$4</f>
        <v>109732.4625</v>
      </c>
      <c r="I10" s="247">
        <f>D10*EOQ!$K$4</f>
        <v>104828.3225</v>
      </c>
      <c r="J10" s="247">
        <f>D10*EOQ!$M$4</f>
        <v>89696.34693</v>
      </c>
      <c r="K10" s="247">
        <f>D10*EOQ!$O$4</f>
        <v>91933.97733</v>
      </c>
      <c r="L10" s="247">
        <f>D10*EOQ!$Q$4</f>
        <v>92181.04902</v>
      </c>
      <c r="M10" s="247">
        <f>D10*EOQ!$S$4</f>
        <v>78547.81964</v>
      </c>
      <c r="N10" s="247">
        <f>D10*EOQ!$U$4</f>
        <v>84060.31536</v>
      </c>
      <c r="O10" s="247">
        <f>D10*EOQ!$W$4</f>
        <v>102851.749</v>
      </c>
      <c r="P10" s="247">
        <f>D10*EOQ!$Y$4</f>
        <v>101168.8645</v>
      </c>
      <c r="Q10" s="247">
        <f t="shared" si="1"/>
        <v>104104.7832</v>
      </c>
      <c r="R10" s="155">
        <f t="shared" si="2"/>
        <v>41.64191327</v>
      </c>
      <c r="S10" s="387">
        <f t="shared" si="3"/>
        <v>259410.9263</v>
      </c>
      <c r="T10" s="35">
        <f t="shared" si="4"/>
        <v>64852.73157</v>
      </c>
      <c r="U10" s="35">
        <f t="shared" si="5"/>
        <v>3.242636578</v>
      </c>
      <c r="V10" s="155" t="s">
        <v>24</v>
      </c>
      <c r="W10" s="155"/>
      <c r="X10" s="155">
        <v>1.2</v>
      </c>
      <c r="Y10" s="155">
        <f t="shared" si="6"/>
        <v>71.23162172</v>
      </c>
      <c r="Z10" s="155">
        <f t="shared" si="7"/>
        <v>85.47794606</v>
      </c>
    </row>
    <row r="11">
      <c r="A11" s="155">
        <v>-33.5389061820572</v>
      </c>
      <c r="B11" s="155">
        <v>-70.5892347989387</v>
      </c>
      <c r="C11" s="155" t="s">
        <v>38</v>
      </c>
      <c r="D11" s="247">
        <f t="array" ref="D11">XLOOKUP(C11,'HouseHolds per "comuna"'!$B$2:$B$40,'HouseHolds per "comuna"'!$C$2:$C$40)*0.15</f>
        <v>17274.15</v>
      </c>
      <c r="E11" s="247">
        <f>EOQ!$C$4*D11</f>
        <v>112577.363</v>
      </c>
      <c r="F11" s="247">
        <f>D11*EOQ!$E$4</f>
        <v>87873.60105</v>
      </c>
      <c r="G11" s="247">
        <f>D11*EOQ!$G$4</f>
        <v>91734.37358</v>
      </c>
      <c r="H11" s="247">
        <f>D11*EOQ!$I$4</f>
        <v>81323.24337</v>
      </c>
      <c r="I11" s="247">
        <f>D11*EOQ!$K$4</f>
        <v>77688.76221</v>
      </c>
      <c r="J11" s="247">
        <f>D11*EOQ!$M$4</f>
        <v>66474.38403</v>
      </c>
      <c r="K11" s="247">
        <f>D11*EOQ!$O$4</f>
        <v>68132.70243</v>
      </c>
      <c r="L11" s="247">
        <f>D11*EOQ!$Q$4</f>
        <v>68315.80842</v>
      </c>
      <c r="M11" s="247">
        <f>D11*EOQ!$S$4</f>
        <v>58212.15809</v>
      </c>
      <c r="N11" s="247">
        <f>D11*EOQ!$U$4</f>
        <v>62297.49456</v>
      </c>
      <c r="O11" s="247">
        <f>D11*EOQ!$W$4</f>
        <v>76223.91429</v>
      </c>
      <c r="P11" s="247">
        <f>D11*EOQ!$Y$4</f>
        <v>74976.72066</v>
      </c>
      <c r="Q11" s="247">
        <f t="shared" si="1"/>
        <v>77152.5438</v>
      </c>
      <c r="R11" s="155">
        <f t="shared" si="2"/>
        <v>30.86101752</v>
      </c>
      <c r="S11" s="387">
        <f t="shared" si="3"/>
        <v>192250.656</v>
      </c>
      <c r="T11" s="35">
        <f t="shared" si="4"/>
        <v>48062.66399</v>
      </c>
      <c r="U11" s="35">
        <f t="shared" si="5"/>
        <v>2.403133199</v>
      </c>
      <c r="V11" s="155" t="s">
        <v>26</v>
      </c>
      <c r="W11" s="155"/>
      <c r="X11" s="155">
        <v>1.2</v>
      </c>
      <c r="Y11" s="155">
        <f t="shared" si="6"/>
        <v>41.54487912</v>
      </c>
      <c r="Z11" s="155">
        <f t="shared" si="7"/>
        <v>49.85385494</v>
      </c>
    </row>
    <row r="12">
      <c r="A12" s="388">
        <v>-33.3681972446535</v>
      </c>
      <c r="B12" s="388">
        <v>-70.6341155197432</v>
      </c>
      <c r="C12" s="388" t="s">
        <v>402</v>
      </c>
      <c r="D12" s="389">
        <f t="array" ref="D12">XLOOKUP(C12,'HouseHolds per "comuna"'!$B$2:$B$40,'HouseHolds per "comuna"'!$C$2:$C$40)*0.15</f>
        <v>4195.65</v>
      </c>
      <c r="E12" s="389">
        <f>EOQ!$C$4*D12</f>
        <v>27343.47062</v>
      </c>
      <c r="F12" s="389">
        <f>D12*EOQ!$E$4</f>
        <v>21343.27155</v>
      </c>
      <c r="G12" s="389">
        <f>D12*EOQ!$G$4</f>
        <v>22280.99933</v>
      </c>
      <c r="H12" s="389">
        <f>D12*EOQ!$I$4</f>
        <v>19752.28107</v>
      </c>
      <c r="I12" s="389">
        <f>D12*EOQ!$K$4</f>
        <v>18869.51631</v>
      </c>
      <c r="J12" s="389">
        <f>D12*EOQ!$M$4</f>
        <v>16145.70033</v>
      </c>
      <c r="K12" s="389">
        <f>D12*EOQ!$O$4</f>
        <v>16548.48273</v>
      </c>
      <c r="L12" s="389">
        <f>D12*EOQ!$Q$4</f>
        <v>16592.95662</v>
      </c>
      <c r="M12" s="389">
        <f>D12*EOQ!$S$4</f>
        <v>14138.92094</v>
      </c>
      <c r="N12" s="389">
        <f>D12*EOQ!$U$4</f>
        <v>15131.19216</v>
      </c>
      <c r="O12" s="389">
        <f>D12*EOQ!$W$4</f>
        <v>18513.72519</v>
      </c>
      <c r="P12" s="389">
        <f>D12*EOQ!$Y$4</f>
        <v>18210.79926</v>
      </c>
      <c r="Q12" s="247">
        <f t="shared" si="1"/>
        <v>18739.27634</v>
      </c>
      <c r="R12" s="155">
        <f t="shared" si="2"/>
        <v>7.495710537</v>
      </c>
      <c r="V12" s="155" t="s">
        <v>28</v>
      </c>
      <c r="W12" s="155"/>
      <c r="X12" s="155">
        <v>1.2</v>
      </c>
      <c r="Y12" s="155">
        <f t="shared" si="6"/>
        <v>18.79686253</v>
      </c>
      <c r="Z12" s="155">
        <f t="shared" si="7"/>
        <v>22.55623504</v>
      </c>
    </row>
    <row r="13">
      <c r="A13" s="386"/>
      <c r="B13" s="386"/>
      <c r="C13" s="386" t="s">
        <v>23</v>
      </c>
      <c r="D13" s="247"/>
      <c r="E13" s="247"/>
      <c r="F13" s="247"/>
      <c r="G13" s="247"/>
      <c r="H13" s="247"/>
      <c r="I13" s="247"/>
      <c r="J13" s="247"/>
      <c r="K13" s="247"/>
      <c r="L13" s="247"/>
      <c r="M13" s="247"/>
      <c r="N13" s="247"/>
      <c r="O13" s="247"/>
      <c r="P13" s="247"/>
      <c r="R13" s="155"/>
      <c r="V13" s="155" t="s">
        <v>30</v>
      </c>
      <c r="W13" s="155"/>
      <c r="X13" s="155">
        <v>1.2</v>
      </c>
      <c r="Y13" s="155">
        <f t="shared" si="6"/>
        <v>25.80971024</v>
      </c>
      <c r="Z13" s="155">
        <f t="shared" si="7"/>
        <v>30.97165229</v>
      </c>
    </row>
    <row r="14">
      <c r="A14" s="155">
        <v>-33.34335643</v>
      </c>
      <c r="B14" s="155">
        <v>-70.52466882</v>
      </c>
      <c r="C14" s="155" t="s">
        <v>22</v>
      </c>
      <c r="D14" s="247">
        <f t="array" ref="D14">XLOOKUP(C14,'HouseHolds per "comuna"'!$B$2:$B$40,'HouseHolds per "comuna"'!$C$2:$C$40)*0.15</f>
        <v>4034.1</v>
      </c>
      <c r="E14" s="247">
        <f>EOQ!$C$5*D14</f>
        <v>10578.62043</v>
      </c>
      <c r="F14" s="247">
        <f>D14*EOQ!$E$5</f>
        <v>9486.58956</v>
      </c>
      <c r="G14" s="247">
        <f>D14*EOQ!$G$5</f>
        <v>12477.06789</v>
      </c>
      <c r="H14" s="247">
        <f>D14*EOQ!$I$5</f>
        <v>11887.28247</v>
      </c>
      <c r="I14" s="247">
        <f>D14*EOQ!$K$5</f>
        <v>13761.12192</v>
      </c>
      <c r="J14" s="247">
        <f>D14*EOQ!$M$5</f>
        <v>11394.31545</v>
      </c>
      <c r="K14" s="247">
        <f>D14*EOQ!$O$5</f>
        <v>9287.70843</v>
      </c>
      <c r="L14" s="247">
        <f>D14*EOQ!$Q$5</f>
        <v>14323.07205</v>
      </c>
      <c r="M14" s="247">
        <f>D14*EOQ!$S$5</f>
        <v>11584.32156</v>
      </c>
      <c r="N14" s="247">
        <f>D14*EOQ!$U$5</f>
        <v>11076.83178</v>
      </c>
      <c r="O14" s="247">
        <f>D14*EOQ!$W$5</f>
        <v>11230.9344</v>
      </c>
      <c r="P14" s="247">
        <f>D14*EOQ!$Y$5</f>
        <v>12959.14284</v>
      </c>
      <c r="Q14" s="247">
        <f t="shared" ref="Q14:Q23" si="8">AVERAGE(E14:P14)</f>
        <v>11670.58407</v>
      </c>
      <c r="R14" s="155">
        <f t="shared" ref="R14:R89" si="9">Q14/2500</f>
        <v>4.668233626</v>
      </c>
      <c r="T14" s="35">
        <f t="shared" ref="T14:T89" si="10">S14/4</f>
        <v>0</v>
      </c>
      <c r="V14" s="155" t="s">
        <v>32</v>
      </c>
      <c r="W14" s="155"/>
      <c r="X14" s="155">
        <v>1.2</v>
      </c>
      <c r="Y14" s="155">
        <f t="shared" si="6"/>
        <v>19.98013868</v>
      </c>
      <c r="Z14" s="155">
        <f t="shared" si="7"/>
        <v>23.97616642</v>
      </c>
    </row>
    <row r="15">
      <c r="A15" s="155">
        <v>-33.42627012</v>
      </c>
      <c r="B15" s="155">
        <v>-70.54486003</v>
      </c>
      <c r="C15" s="155" t="s">
        <v>24</v>
      </c>
      <c r="D15" s="247">
        <f t="array" ref="D15">XLOOKUP(C15,'HouseHolds per "comuna"'!$B$2:$B$40,'HouseHolds per "comuna"'!$C$2:$C$40)*0.15</f>
        <v>16000.8</v>
      </c>
      <c r="E15" s="247">
        <f>EOQ!$C$5*D15</f>
        <v>41958.89784</v>
      </c>
      <c r="F15" s="247">
        <f>D15*EOQ!$E$5</f>
        <v>37627.48128</v>
      </c>
      <c r="G15" s="247">
        <f>D15*EOQ!$G$5</f>
        <v>49488.87432</v>
      </c>
      <c r="H15" s="247">
        <f>D15*EOQ!$I$5</f>
        <v>47149.55736</v>
      </c>
      <c r="I15" s="247">
        <f>D15*EOQ!$K$5</f>
        <v>54581.92896</v>
      </c>
      <c r="J15" s="247">
        <f>D15*EOQ!$M$5</f>
        <v>45194.2596</v>
      </c>
      <c r="K15" s="247">
        <f>D15*EOQ!$O$5</f>
        <v>36838.64184</v>
      </c>
      <c r="L15" s="247">
        <f>D15*EOQ!$Q$5</f>
        <v>56810.8404</v>
      </c>
      <c r="M15" s="247">
        <f>D15*EOQ!$S$5</f>
        <v>45947.89728</v>
      </c>
      <c r="N15" s="247">
        <f>D15*EOQ!$U$5</f>
        <v>43934.99664</v>
      </c>
      <c r="O15" s="247">
        <f>D15*EOQ!$W$5</f>
        <v>44546.2272</v>
      </c>
      <c r="P15" s="247">
        <f>D15*EOQ!$Y$5</f>
        <v>51400.96992</v>
      </c>
      <c r="Q15" s="247">
        <f t="shared" si="8"/>
        <v>46290.04772</v>
      </c>
      <c r="R15" s="155">
        <f t="shared" si="9"/>
        <v>18.51601909</v>
      </c>
      <c r="T15" s="35">
        <f t="shared" si="10"/>
        <v>0</v>
      </c>
      <c r="V15" s="155" t="s">
        <v>34</v>
      </c>
      <c r="W15" s="155"/>
      <c r="X15" s="155">
        <v>1.2</v>
      </c>
      <c r="Y15" s="155">
        <f t="shared" si="6"/>
        <v>31.64128509</v>
      </c>
      <c r="Z15" s="155">
        <f t="shared" si="7"/>
        <v>37.96954211</v>
      </c>
    </row>
    <row r="16">
      <c r="A16" s="155">
        <v>-33.43795143</v>
      </c>
      <c r="B16" s="155">
        <v>-70.61132569</v>
      </c>
      <c r="C16" s="155" t="s">
        <v>26</v>
      </c>
      <c r="D16" s="247">
        <f t="array" ref="D16">XLOOKUP(C16,'HouseHolds per "comuna"'!$B$2:$B$40,'HouseHolds per "comuna"'!$C$2:$C$40)*0.15</f>
        <v>9332.25</v>
      </c>
      <c r="E16" s="247">
        <f>EOQ!$C$5*D16</f>
        <v>24471.95918</v>
      </c>
      <c r="F16" s="247">
        <f>D16*EOQ!$E$5</f>
        <v>21945.7191</v>
      </c>
      <c r="G16" s="247">
        <f>D16*EOQ!$G$5</f>
        <v>28863.71603</v>
      </c>
      <c r="H16" s="247">
        <f>D16*EOQ!$I$5</f>
        <v>27499.34108</v>
      </c>
      <c r="I16" s="247">
        <f>D16*EOQ!$K$5</f>
        <v>31834.1712</v>
      </c>
      <c r="J16" s="247">
        <f>D16*EOQ!$M$5</f>
        <v>26358.94013</v>
      </c>
      <c r="K16" s="247">
        <f>D16*EOQ!$O$5</f>
        <v>21485.63918</v>
      </c>
      <c r="L16" s="247">
        <f>D16*EOQ!$Q$5</f>
        <v>33134.15363</v>
      </c>
      <c r="M16" s="247">
        <f>D16*EOQ!$S$5</f>
        <v>26798.4891</v>
      </c>
      <c r="N16" s="247">
        <f>D16*EOQ!$U$5</f>
        <v>25624.49205</v>
      </c>
      <c r="O16" s="247">
        <f>D16*EOQ!$W$5</f>
        <v>25980.984</v>
      </c>
      <c r="P16" s="247">
        <f>D16*EOQ!$Y$5</f>
        <v>29978.9199</v>
      </c>
      <c r="Q16" s="247">
        <f t="shared" si="8"/>
        <v>26998.04371</v>
      </c>
      <c r="R16" s="155">
        <f t="shared" si="9"/>
        <v>10.79921749</v>
      </c>
      <c r="T16" s="35">
        <f t="shared" si="10"/>
        <v>0</v>
      </c>
      <c r="V16" s="155" t="s">
        <v>36</v>
      </c>
      <c r="W16" s="155"/>
      <c r="X16" s="155">
        <v>1.2</v>
      </c>
      <c r="Y16" s="155">
        <f t="shared" si="6"/>
        <v>103.7643705</v>
      </c>
      <c r="Z16" s="155">
        <f t="shared" si="7"/>
        <v>124.5172446</v>
      </c>
    </row>
    <row r="17">
      <c r="A17" s="155">
        <v>-33.38144958</v>
      </c>
      <c r="B17" s="155">
        <v>-70.56353561</v>
      </c>
      <c r="C17" s="155" t="s">
        <v>28</v>
      </c>
      <c r="D17" s="247">
        <f t="array" ref="D17">XLOOKUP(C17,'HouseHolds per "comuna"'!$B$2:$B$40,'HouseHolds per "comuna"'!$C$2:$C$40)*0.15</f>
        <v>4222.35</v>
      </c>
      <c r="E17" s="247">
        <f>EOQ!$C$5*D17</f>
        <v>11072.26841</v>
      </c>
      <c r="F17" s="247">
        <f>D17*EOQ!$E$5</f>
        <v>9929.27826</v>
      </c>
      <c r="G17" s="247">
        <f>D17*EOQ!$G$5</f>
        <v>13059.30632</v>
      </c>
      <c r="H17" s="247">
        <f>D17*EOQ!$I$5</f>
        <v>12441.99875</v>
      </c>
      <c r="I17" s="247">
        <f>D17*EOQ!$K$5</f>
        <v>14403.28032</v>
      </c>
      <c r="J17" s="247">
        <f>D17*EOQ!$M$5</f>
        <v>11926.02758</v>
      </c>
      <c r="K17" s="247">
        <f>D17*EOQ!$O$5</f>
        <v>9721.116405</v>
      </c>
      <c r="L17" s="247">
        <f>D17*EOQ!$Q$5</f>
        <v>14991.45368</v>
      </c>
      <c r="M17" s="247">
        <f>D17*EOQ!$S$5</f>
        <v>12124.90026</v>
      </c>
      <c r="N17" s="247">
        <f>D17*EOQ!$U$5</f>
        <v>11593.72863</v>
      </c>
      <c r="O17" s="247">
        <f>D17*EOQ!$W$5</f>
        <v>11755.0224</v>
      </c>
      <c r="P17" s="247">
        <f>D17*EOQ!$Y$5</f>
        <v>13563.87714</v>
      </c>
      <c r="Q17" s="247">
        <f t="shared" si="8"/>
        <v>12215.18818</v>
      </c>
      <c r="R17" s="155">
        <f t="shared" si="9"/>
        <v>4.886075271</v>
      </c>
      <c r="T17" s="35">
        <f t="shared" si="10"/>
        <v>0</v>
      </c>
      <c r="V17" s="155" t="s">
        <v>38</v>
      </c>
      <c r="W17" s="155"/>
      <c r="X17" s="155">
        <v>1.2</v>
      </c>
      <c r="Y17" s="155">
        <f t="shared" si="6"/>
        <v>76.90026238</v>
      </c>
      <c r="Z17" s="155">
        <f t="shared" si="7"/>
        <v>92.28031486</v>
      </c>
    </row>
    <row r="18">
      <c r="A18" s="155">
        <v>-33.42043054552</v>
      </c>
      <c r="B18" s="155">
        <v>-70.733744571828</v>
      </c>
      <c r="C18" s="155" t="s">
        <v>30</v>
      </c>
      <c r="D18" s="247">
        <f t="array" ref="D18">XLOOKUP(C18,'HouseHolds per "comuna"'!$B$2:$B$40,'HouseHolds per "comuna"'!$C$2:$C$40)*0.15</f>
        <v>5797.65</v>
      </c>
      <c r="E18" s="247">
        <f>EOQ!$C$5*D18</f>
        <v>15203.1776</v>
      </c>
      <c r="F18" s="247">
        <f>D18*EOQ!$E$5</f>
        <v>13633.75374</v>
      </c>
      <c r="G18" s="247">
        <f>D18*EOQ!$G$5</f>
        <v>17931.55169</v>
      </c>
      <c r="H18" s="247">
        <f>D18*EOQ!$I$5</f>
        <v>17083.93526</v>
      </c>
      <c r="I18" s="247">
        <f>D18*EOQ!$K$5</f>
        <v>19776.94368</v>
      </c>
      <c r="J18" s="247">
        <f>D18*EOQ!$M$5</f>
        <v>16375.46243</v>
      </c>
      <c r="K18" s="247">
        <f>D18*EOQ!$O$5</f>
        <v>13347.9296</v>
      </c>
      <c r="L18" s="247">
        <f>D18*EOQ!$Q$5</f>
        <v>20584.55633</v>
      </c>
      <c r="M18" s="247">
        <f>D18*EOQ!$S$5</f>
        <v>16648.53174</v>
      </c>
      <c r="N18" s="247">
        <f>D18*EOQ!$U$5</f>
        <v>15919.18737</v>
      </c>
      <c r="O18" s="247">
        <f>D18*EOQ!$W$5</f>
        <v>16140.6576</v>
      </c>
      <c r="P18" s="247">
        <f>D18*EOQ!$Y$5</f>
        <v>18624.37086</v>
      </c>
      <c r="Q18" s="247">
        <f t="shared" si="8"/>
        <v>16772.50482</v>
      </c>
      <c r="R18" s="155">
        <f t="shared" si="9"/>
        <v>6.709001929</v>
      </c>
      <c r="T18" s="35">
        <f t="shared" si="10"/>
        <v>0</v>
      </c>
    </row>
    <row r="19">
      <c r="A19" s="155">
        <v>-33.4799485636684</v>
      </c>
      <c r="B19" s="155">
        <v>-70.6611965188523</v>
      </c>
      <c r="C19" s="155" t="s">
        <v>32</v>
      </c>
      <c r="D19" s="247">
        <f t="array" ref="D19">XLOOKUP(C19,'HouseHolds per "comuna"'!$B$2:$B$40,'HouseHolds per "comuna"'!$C$2:$C$40)*0.15</f>
        <v>4488.15</v>
      </c>
      <c r="E19" s="247">
        <f>EOQ!$C$5*D19</f>
        <v>11769.27575</v>
      </c>
      <c r="F19" s="247">
        <f>D19*EOQ!$E$5</f>
        <v>10554.33354</v>
      </c>
      <c r="G19" s="247">
        <f>D19*EOQ!$G$5</f>
        <v>13881.39914</v>
      </c>
      <c r="H19" s="247">
        <f>D19*EOQ!$I$5</f>
        <v>13225.23161</v>
      </c>
      <c r="I19" s="247">
        <f>D19*EOQ!$K$5</f>
        <v>15309.97728</v>
      </c>
      <c r="J19" s="247">
        <f>D19*EOQ!$M$5</f>
        <v>12676.77968</v>
      </c>
      <c r="K19" s="247">
        <f>D19*EOQ!$O$5</f>
        <v>10333.06775</v>
      </c>
      <c r="L19" s="247">
        <f>D19*EOQ!$Q$5</f>
        <v>15935.17658</v>
      </c>
      <c r="M19" s="247">
        <f>D19*EOQ!$S$5</f>
        <v>12888.17154</v>
      </c>
      <c r="N19" s="247">
        <f>D19*EOQ!$U$5</f>
        <v>12323.56227</v>
      </c>
      <c r="O19" s="247">
        <f>D19*EOQ!$W$5</f>
        <v>12495.0096</v>
      </c>
      <c r="P19" s="247">
        <f>D19*EOQ!$Y$5</f>
        <v>14417.73306</v>
      </c>
      <c r="Q19" s="247">
        <f t="shared" si="8"/>
        <v>12984.14315</v>
      </c>
      <c r="R19" s="155">
        <f t="shared" si="9"/>
        <v>5.193657259</v>
      </c>
      <c r="T19" s="35">
        <f t="shared" si="10"/>
        <v>0</v>
      </c>
    </row>
    <row r="20">
      <c r="A20" s="155">
        <v>-33.5669161134897</v>
      </c>
      <c r="B20" s="155">
        <v>-70.6821206157262</v>
      </c>
      <c r="C20" s="155" t="s">
        <v>34</v>
      </c>
      <c r="D20" s="247">
        <f t="array" ref="D20">XLOOKUP(C20,'HouseHolds per "comuna"'!$B$2:$B$40,'HouseHolds per "comuna"'!$C$2:$C$40)*0.15</f>
        <v>7107.6</v>
      </c>
      <c r="E20" s="247">
        <f>EOQ!$C$5*D20</f>
        <v>18638.25948</v>
      </c>
      <c r="F20" s="247">
        <f>D20*EOQ!$E$5</f>
        <v>16714.23216</v>
      </c>
      <c r="G20" s="247">
        <f>D20*EOQ!$G$5</f>
        <v>21983.09604</v>
      </c>
      <c r="H20" s="247">
        <f>D20*EOQ!$I$5</f>
        <v>20943.96492</v>
      </c>
      <c r="I20" s="247">
        <f>D20*EOQ!$K$5</f>
        <v>24245.44512</v>
      </c>
      <c r="J20" s="247">
        <f>D20*EOQ!$M$5</f>
        <v>20075.4162</v>
      </c>
      <c r="K20" s="247">
        <f>D20*EOQ!$O$5</f>
        <v>16363.82748</v>
      </c>
      <c r="L20" s="247">
        <f>D20*EOQ!$Q$5</f>
        <v>25235.5338</v>
      </c>
      <c r="M20" s="247">
        <f>D20*EOQ!$S$5</f>
        <v>20410.18416</v>
      </c>
      <c r="N20" s="247">
        <f>D20*EOQ!$U$5</f>
        <v>19516.04808</v>
      </c>
      <c r="O20" s="247">
        <f>D20*EOQ!$W$5</f>
        <v>19787.5584</v>
      </c>
      <c r="P20" s="247">
        <f>D20*EOQ!$Y$5</f>
        <v>22832.45424</v>
      </c>
      <c r="Q20" s="247">
        <f t="shared" si="8"/>
        <v>20562.16834</v>
      </c>
      <c r="R20" s="155">
        <f t="shared" si="9"/>
        <v>8.224867336</v>
      </c>
      <c r="T20" s="35">
        <f t="shared" si="10"/>
        <v>0</v>
      </c>
    </row>
    <row r="21">
      <c r="A21" s="155">
        <v>-33.5225565127023</v>
      </c>
      <c r="B21" s="155">
        <v>-70.7721740162419</v>
      </c>
      <c r="C21" s="155" t="s">
        <v>36</v>
      </c>
      <c r="D21" s="247">
        <f t="array" ref="D21">XLOOKUP(C21,'HouseHolds per "comuna"'!$B$2:$B$40,'HouseHolds per "comuna"'!$C$2:$C$40)*0.15</f>
        <v>23308.65</v>
      </c>
      <c r="E21" s="247">
        <f>EOQ!$C$5*D21</f>
        <v>61122.2729</v>
      </c>
      <c r="F21" s="247">
        <f>D21*EOQ!$E$5</f>
        <v>54812.62134</v>
      </c>
      <c r="G21" s="247">
        <f>D21*EOQ!$G$5</f>
        <v>72091.32359</v>
      </c>
      <c r="H21" s="247">
        <f>D21*EOQ!$I$5</f>
        <v>68683.59896</v>
      </c>
      <c r="I21" s="247">
        <f>D21*EOQ!$K$5</f>
        <v>79510.46688</v>
      </c>
      <c r="J21" s="247">
        <f>D21*EOQ!$M$5</f>
        <v>65835.28193</v>
      </c>
      <c r="K21" s="247">
        <f>D21*EOQ!$O$5</f>
        <v>53663.5049</v>
      </c>
      <c r="L21" s="247">
        <f>D21*EOQ!$Q$5</f>
        <v>82757.36183</v>
      </c>
      <c r="M21" s="247">
        <f>D21*EOQ!$S$5</f>
        <v>66933.11934</v>
      </c>
      <c r="N21" s="247">
        <f>D21*EOQ!$U$5</f>
        <v>64000.89117</v>
      </c>
      <c r="O21" s="247">
        <f>D21*EOQ!$W$5</f>
        <v>64891.2816</v>
      </c>
      <c r="P21" s="247">
        <f>D21*EOQ!$Y$5</f>
        <v>74876.70726</v>
      </c>
      <c r="Q21" s="247">
        <f t="shared" si="8"/>
        <v>67431.53597</v>
      </c>
      <c r="R21" s="155">
        <f t="shared" si="9"/>
        <v>26.97261439</v>
      </c>
      <c r="T21" s="35">
        <f t="shared" si="10"/>
        <v>0</v>
      </c>
    </row>
    <row r="22">
      <c r="A22" s="155">
        <v>-33.5389061820572</v>
      </c>
      <c r="B22" s="155">
        <v>-70.5892347989387</v>
      </c>
      <c r="C22" s="155" t="s">
        <v>38</v>
      </c>
      <c r="D22" s="247">
        <f t="array" ref="D22">XLOOKUP(C22,'HouseHolds per "comuna"'!$B$2:$B$40,'HouseHolds per "comuna"'!$C$2:$C$40)*0.15</f>
        <v>17274.15</v>
      </c>
      <c r="E22" s="247">
        <f>EOQ!$C$5*D22</f>
        <v>45298.00355</v>
      </c>
      <c r="F22" s="247">
        <f>D22*EOQ!$E$5</f>
        <v>40621.89114</v>
      </c>
      <c r="G22" s="247">
        <f>D22*EOQ!$G$5</f>
        <v>53427.21854</v>
      </c>
      <c r="H22" s="247">
        <f>D22*EOQ!$I$5</f>
        <v>50901.73781</v>
      </c>
      <c r="I22" s="247">
        <f>D22*EOQ!$K$5</f>
        <v>58925.58048</v>
      </c>
      <c r="J22" s="247">
        <f>D22*EOQ!$M$5</f>
        <v>48790.83668</v>
      </c>
      <c r="K22" s="247">
        <f>D22*EOQ!$O$5</f>
        <v>39770.27555</v>
      </c>
      <c r="L22" s="247">
        <f>D22*EOQ!$Q$5</f>
        <v>61331.86958</v>
      </c>
      <c r="M22" s="247">
        <f>D22*EOQ!$S$5</f>
        <v>49604.44914</v>
      </c>
      <c r="N22" s="247">
        <f>D22*EOQ!$U$5</f>
        <v>47431.36107</v>
      </c>
      <c r="O22" s="247">
        <f>D22*EOQ!$W$5</f>
        <v>48091.2336</v>
      </c>
      <c r="P22" s="247">
        <f>D22*EOQ!$Y$5</f>
        <v>55491.47946</v>
      </c>
      <c r="Q22" s="247">
        <f t="shared" si="8"/>
        <v>49973.82805</v>
      </c>
      <c r="R22" s="155">
        <f t="shared" si="9"/>
        <v>19.98953122</v>
      </c>
      <c r="T22" s="35">
        <f t="shared" si="10"/>
        <v>0</v>
      </c>
    </row>
    <row r="23">
      <c r="A23" s="388">
        <v>-33.3681972446535</v>
      </c>
      <c r="B23" s="388">
        <v>-70.6341155197432</v>
      </c>
      <c r="C23" s="388" t="s">
        <v>402</v>
      </c>
      <c r="D23" s="389">
        <f t="array" ref="D23">XLOOKUP(C23,'HouseHolds per "comuna"'!$B$2:$B$40,'HouseHolds per "comuna"'!$C$2:$C$40)*0.15</f>
        <v>4195.65</v>
      </c>
      <c r="E23" s="389">
        <f>EOQ!$C$5*D23</f>
        <v>11002.253</v>
      </c>
      <c r="F23" s="389">
        <f>D23*EOQ!$E$5</f>
        <v>9866.49054</v>
      </c>
      <c r="G23" s="389">
        <f>D23*EOQ!$G$5</f>
        <v>12976.72589</v>
      </c>
      <c r="H23" s="389">
        <f>D23*EOQ!$I$5</f>
        <v>12363.32186</v>
      </c>
      <c r="I23" s="389">
        <f>D23*EOQ!$K$5</f>
        <v>14312.20128</v>
      </c>
      <c r="J23" s="389">
        <f>D23*EOQ!$M$5</f>
        <v>11850.61343</v>
      </c>
      <c r="K23" s="389">
        <f>D23*EOQ!$O$5</f>
        <v>9659.644995</v>
      </c>
      <c r="L23" s="389">
        <f>D23*EOQ!$Q$5</f>
        <v>14896.65533</v>
      </c>
      <c r="M23" s="389">
        <f>D23*EOQ!$S$5</f>
        <v>12048.22854</v>
      </c>
      <c r="N23" s="389">
        <f>D23*EOQ!$U$5</f>
        <v>11520.41577</v>
      </c>
      <c r="O23" s="389">
        <f>D23*EOQ!$W$5</f>
        <v>11680.6896</v>
      </c>
      <c r="P23" s="389">
        <f>D23*EOQ!$Y$5</f>
        <v>13478.10606</v>
      </c>
      <c r="Q23" s="247">
        <f t="shared" si="8"/>
        <v>12137.94552</v>
      </c>
      <c r="R23" s="155">
        <f t="shared" si="9"/>
        <v>4.855178209</v>
      </c>
      <c r="T23" s="35">
        <f t="shared" si="10"/>
        <v>0</v>
      </c>
    </row>
    <row r="24">
      <c r="C24" s="386" t="s">
        <v>25</v>
      </c>
      <c r="D24" s="247"/>
      <c r="E24" s="247"/>
      <c r="F24" s="247"/>
      <c r="G24" s="247"/>
      <c r="H24" s="247"/>
      <c r="I24" s="247"/>
      <c r="J24" s="247"/>
      <c r="K24" s="247"/>
      <c r="L24" s="247"/>
      <c r="M24" s="247"/>
      <c r="N24" s="247"/>
      <c r="O24" s="247"/>
      <c r="P24" s="247"/>
      <c r="R24" s="155">
        <f t="shared" si="9"/>
        <v>0</v>
      </c>
      <c r="T24" s="35">
        <f t="shared" si="10"/>
        <v>0</v>
      </c>
    </row>
    <row r="25">
      <c r="A25" s="155">
        <v>-33.34335643</v>
      </c>
      <c r="B25" s="155">
        <v>-70.52466882</v>
      </c>
      <c r="C25" s="155" t="s">
        <v>22</v>
      </c>
      <c r="D25" s="247">
        <f t="array" ref="D25">XLOOKUP(C25,'HouseHolds per "comuna"'!$B$2:$B$40,'HouseHolds per "comuna"'!$C$2:$C$40)*0.15</f>
        <v>4034.1</v>
      </c>
      <c r="E25" s="247">
        <f>EOQ!$C$6*D25</f>
        <v>1273.56537</v>
      </c>
      <c r="F25" s="247">
        <f>D25*EOQ!$F$6</f>
        <v>1992.678639</v>
      </c>
      <c r="G25" s="247">
        <f>D25*EOQ!$G$6</f>
        <v>1471.23627</v>
      </c>
      <c r="H25" s="247">
        <f>D25*EOQ!$I$6</f>
        <v>1603.55475</v>
      </c>
      <c r="I25" s="247">
        <f>D25*EOQ!$K$6</f>
        <v>1889.97585</v>
      </c>
      <c r="J25" s="247">
        <f>D25*EOQ!$M$6</f>
        <v>1820.99274</v>
      </c>
      <c r="K25" s="247">
        <f>D25*EOQ!$O$6</f>
        <v>1897.64064</v>
      </c>
      <c r="L25" s="247">
        <f>D25*EOQ!$Q$6</f>
        <v>1675.76514</v>
      </c>
      <c r="M25" s="247">
        <f>D25*EOQ!$S$6</f>
        <v>1443.80439</v>
      </c>
      <c r="N25" s="247">
        <f>D25*EOQ!$U$6</f>
        <v>1936.368</v>
      </c>
      <c r="O25" s="247">
        <f>D25*EOQ!$W$6</f>
        <v>1831.88481</v>
      </c>
      <c r="P25" s="247">
        <f>D25*EOQ!$Y$6</f>
        <v>1552.72509</v>
      </c>
      <c r="Q25" s="247">
        <f t="shared" ref="Q25:Q34" si="11">AVERAGE(E25:P25)</f>
        <v>1699.182641</v>
      </c>
      <c r="R25" s="155">
        <f t="shared" si="9"/>
        <v>0.6796730563</v>
      </c>
      <c r="T25" s="35">
        <f t="shared" si="10"/>
        <v>0</v>
      </c>
    </row>
    <row r="26">
      <c r="A26" s="155">
        <v>-33.42627012</v>
      </c>
      <c r="B26" s="155">
        <v>-70.54486003</v>
      </c>
      <c r="C26" s="155" t="s">
        <v>24</v>
      </c>
      <c r="D26" s="247">
        <f t="array" ref="D26">XLOOKUP(C26,'HouseHolds per "comuna"'!$B$2:$B$40,'HouseHolds per "comuna"'!$C$2:$C$40)*0.15</f>
        <v>16000.8</v>
      </c>
      <c r="E26" s="247">
        <f>EOQ!$C$6*D26</f>
        <v>5051.45256</v>
      </c>
      <c r="F26" s="247">
        <f>D26*EOQ!$F$6</f>
        <v>7903.733763</v>
      </c>
      <c r="G26" s="247">
        <f>D26*EOQ!$G$6</f>
        <v>5835.49176</v>
      </c>
      <c r="H26" s="247">
        <f>D26*EOQ!$I$6</f>
        <v>6360.318</v>
      </c>
      <c r="I26" s="247">
        <f>D26*EOQ!$K$6</f>
        <v>7496.3748</v>
      </c>
      <c r="J26" s="247">
        <f>D26*EOQ!$M$6</f>
        <v>7222.76112</v>
      </c>
      <c r="K26" s="247">
        <f>D26*EOQ!$O$6</f>
        <v>7526.77632</v>
      </c>
      <c r="L26" s="247">
        <f>D26*EOQ!$Q$6</f>
        <v>6646.73232</v>
      </c>
      <c r="M26" s="247">
        <f>D26*EOQ!$S$6</f>
        <v>5726.68632</v>
      </c>
      <c r="N26" s="247">
        <f>D26*EOQ!$U$6</f>
        <v>7680.384</v>
      </c>
      <c r="O26" s="247">
        <f>D26*EOQ!$W$6</f>
        <v>7265.96328</v>
      </c>
      <c r="P26" s="247">
        <f>D26*EOQ!$Y$6</f>
        <v>6158.70792</v>
      </c>
      <c r="Q26" s="247">
        <f t="shared" si="11"/>
        <v>6739.61518</v>
      </c>
      <c r="R26" s="155">
        <f t="shared" si="9"/>
        <v>2.695846072</v>
      </c>
      <c r="T26" s="35">
        <f t="shared" si="10"/>
        <v>0</v>
      </c>
    </row>
    <row r="27">
      <c r="A27" s="155">
        <v>-33.43795143</v>
      </c>
      <c r="B27" s="155">
        <v>-70.61132569</v>
      </c>
      <c r="C27" s="155" t="s">
        <v>26</v>
      </c>
      <c r="D27" s="247">
        <f t="array" ref="D27">XLOOKUP(C27,'HouseHolds per "comuna"'!$B$2:$B$40,'HouseHolds per "comuna"'!$C$2:$C$40)*0.15</f>
        <v>9332.25</v>
      </c>
      <c r="E27" s="247">
        <f>EOQ!$C$6*D27</f>
        <v>2946.191325</v>
      </c>
      <c r="F27" s="247">
        <f>D27*EOQ!$F$6</f>
        <v>4609.745726</v>
      </c>
      <c r="G27" s="247">
        <f>D27*EOQ!$G$6</f>
        <v>3403.471575</v>
      </c>
      <c r="H27" s="247">
        <f>D27*EOQ!$I$6</f>
        <v>3709.569375</v>
      </c>
      <c r="I27" s="247">
        <f>D27*EOQ!$K$6</f>
        <v>4372.159125</v>
      </c>
      <c r="J27" s="247">
        <f>D27*EOQ!$M$6</f>
        <v>4212.57765</v>
      </c>
      <c r="K27" s="247">
        <f>D27*EOQ!$O$6</f>
        <v>4389.8904</v>
      </c>
      <c r="L27" s="247">
        <f>D27*EOQ!$Q$6</f>
        <v>3876.61665</v>
      </c>
      <c r="M27" s="247">
        <f>D27*EOQ!$S$6</f>
        <v>3340.012275</v>
      </c>
      <c r="N27" s="247">
        <f>D27*EOQ!$U$6</f>
        <v>4479.48</v>
      </c>
      <c r="O27" s="247">
        <f>D27*EOQ!$W$6</f>
        <v>4237.774725</v>
      </c>
      <c r="P27" s="247">
        <f>D27*EOQ!$Y$6</f>
        <v>3591.983025</v>
      </c>
      <c r="Q27" s="247">
        <f t="shared" si="11"/>
        <v>3930.789321</v>
      </c>
      <c r="R27" s="155">
        <f t="shared" si="9"/>
        <v>1.572315728</v>
      </c>
      <c r="T27" s="35">
        <f t="shared" si="10"/>
        <v>0</v>
      </c>
    </row>
    <row r="28">
      <c r="A28" s="155">
        <v>-33.38144958</v>
      </c>
      <c r="B28" s="155">
        <v>-70.56353561</v>
      </c>
      <c r="C28" s="155" t="s">
        <v>28</v>
      </c>
      <c r="D28" s="247">
        <f t="array" ref="D28">XLOOKUP(C28,'HouseHolds per "comuna"'!$B$2:$B$40,'HouseHolds per "comuna"'!$C$2:$C$40)*0.15</f>
        <v>4222.35</v>
      </c>
      <c r="E28" s="247">
        <f>EOQ!$C$6*D28</f>
        <v>1332.995895</v>
      </c>
      <c r="F28" s="247">
        <f>D28*EOQ!$F$6</f>
        <v>2085.666358</v>
      </c>
      <c r="G28" s="247">
        <f>D28*EOQ!$G$6</f>
        <v>1539.891045</v>
      </c>
      <c r="H28" s="247">
        <f>D28*EOQ!$I$6</f>
        <v>1678.384125</v>
      </c>
      <c r="I28" s="247">
        <f>D28*EOQ!$K$6</f>
        <v>1978.170975</v>
      </c>
      <c r="J28" s="247">
        <f>D28*EOQ!$M$6</f>
        <v>1905.96879</v>
      </c>
      <c r="K28" s="247">
        <f>D28*EOQ!$O$6</f>
        <v>1986.19344</v>
      </c>
      <c r="L28" s="247">
        <f>D28*EOQ!$Q$6</f>
        <v>1753.96419</v>
      </c>
      <c r="M28" s="247">
        <f>D28*EOQ!$S$6</f>
        <v>1511.179065</v>
      </c>
      <c r="N28" s="247">
        <f>D28*EOQ!$U$6</f>
        <v>2026.728</v>
      </c>
      <c r="O28" s="247">
        <f>D28*EOQ!$W$6</f>
        <v>1917.369135</v>
      </c>
      <c r="P28" s="247">
        <f>D28*EOQ!$Y$6</f>
        <v>1625.182515</v>
      </c>
      <c r="Q28" s="247">
        <f t="shared" si="11"/>
        <v>1778.474461</v>
      </c>
      <c r="R28" s="155">
        <f t="shared" si="9"/>
        <v>0.7113897844</v>
      </c>
      <c r="T28" s="35">
        <f t="shared" si="10"/>
        <v>0</v>
      </c>
    </row>
    <row r="29">
      <c r="A29" s="155">
        <v>-33.42043054552</v>
      </c>
      <c r="B29" s="155">
        <v>-70.733744571828</v>
      </c>
      <c r="C29" s="155" t="s">
        <v>30</v>
      </c>
      <c r="D29" s="247">
        <f t="array" ref="D29">XLOOKUP(C29,'HouseHolds per "comuna"'!$B$2:$B$40,'HouseHolds per "comuna"'!$C$2:$C$40)*0.15</f>
        <v>5797.65</v>
      </c>
      <c r="E29" s="247">
        <f>EOQ!$C$6*D29</f>
        <v>1830.318105</v>
      </c>
      <c r="F29" s="247">
        <f>D29*EOQ!$F$6</f>
        <v>2863.799438</v>
      </c>
      <c r="G29" s="247">
        <f>D29*EOQ!$G$6</f>
        <v>2114.402955</v>
      </c>
      <c r="H29" s="247">
        <f>D29*EOQ!$I$6</f>
        <v>2304.565875</v>
      </c>
      <c r="I29" s="247">
        <f>D29*EOQ!$K$6</f>
        <v>2716.199025</v>
      </c>
      <c r="J29" s="247">
        <f>D29*EOQ!$M$6</f>
        <v>2617.05921</v>
      </c>
      <c r="K29" s="247">
        <f>D29*EOQ!$O$6</f>
        <v>2727.21456</v>
      </c>
      <c r="L29" s="247">
        <f>D29*EOQ!$Q$6</f>
        <v>2408.34381</v>
      </c>
      <c r="M29" s="247">
        <f>D29*EOQ!$S$6</f>
        <v>2074.978935</v>
      </c>
      <c r="N29" s="247">
        <f>D29*EOQ!$U$6</f>
        <v>2782.872</v>
      </c>
      <c r="O29" s="247">
        <f>D29*EOQ!$W$6</f>
        <v>2632.712865</v>
      </c>
      <c r="P29" s="247">
        <f>D29*EOQ!$Y$6</f>
        <v>2231.515485</v>
      </c>
      <c r="Q29" s="247">
        <f t="shared" si="11"/>
        <v>2441.998522</v>
      </c>
      <c r="R29" s="155">
        <f t="shared" si="9"/>
        <v>0.9767994088</v>
      </c>
      <c r="T29" s="35">
        <f t="shared" si="10"/>
        <v>0</v>
      </c>
    </row>
    <row r="30">
      <c r="A30" s="155">
        <v>-33.4799485636684</v>
      </c>
      <c r="B30" s="155">
        <v>-70.6611965188523</v>
      </c>
      <c r="C30" s="155" t="s">
        <v>32</v>
      </c>
      <c r="D30" s="247">
        <f t="array" ref="D30">XLOOKUP(C30,'HouseHolds per "comuna"'!$B$2:$B$40,'HouseHolds per "comuna"'!$C$2:$C$40)*0.15</f>
        <v>4488.15</v>
      </c>
      <c r="E30" s="247">
        <f>EOQ!$C$6*D30</f>
        <v>1416.908955</v>
      </c>
      <c r="F30" s="247">
        <f>D30*EOQ!$F$6</f>
        <v>2216.96057</v>
      </c>
      <c r="G30" s="247">
        <f>D30*EOQ!$G$6</f>
        <v>1636.828305</v>
      </c>
      <c r="H30" s="247">
        <f>D30*EOQ!$I$6</f>
        <v>1784.039625</v>
      </c>
      <c r="I30" s="247">
        <f>D30*EOQ!$K$6</f>
        <v>2102.698275</v>
      </c>
      <c r="J30" s="247">
        <f>D30*EOQ!$M$6</f>
        <v>2025.95091</v>
      </c>
      <c r="K30" s="247">
        <f>D30*EOQ!$O$6</f>
        <v>2111.22576</v>
      </c>
      <c r="L30" s="247">
        <f>D30*EOQ!$Q$6</f>
        <v>1864.37751</v>
      </c>
      <c r="M30" s="247">
        <f>D30*EOQ!$S$6</f>
        <v>1606.308885</v>
      </c>
      <c r="N30" s="247">
        <f>D30*EOQ!$U$6</f>
        <v>2154.312</v>
      </c>
      <c r="O30" s="247">
        <f>D30*EOQ!$W$6</f>
        <v>2038.068915</v>
      </c>
      <c r="P30" s="247">
        <f>D30*EOQ!$Y$6</f>
        <v>1727.488935</v>
      </c>
      <c r="Q30" s="247">
        <f t="shared" si="11"/>
        <v>1890.43072</v>
      </c>
      <c r="R30" s="155">
        <f t="shared" si="9"/>
        <v>0.7561722882</v>
      </c>
      <c r="T30" s="35">
        <f t="shared" si="10"/>
        <v>0</v>
      </c>
    </row>
    <row r="31">
      <c r="A31" s="155">
        <v>-33.5669161134897</v>
      </c>
      <c r="B31" s="155">
        <v>-70.6821206157262</v>
      </c>
      <c r="C31" s="155" t="s">
        <v>34</v>
      </c>
      <c r="D31" s="247">
        <f t="array" ref="D31">XLOOKUP(C31,'HouseHolds per "comuna"'!$B$2:$B$40,'HouseHolds per "comuna"'!$C$2:$C$40)*0.15</f>
        <v>7107.6</v>
      </c>
      <c r="E31" s="247">
        <f>EOQ!$C$6*D31</f>
        <v>2243.86932</v>
      </c>
      <c r="F31" s="247">
        <f>D31*EOQ!$F$6</f>
        <v>3510.860588</v>
      </c>
      <c r="G31" s="247">
        <f>D31*EOQ!$G$6</f>
        <v>2592.14172</v>
      </c>
      <c r="H31" s="247">
        <f>D31*EOQ!$I$6</f>
        <v>2825.271</v>
      </c>
      <c r="I31" s="247">
        <f>D31*EOQ!$K$6</f>
        <v>3329.9106</v>
      </c>
      <c r="J31" s="247">
        <f>D31*EOQ!$M$6</f>
        <v>3208.37064</v>
      </c>
      <c r="K31" s="247">
        <f>D31*EOQ!$O$6</f>
        <v>3343.41504</v>
      </c>
      <c r="L31" s="247">
        <f>D31*EOQ!$Q$6</f>
        <v>2952.49704</v>
      </c>
      <c r="M31" s="247">
        <f>D31*EOQ!$S$6</f>
        <v>2543.81004</v>
      </c>
      <c r="N31" s="247">
        <f>D31*EOQ!$U$6</f>
        <v>3411.648</v>
      </c>
      <c r="O31" s="247">
        <f>D31*EOQ!$W$6</f>
        <v>3227.56116</v>
      </c>
      <c r="P31" s="247">
        <f>D31*EOQ!$Y$6</f>
        <v>2735.71524</v>
      </c>
      <c r="Q31" s="247">
        <f t="shared" si="11"/>
        <v>2993.755866</v>
      </c>
      <c r="R31" s="155">
        <f t="shared" si="9"/>
        <v>1.197502346</v>
      </c>
      <c r="T31" s="35">
        <f t="shared" si="10"/>
        <v>0</v>
      </c>
    </row>
    <row r="32">
      <c r="A32" s="155">
        <v>-33.5225565127023</v>
      </c>
      <c r="B32" s="155">
        <v>-70.7721740162419</v>
      </c>
      <c r="C32" s="155" t="s">
        <v>36</v>
      </c>
      <c r="D32" s="247">
        <f t="array" ref="D32">XLOOKUP(C32,'HouseHolds per "comuna"'!$B$2:$B$40,'HouseHolds per "comuna"'!$C$2:$C$40)*0.15</f>
        <v>23308.65</v>
      </c>
      <c r="E32" s="247">
        <f>EOQ!$C$6*D32</f>
        <v>7358.540805</v>
      </c>
      <c r="F32" s="247">
        <f>D32*EOQ!$F$6</f>
        <v>11513.50957</v>
      </c>
      <c r="G32" s="247">
        <f>D32*EOQ!$G$6</f>
        <v>8500.664655</v>
      </c>
      <c r="H32" s="247">
        <f>D32*EOQ!$I$6</f>
        <v>9265.188375</v>
      </c>
      <c r="I32" s="247">
        <f>D32*EOQ!$K$6</f>
        <v>10920.10253</v>
      </c>
      <c r="J32" s="247">
        <f>D32*EOQ!$M$6</f>
        <v>10521.52461</v>
      </c>
      <c r="K32" s="247">
        <f>D32*EOQ!$O$6</f>
        <v>10964.38896</v>
      </c>
      <c r="L32" s="247">
        <f>D32*EOQ!$Q$6</f>
        <v>9682.41321</v>
      </c>
      <c r="M32" s="247">
        <f>D32*EOQ!$S$6</f>
        <v>8342.165835</v>
      </c>
      <c r="N32" s="247">
        <f>D32*EOQ!$U$6</f>
        <v>11188.152</v>
      </c>
      <c r="O32" s="247">
        <f>D32*EOQ!$W$6</f>
        <v>10584.45797</v>
      </c>
      <c r="P32" s="247">
        <f>D32*EOQ!$Y$6</f>
        <v>8971.499385</v>
      </c>
      <c r="Q32" s="247">
        <f t="shared" si="11"/>
        <v>9817.717325</v>
      </c>
      <c r="R32" s="155">
        <f t="shared" si="9"/>
        <v>3.92708693</v>
      </c>
      <c r="T32" s="35">
        <f t="shared" si="10"/>
        <v>0</v>
      </c>
    </row>
    <row r="33">
      <c r="A33" s="155">
        <v>-33.5389061820572</v>
      </c>
      <c r="B33" s="155">
        <v>-70.5892347989387</v>
      </c>
      <c r="C33" s="155" t="s">
        <v>38</v>
      </c>
      <c r="D33" s="247">
        <f t="array" ref="D33">XLOOKUP(C33,'HouseHolds per "comuna"'!$B$2:$B$40,'HouseHolds per "comuna"'!$C$2:$C$40)*0.15</f>
        <v>17274.15</v>
      </c>
      <c r="E33" s="247">
        <f>EOQ!$C$6*D33</f>
        <v>5453.449155</v>
      </c>
      <c r="F33" s="247">
        <f>D33*EOQ!$F$6</f>
        <v>8532.716025</v>
      </c>
      <c r="G33" s="247">
        <f>D33*EOQ!$G$6</f>
        <v>6299.882505</v>
      </c>
      <c r="H33" s="247">
        <f>D33*EOQ!$I$6</f>
        <v>6866.474625</v>
      </c>
      <c r="I33" s="247">
        <f>D33*EOQ!$K$6</f>
        <v>8092.939275</v>
      </c>
      <c r="J33" s="247">
        <f>D33*EOQ!$M$6</f>
        <v>7797.55131</v>
      </c>
      <c r="K33" s="247">
        <f>D33*EOQ!$O$6</f>
        <v>8125.76016</v>
      </c>
      <c r="L33" s="247">
        <f>D33*EOQ!$Q$6</f>
        <v>7175.68191</v>
      </c>
      <c r="M33" s="247">
        <f>D33*EOQ!$S$6</f>
        <v>6182.418285</v>
      </c>
      <c r="N33" s="247">
        <f>D33*EOQ!$U$6</f>
        <v>8291.592</v>
      </c>
      <c r="O33" s="247">
        <f>D33*EOQ!$W$6</f>
        <v>7844.191515</v>
      </c>
      <c r="P33" s="247">
        <f>D33*EOQ!$Y$6</f>
        <v>6648.820335</v>
      </c>
      <c r="Q33" s="247">
        <f t="shared" si="11"/>
        <v>7275.956425</v>
      </c>
      <c r="R33" s="155">
        <f t="shared" si="9"/>
        <v>2.91038257</v>
      </c>
      <c r="T33" s="35">
        <f t="shared" si="10"/>
        <v>0</v>
      </c>
    </row>
    <row r="34">
      <c r="A34" s="388">
        <v>-33.3681972446535</v>
      </c>
      <c r="B34" s="388">
        <v>-70.6341155197432</v>
      </c>
      <c r="C34" s="388" t="s">
        <v>402</v>
      </c>
      <c r="D34" s="389">
        <f t="array" ref="D34">XLOOKUP(C34,'HouseHolds per "comuna"'!$B$2:$B$40,'HouseHolds per "comuna"'!$C$2:$C$40)*0.15</f>
        <v>4195.65</v>
      </c>
      <c r="E34" s="389">
        <f>EOQ!$C$6*D34</f>
        <v>1324.566705</v>
      </c>
      <c r="F34" s="389">
        <f>D34*EOQ!$F$6</f>
        <v>2072.477661</v>
      </c>
      <c r="G34" s="389">
        <f>D34*EOQ!$G$6</f>
        <v>1530.153555</v>
      </c>
      <c r="H34" s="389">
        <f>D34*EOQ!$I$6</f>
        <v>1667.770875</v>
      </c>
      <c r="I34" s="389">
        <f>D34*EOQ!$K$6</f>
        <v>1965.662025</v>
      </c>
      <c r="J34" s="389">
        <f>D34*EOQ!$M$6</f>
        <v>1893.91641</v>
      </c>
      <c r="K34" s="389">
        <f>D34*EOQ!$O$6</f>
        <v>1973.63376</v>
      </c>
      <c r="L34" s="389">
        <f>D34*EOQ!$Q$6</f>
        <v>1742.87301</v>
      </c>
      <c r="M34" s="389">
        <f>D34*EOQ!$S$6</f>
        <v>1501.623135</v>
      </c>
      <c r="N34" s="389">
        <f>D34*EOQ!$U$6</f>
        <v>2013.912</v>
      </c>
      <c r="O34" s="389">
        <f>D34*EOQ!$W$6</f>
        <v>1905.244665</v>
      </c>
      <c r="P34" s="389">
        <f>D34*EOQ!$Y$6</f>
        <v>1614.905685</v>
      </c>
      <c r="Q34" s="247">
        <f t="shared" si="11"/>
        <v>1767.228291</v>
      </c>
      <c r="R34" s="155">
        <f t="shared" si="9"/>
        <v>0.7068913162</v>
      </c>
      <c r="T34" s="35">
        <f t="shared" si="10"/>
        <v>0</v>
      </c>
    </row>
    <row r="35">
      <c r="A35" s="386"/>
      <c r="B35" s="386"/>
      <c r="C35" s="386" t="s">
        <v>27</v>
      </c>
      <c r="D35" s="247"/>
      <c r="E35" s="247"/>
      <c r="F35" s="247"/>
      <c r="G35" s="247"/>
      <c r="H35" s="247"/>
      <c r="I35" s="247"/>
      <c r="J35" s="247"/>
      <c r="K35" s="247"/>
      <c r="L35" s="247"/>
      <c r="M35" s="247"/>
      <c r="N35" s="247"/>
      <c r="O35" s="247"/>
      <c r="P35" s="247"/>
      <c r="R35" s="155">
        <f t="shared" si="9"/>
        <v>0</v>
      </c>
      <c r="T35" s="35">
        <f t="shared" si="10"/>
        <v>0</v>
      </c>
    </row>
    <row r="36">
      <c r="A36" s="155">
        <v>-33.34335643</v>
      </c>
      <c r="B36" s="155">
        <v>-70.52466882</v>
      </c>
      <c r="C36" s="155" t="s">
        <v>22</v>
      </c>
      <c r="D36" s="247">
        <f t="array" ref="D36">XLOOKUP(C36,'HouseHolds per "comuna"'!$B$2:$B$40,'HouseHolds per "comuna"'!$C$2:$C$40)*0.15</f>
        <v>4034.1</v>
      </c>
      <c r="E36" s="247">
        <f>EOQ!$C$7*D36</f>
        <v>4270.90167</v>
      </c>
      <c r="F36" s="247">
        <f>D36*EOQ!$F$7</f>
        <v>3594.143378</v>
      </c>
      <c r="G36" s="247">
        <f>D36*EOQ!$G$7</f>
        <v>4178.52078</v>
      </c>
      <c r="H36" s="247">
        <f>D36*EOQ!$I$7</f>
        <v>4491.97035</v>
      </c>
      <c r="I36" s="247">
        <f>D36*EOQ!$K$7</f>
        <v>4872.38598</v>
      </c>
      <c r="J36" s="247">
        <f>D36*EOQ!$M$7</f>
        <v>4589.19216</v>
      </c>
      <c r="K36" s="247">
        <f>D36*EOQ!$O$7</f>
        <v>4611.78312</v>
      </c>
      <c r="L36" s="247">
        <f>D36*EOQ!$Q$7</f>
        <v>4771.13007</v>
      </c>
      <c r="M36" s="247">
        <f>D36*EOQ!$S$7</f>
        <v>3734.36637</v>
      </c>
      <c r="N36" s="247">
        <f>D36*EOQ!$U$7</f>
        <v>4376.9985</v>
      </c>
      <c r="O36" s="247">
        <f>D36*EOQ!$W$7</f>
        <v>4508.10675</v>
      </c>
      <c r="P36" s="247">
        <f>D36*EOQ!$Y$7</f>
        <v>3882.01443</v>
      </c>
      <c r="Q36" s="247">
        <f t="shared" ref="Q36:Q45" si="12">AVERAGE(E36:P36)</f>
        <v>4323.459463</v>
      </c>
      <c r="R36" s="155">
        <f t="shared" si="9"/>
        <v>1.729383785</v>
      </c>
      <c r="T36" s="35">
        <f t="shared" si="10"/>
        <v>0</v>
      </c>
    </row>
    <row r="37">
      <c r="A37" s="155">
        <v>-33.42627012</v>
      </c>
      <c r="B37" s="155">
        <v>-70.54486003</v>
      </c>
      <c r="C37" s="155" t="s">
        <v>24</v>
      </c>
      <c r="D37" s="247">
        <f t="array" ref="D37">XLOOKUP(C37,'HouseHolds per "comuna"'!$B$2:$B$40,'HouseHolds per "comuna"'!$C$2:$C$40)*0.15</f>
        <v>16000.8</v>
      </c>
      <c r="E37" s="247">
        <f>EOQ!$C$7*D37</f>
        <v>16940.04696</v>
      </c>
      <c r="F37" s="247">
        <f>D37*EOQ!$F$7</f>
        <v>14255.76197</v>
      </c>
      <c r="G37" s="247">
        <f>D37*EOQ!$G$7</f>
        <v>16573.62864</v>
      </c>
      <c r="H37" s="247">
        <f>D37*EOQ!$I$7</f>
        <v>17816.8908</v>
      </c>
      <c r="I37" s="247">
        <f>D37*EOQ!$K$7</f>
        <v>19325.76624</v>
      </c>
      <c r="J37" s="247">
        <f>D37*EOQ!$M$7</f>
        <v>18202.51008</v>
      </c>
      <c r="K37" s="247">
        <f>D37*EOQ!$O$7</f>
        <v>18292.11456</v>
      </c>
      <c r="L37" s="247">
        <f>D37*EOQ!$Q$7</f>
        <v>18924.14616</v>
      </c>
      <c r="M37" s="247">
        <f>D37*EOQ!$S$7</f>
        <v>14811.94056</v>
      </c>
      <c r="N37" s="247">
        <f>D37*EOQ!$U$7</f>
        <v>17360.868</v>
      </c>
      <c r="O37" s="247">
        <f>D37*EOQ!$W$7</f>
        <v>17880.894</v>
      </c>
      <c r="P37" s="247">
        <f>D37*EOQ!$Y$7</f>
        <v>15397.56984</v>
      </c>
      <c r="Q37" s="247">
        <f t="shared" si="12"/>
        <v>17148.51148</v>
      </c>
      <c r="R37" s="155">
        <f t="shared" si="9"/>
        <v>6.859404594</v>
      </c>
      <c r="T37" s="35">
        <f t="shared" si="10"/>
        <v>0</v>
      </c>
    </row>
    <row r="38">
      <c r="A38" s="155">
        <v>-33.43795143</v>
      </c>
      <c r="B38" s="155">
        <v>-70.61132569</v>
      </c>
      <c r="C38" s="155" t="s">
        <v>26</v>
      </c>
      <c r="D38" s="247">
        <f t="array" ref="D38">XLOOKUP(C38,'HouseHolds per "comuna"'!$B$2:$B$40,'HouseHolds per "comuna"'!$C$2:$C$40)*0.15</f>
        <v>9332.25</v>
      </c>
      <c r="E38" s="247">
        <f>EOQ!$C$7*D38</f>
        <v>9880.053075</v>
      </c>
      <c r="F38" s="247">
        <f>D38*EOQ!$F$7</f>
        <v>8314.480191</v>
      </c>
      <c r="G38" s="247">
        <f>D38*EOQ!$G$7</f>
        <v>9666.34455</v>
      </c>
      <c r="H38" s="247">
        <f>D38*EOQ!$I$7</f>
        <v>10391.46038</v>
      </c>
      <c r="I38" s="247">
        <f>D38*EOQ!$K$7</f>
        <v>11271.49155</v>
      </c>
      <c r="J38" s="247">
        <f>D38*EOQ!$M$7</f>
        <v>10616.3676</v>
      </c>
      <c r="K38" s="247">
        <f>D38*EOQ!$O$7</f>
        <v>10668.6282</v>
      </c>
      <c r="L38" s="247">
        <f>D38*EOQ!$Q$7</f>
        <v>11037.25208</v>
      </c>
      <c r="M38" s="247">
        <f>D38*EOQ!$S$7</f>
        <v>8638.863825</v>
      </c>
      <c r="N38" s="247">
        <f>D38*EOQ!$U$7</f>
        <v>10125.49125</v>
      </c>
      <c r="O38" s="247">
        <f>D38*EOQ!$W$7</f>
        <v>10428.78938</v>
      </c>
      <c r="P38" s="247">
        <f>D38*EOQ!$Y$7</f>
        <v>8980.424175</v>
      </c>
      <c r="Q38" s="247">
        <f t="shared" si="12"/>
        <v>10001.63719</v>
      </c>
      <c r="R38" s="155">
        <f t="shared" si="9"/>
        <v>4.000654875</v>
      </c>
      <c r="T38" s="35">
        <f t="shared" si="10"/>
        <v>0</v>
      </c>
    </row>
    <row r="39">
      <c r="A39" s="155">
        <v>-33.38144958</v>
      </c>
      <c r="B39" s="155">
        <v>-70.56353561</v>
      </c>
      <c r="C39" s="155" t="s">
        <v>28</v>
      </c>
      <c r="D39" s="247">
        <f t="array" ref="D39">XLOOKUP(C39,'HouseHolds per "comuna"'!$B$2:$B$40,'HouseHolds per "comuna"'!$C$2:$C$40)*0.15</f>
        <v>4222.35</v>
      </c>
      <c r="E39" s="247">
        <f>EOQ!$C$7*D39</f>
        <v>4470.201945</v>
      </c>
      <c r="F39" s="247">
        <f>D39*EOQ!$F$7</f>
        <v>3761.862941</v>
      </c>
      <c r="G39" s="247">
        <f>D39*EOQ!$G$7</f>
        <v>4373.51013</v>
      </c>
      <c r="H39" s="247">
        <f>D39*EOQ!$I$7</f>
        <v>4701.586725</v>
      </c>
      <c r="I39" s="247">
        <f>D39*EOQ!$K$7</f>
        <v>5099.75433</v>
      </c>
      <c r="J39" s="247">
        <f>D39*EOQ!$M$7</f>
        <v>4803.34536</v>
      </c>
      <c r="K39" s="247">
        <f>D39*EOQ!$O$7</f>
        <v>4826.99052</v>
      </c>
      <c r="L39" s="247">
        <f>D39*EOQ!$Q$7</f>
        <v>4993.773345</v>
      </c>
      <c r="M39" s="247">
        <f>D39*EOQ!$S$7</f>
        <v>3908.629395</v>
      </c>
      <c r="N39" s="247">
        <f>D39*EOQ!$U$7</f>
        <v>4581.24975</v>
      </c>
      <c r="O39" s="247">
        <f>D39*EOQ!$W$7</f>
        <v>4718.476125</v>
      </c>
      <c r="P39" s="247">
        <f>D39*EOQ!$Y$7</f>
        <v>4063.167405</v>
      </c>
      <c r="Q39" s="247">
        <f t="shared" si="12"/>
        <v>4525.212331</v>
      </c>
      <c r="R39" s="155">
        <f t="shared" si="9"/>
        <v>1.810084932</v>
      </c>
      <c r="T39" s="35">
        <f t="shared" si="10"/>
        <v>0</v>
      </c>
    </row>
    <row r="40">
      <c r="A40" s="155">
        <v>-33.42043054552</v>
      </c>
      <c r="B40" s="155">
        <v>-70.733744571828</v>
      </c>
      <c r="C40" s="155" t="s">
        <v>30</v>
      </c>
      <c r="D40" s="247">
        <f t="array" ref="D40">XLOOKUP(C40,'HouseHolds per "comuna"'!$B$2:$B$40,'HouseHolds per "comuna"'!$C$2:$C$40)*0.15</f>
        <v>5797.65</v>
      </c>
      <c r="E40" s="247">
        <f>EOQ!$C$7*D40</f>
        <v>6137.972055</v>
      </c>
      <c r="F40" s="247">
        <f>D40*EOQ!$F$7</f>
        <v>5165.361631</v>
      </c>
      <c r="G40" s="247">
        <f>D40*EOQ!$G$7</f>
        <v>6005.20587</v>
      </c>
      <c r="H40" s="247">
        <f>D40*EOQ!$I$7</f>
        <v>6455.683275</v>
      </c>
      <c r="I40" s="247">
        <f>D40*EOQ!$K$7</f>
        <v>7002.40167</v>
      </c>
      <c r="J40" s="247">
        <f>D40*EOQ!$M$7</f>
        <v>6595.40664</v>
      </c>
      <c r="K40" s="247">
        <f>D40*EOQ!$O$7</f>
        <v>6627.87348</v>
      </c>
      <c r="L40" s="247">
        <f>D40*EOQ!$Q$7</f>
        <v>6856.880655</v>
      </c>
      <c r="M40" s="247">
        <f>D40*EOQ!$S$7</f>
        <v>5366.884605</v>
      </c>
      <c r="N40" s="247">
        <f>D40*EOQ!$U$7</f>
        <v>6290.45025</v>
      </c>
      <c r="O40" s="247">
        <f>D40*EOQ!$W$7</f>
        <v>6478.873875</v>
      </c>
      <c r="P40" s="247">
        <f>D40*EOQ!$Y$7</f>
        <v>5579.078595</v>
      </c>
      <c r="Q40" s="247">
        <f t="shared" si="12"/>
        <v>6213.50605</v>
      </c>
      <c r="R40" s="155">
        <f t="shared" si="9"/>
        <v>2.48540242</v>
      </c>
      <c r="T40" s="35">
        <f t="shared" si="10"/>
        <v>0</v>
      </c>
    </row>
    <row r="41">
      <c r="A41" s="155">
        <v>-33.4799485636684</v>
      </c>
      <c r="B41" s="155">
        <v>-70.6611965188523</v>
      </c>
      <c r="C41" s="155" t="s">
        <v>32</v>
      </c>
      <c r="D41" s="247">
        <f t="array" ref="D41">XLOOKUP(C41,'HouseHolds per "comuna"'!$B$2:$B$40,'HouseHolds per "comuna"'!$C$2:$C$40)*0.15</f>
        <v>4488.15</v>
      </c>
      <c r="E41" s="247">
        <f>EOQ!$C$7*D41</f>
        <v>4751.604405</v>
      </c>
      <c r="F41" s="247">
        <f>D41*EOQ!$F$7</f>
        <v>3998.674946</v>
      </c>
      <c r="G41" s="247">
        <f>D41*EOQ!$G$7</f>
        <v>4648.82577</v>
      </c>
      <c r="H41" s="247">
        <f>D41*EOQ!$I$7</f>
        <v>4997.555025</v>
      </c>
      <c r="I41" s="247">
        <f>D41*EOQ!$K$7</f>
        <v>5420.78757</v>
      </c>
      <c r="J41" s="247">
        <f>D41*EOQ!$M$7</f>
        <v>5105.71944</v>
      </c>
      <c r="K41" s="247">
        <f>D41*EOQ!$O$7</f>
        <v>5130.85308</v>
      </c>
      <c r="L41" s="247">
        <f>D41*EOQ!$Q$7</f>
        <v>5308.135005</v>
      </c>
      <c r="M41" s="247">
        <f>D41*EOQ!$S$7</f>
        <v>4154.680455</v>
      </c>
      <c r="N41" s="247">
        <f>D41*EOQ!$U$7</f>
        <v>4869.64275</v>
      </c>
      <c r="O41" s="247">
        <f>D41*EOQ!$W$7</f>
        <v>5015.507625</v>
      </c>
      <c r="P41" s="247">
        <f>D41*EOQ!$Y$7</f>
        <v>4318.946745</v>
      </c>
      <c r="Q41" s="247">
        <f t="shared" si="12"/>
        <v>4810.077735</v>
      </c>
      <c r="R41" s="155">
        <f t="shared" si="9"/>
        <v>1.924031094</v>
      </c>
      <c r="T41" s="35">
        <f t="shared" si="10"/>
        <v>0</v>
      </c>
    </row>
    <row r="42">
      <c r="A42" s="155">
        <v>-33.5669161134897</v>
      </c>
      <c r="B42" s="155">
        <v>-70.6821206157262</v>
      </c>
      <c r="C42" s="155" t="s">
        <v>34</v>
      </c>
      <c r="D42" s="247">
        <f t="array" ref="D42">XLOOKUP(C42,'HouseHolds per "comuna"'!$B$2:$B$40,'HouseHolds per "comuna"'!$C$2:$C$40)*0.15</f>
        <v>7107.6</v>
      </c>
      <c r="E42" s="247">
        <f>EOQ!$C$7*D42</f>
        <v>7524.81612</v>
      </c>
      <c r="F42" s="247">
        <f>D42*EOQ!$F$7</f>
        <v>6332.449238</v>
      </c>
      <c r="G42" s="247">
        <f>D42*EOQ!$G$7</f>
        <v>7362.05208</v>
      </c>
      <c r="H42" s="247">
        <f>D42*EOQ!$I$7</f>
        <v>7914.3126</v>
      </c>
      <c r="I42" s="247">
        <f>D42*EOQ!$K$7</f>
        <v>8584.55928</v>
      </c>
      <c r="J42" s="247">
        <f>D42*EOQ!$M$7</f>
        <v>8085.60576</v>
      </c>
      <c r="K42" s="247">
        <f>D42*EOQ!$O$7</f>
        <v>8125.40832</v>
      </c>
      <c r="L42" s="247">
        <f>D42*EOQ!$Q$7</f>
        <v>8406.15852</v>
      </c>
      <c r="M42" s="247">
        <f>D42*EOQ!$S$7</f>
        <v>6579.50532</v>
      </c>
      <c r="N42" s="247">
        <f>D42*EOQ!$U$7</f>
        <v>7711.746</v>
      </c>
      <c r="O42" s="247">
        <f>D42*EOQ!$W$7</f>
        <v>7942.743</v>
      </c>
      <c r="P42" s="247">
        <f>D42*EOQ!$Y$7</f>
        <v>6839.64348</v>
      </c>
      <c r="Q42" s="247">
        <f t="shared" si="12"/>
        <v>7617.416643</v>
      </c>
      <c r="R42" s="155">
        <f t="shared" si="9"/>
        <v>3.046966657</v>
      </c>
      <c r="T42" s="35">
        <f t="shared" si="10"/>
        <v>0</v>
      </c>
    </row>
    <row r="43">
      <c r="A43" s="155">
        <v>-33.5225565127023</v>
      </c>
      <c r="B43" s="155">
        <v>-70.7721740162419</v>
      </c>
      <c r="C43" s="155" t="s">
        <v>36</v>
      </c>
      <c r="D43" s="247">
        <f t="array" ref="D43">XLOOKUP(C43,'HouseHolds per "comuna"'!$B$2:$B$40,'HouseHolds per "comuna"'!$C$2:$C$40)*0.15</f>
        <v>23308.65</v>
      </c>
      <c r="E43" s="247">
        <f>EOQ!$C$7*D43</f>
        <v>24676.86776</v>
      </c>
      <c r="F43" s="247">
        <f>D43*EOQ!$F$7</f>
        <v>20766.62206</v>
      </c>
      <c r="G43" s="247">
        <f>D43*EOQ!$G$7</f>
        <v>24143.09967</v>
      </c>
      <c r="H43" s="247">
        <f>D43*EOQ!$I$7</f>
        <v>25954.18178</v>
      </c>
      <c r="I43" s="247">
        <f>D43*EOQ!$K$7</f>
        <v>28152.18747</v>
      </c>
      <c r="J43" s="247">
        <f>D43*EOQ!$M$7</f>
        <v>26515.92024</v>
      </c>
      <c r="K43" s="247">
        <f>D43*EOQ!$O$7</f>
        <v>26646.44868</v>
      </c>
      <c r="L43" s="247">
        <f>D43*EOQ!$Q$7</f>
        <v>27567.14036</v>
      </c>
      <c r="M43" s="247">
        <f>D43*EOQ!$S$7</f>
        <v>21576.81731</v>
      </c>
      <c r="N43" s="247">
        <f>D43*EOQ!$U$7</f>
        <v>25289.88525</v>
      </c>
      <c r="O43" s="247">
        <f>D43*EOQ!$W$7</f>
        <v>26047.41638</v>
      </c>
      <c r="P43" s="247">
        <f>D43*EOQ!$Y$7</f>
        <v>22429.9139</v>
      </c>
      <c r="Q43" s="247">
        <f t="shared" si="12"/>
        <v>24980.54174</v>
      </c>
      <c r="R43" s="155">
        <f t="shared" si="9"/>
        <v>9.992216694</v>
      </c>
      <c r="T43" s="35">
        <f t="shared" si="10"/>
        <v>0</v>
      </c>
    </row>
    <row r="44">
      <c r="A44" s="155">
        <v>-33.5389061820572</v>
      </c>
      <c r="B44" s="155">
        <v>-70.5892347989387</v>
      </c>
      <c r="C44" s="155" t="s">
        <v>38</v>
      </c>
      <c r="D44" s="247">
        <f t="array" ref="D44">XLOOKUP(C44,'HouseHolds per "comuna"'!$B$2:$B$40,'HouseHolds per "comuna"'!$C$2:$C$40)*0.15</f>
        <v>17274.15</v>
      </c>
      <c r="E44" s="247">
        <f>EOQ!$C$7*D44</f>
        <v>18288.14261</v>
      </c>
      <c r="F44" s="247">
        <f>D44*EOQ!$F$7</f>
        <v>15390.24115</v>
      </c>
      <c r="G44" s="247">
        <f>D44*EOQ!$G$7</f>
        <v>17892.56457</v>
      </c>
      <c r="H44" s="247">
        <f>D44*EOQ!$I$7</f>
        <v>19234.76603</v>
      </c>
      <c r="I44" s="247">
        <f>D44*EOQ!$K$7</f>
        <v>20863.71837</v>
      </c>
      <c r="J44" s="247">
        <f>D44*EOQ!$M$7</f>
        <v>19651.07304</v>
      </c>
      <c r="K44" s="247">
        <f>D44*EOQ!$O$7</f>
        <v>19747.80828</v>
      </c>
      <c r="L44" s="247">
        <f>D44*EOQ!$Q$7</f>
        <v>20430.13721</v>
      </c>
      <c r="M44" s="247">
        <f>D44*EOQ!$S$7</f>
        <v>15990.68066</v>
      </c>
      <c r="N44" s="247">
        <f>D44*EOQ!$U$7</f>
        <v>18742.45275</v>
      </c>
      <c r="O44" s="247">
        <f>D44*EOQ!$W$7</f>
        <v>19303.86263</v>
      </c>
      <c r="P44" s="247">
        <f>D44*EOQ!$Y$7</f>
        <v>16622.91455</v>
      </c>
      <c r="Q44" s="247">
        <f t="shared" si="12"/>
        <v>18513.19682</v>
      </c>
      <c r="R44" s="155">
        <f t="shared" si="9"/>
        <v>7.405278727</v>
      </c>
      <c r="T44" s="35">
        <f t="shared" si="10"/>
        <v>0</v>
      </c>
    </row>
    <row r="45">
      <c r="A45" s="388">
        <v>-33.3681972446535</v>
      </c>
      <c r="B45" s="388">
        <v>-70.6341155197432</v>
      </c>
      <c r="C45" s="388" t="s">
        <v>402</v>
      </c>
      <c r="D45" s="389">
        <f t="array" ref="D45">XLOOKUP(C45,'HouseHolds per "comuna"'!$B$2:$B$40,'HouseHolds per "comuna"'!$C$2:$C$40)*0.15</f>
        <v>4195.65</v>
      </c>
      <c r="E45" s="389">
        <f>EOQ!$C$7*D45</f>
        <v>4441.934655</v>
      </c>
      <c r="F45" s="389">
        <f>D45*EOQ!$F$7</f>
        <v>3738.074828</v>
      </c>
      <c r="G45" s="389">
        <f>D45*EOQ!$G$7</f>
        <v>4345.85427</v>
      </c>
      <c r="H45" s="389">
        <f>D45*EOQ!$I$7</f>
        <v>4671.856275</v>
      </c>
      <c r="I45" s="389">
        <f>D45*EOQ!$K$7</f>
        <v>5067.50607</v>
      </c>
      <c r="J45" s="389">
        <f>D45*EOQ!$M$7</f>
        <v>4772.97144</v>
      </c>
      <c r="K45" s="389">
        <f>D45*EOQ!$O$7</f>
        <v>4796.46708</v>
      </c>
      <c r="L45" s="389">
        <f>D45*EOQ!$Q$7</f>
        <v>4962.195255</v>
      </c>
      <c r="M45" s="389">
        <f>D45*EOQ!$S$7</f>
        <v>3883.913205</v>
      </c>
      <c r="N45" s="389">
        <f>D45*EOQ!$U$7</f>
        <v>4552.28025</v>
      </c>
      <c r="O45" s="389">
        <f>D45*EOQ!$W$7</f>
        <v>4688.638875</v>
      </c>
      <c r="P45" s="389">
        <f>D45*EOQ!$Y$7</f>
        <v>4037.473995</v>
      </c>
      <c r="Q45" s="247">
        <f t="shared" si="12"/>
        <v>4496.597183</v>
      </c>
      <c r="R45" s="155">
        <f t="shared" si="9"/>
        <v>1.798638873</v>
      </c>
      <c r="T45" s="35">
        <f t="shared" si="10"/>
        <v>0</v>
      </c>
    </row>
    <row r="46">
      <c r="A46" s="386"/>
      <c r="B46" s="386"/>
      <c r="C46" s="386" t="s">
        <v>29</v>
      </c>
      <c r="D46" s="247"/>
      <c r="E46" s="247"/>
      <c r="F46" s="247"/>
      <c r="G46" s="247"/>
      <c r="H46" s="247"/>
      <c r="I46" s="247"/>
      <c r="J46" s="247"/>
      <c r="K46" s="247"/>
      <c r="L46" s="247"/>
      <c r="M46" s="247"/>
      <c r="N46" s="247"/>
      <c r="O46" s="247"/>
      <c r="P46" s="247"/>
      <c r="R46" s="155">
        <f t="shared" si="9"/>
        <v>0</v>
      </c>
      <c r="T46" s="35">
        <f t="shared" si="10"/>
        <v>0</v>
      </c>
    </row>
    <row r="47">
      <c r="A47" s="155">
        <v>-33.34335643</v>
      </c>
      <c r="B47" s="155">
        <v>-70.52466882</v>
      </c>
      <c r="C47" s="155" t="s">
        <v>22</v>
      </c>
      <c r="D47" s="247">
        <f t="array" ref="D47">XLOOKUP(C47,'HouseHolds per "comuna"'!$B$2:$B$40,'HouseHolds per "comuna"'!$C$2:$C$40)*0.15</f>
        <v>4034.1</v>
      </c>
      <c r="E47" s="247">
        <f>D47*EOQ!$C$8</f>
        <v>3099.39903</v>
      </c>
      <c r="F47" s="247">
        <f>D47*EOQ!$F$8</f>
        <v>3038.562718</v>
      </c>
      <c r="G47" s="247">
        <f>D47*EOQ!$G$8</f>
        <v>3179.67762</v>
      </c>
      <c r="H47" s="247">
        <f>D47*EOQ!$I$8</f>
        <v>2733.90957</v>
      </c>
      <c r="I47" s="247">
        <f>D47*EOQ!$K$8</f>
        <v>2821.04613</v>
      </c>
      <c r="J47" s="247">
        <f>D47*EOQ!$M$8</f>
        <v>2432.5623</v>
      </c>
      <c r="K47" s="247">
        <f>D47*EOQ!$O$8</f>
        <v>2449.10211</v>
      </c>
      <c r="L47" s="247">
        <f>D47*EOQ!$Q$8</f>
        <v>2574.56262</v>
      </c>
      <c r="M47" s="247">
        <f>D47*EOQ!$S$8</f>
        <v>2227.63002</v>
      </c>
      <c r="N47" s="247">
        <f>D47*EOQ!$U$8</f>
        <v>2546.32392</v>
      </c>
      <c r="O47" s="247">
        <f>D47*EOQ!$W$8</f>
        <v>2423.68728</v>
      </c>
      <c r="P47" s="247">
        <f>D47*EOQ!$Y$8</f>
        <v>2411.98839</v>
      </c>
      <c r="Q47" s="247">
        <f t="shared" ref="Q47:Q56" si="13">AVERAGE(E47:P47)</f>
        <v>2661.537642</v>
      </c>
      <c r="R47" s="155">
        <f t="shared" si="9"/>
        <v>1.064615057</v>
      </c>
      <c r="T47" s="35">
        <f t="shared" si="10"/>
        <v>0</v>
      </c>
    </row>
    <row r="48">
      <c r="A48" s="155">
        <v>-33.42627012</v>
      </c>
      <c r="B48" s="155">
        <v>-70.54486003</v>
      </c>
      <c r="C48" s="155" t="s">
        <v>24</v>
      </c>
      <c r="D48" s="247">
        <f t="array" ref="D48">XLOOKUP(C48,'HouseHolds per "comuna"'!$B$2:$B$40,'HouseHolds per "comuna"'!$C$2:$C$40)*0.15</f>
        <v>16000.8</v>
      </c>
      <c r="E48" s="247">
        <f>D48*EOQ!$C$8</f>
        <v>12293.41464</v>
      </c>
      <c r="F48" s="247">
        <f>D48*EOQ!$F$8</f>
        <v>12052.11431</v>
      </c>
      <c r="G48" s="247">
        <f>D48*EOQ!$G$8</f>
        <v>12611.83056</v>
      </c>
      <c r="H48" s="247">
        <f>D48*EOQ!$I$8</f>
        <v>10843.74216</v>
      </c>
      <c r="I48" s="247">
        <f>D48*EOQ!$K$8</f>
        <v>11189.35944</v>
      </c>
      <c r="J48" s="247">
        <f>D48*EOQ!$M$8</f>
        <v>9648.4824</v>
      </c>
      <c r="K48" s="247">
        <f>D48*EOQ!$O$8</f>
        <v>9714.08568</v>
      </c>
      <c r="L48" s="247">
        <f>D48*EOQ!$Q$8</f>
        <v>10211.71056</v>
      </c>
      <c r="M48" s="247">
        <f>D48*EOQ!$S$8</f>
        <v>8835.64176</v>
      </c>
      <c r="N48" s="247">
        <f>D48*EOQ!$U$8</f>
        <v>10099.70496</v>
      </c>
      <c r="O48" s="247">
        <f>D48*EOQ!$W$8</f>
        <v>9613.28064</v>
      </c>
      <c r="P48" s="247">
        <f>D48*EOQ!$Y$8</f>
        <v>9566.87832</v>
      </c>
      <c r="Q48" s="247">
        <f t="shared" si="13"/>
        <v>10556.68712</v>
      </c>
      <c r="R48" s="155">
        <f t="shared" si="9"/>
        <v>4.222674848</v>
      </c>
      <c r="T48" s="35">
        <f t="shared" si="10"/>
        <v>0</v>
      </c>
    </row>
    <row r="49">
      <c r="A49" s="155">
        <v>-33.43795143</v>
      </c>
      <c r="B49" s="155">
        <v>-70.61132569</v>
      </c>
      <c r="C49" s="155" t="s">
        <v>26</v>
      </c>
      <c r="D49" s="247">
        <f t="array" ref="D49">XLOOKUP(C49,'HouseHolds per "comuna"'!$B$2:$B$40,'HouseHolds per "comuna"'!$C$2:$C$40)*0.15</f>
        <v>9332.25</v>
      </c>
      <c r="E49" s="247">
        <f>D49*EOQ!$C$8</f>
        <v>7169.967675</v>
      </c>
      <c r="F49" s="247">
        <f>D49*EOQ!$F$8</f>
        <v>7029.232523</v>
      </c>
      <c r="G49" s="247">
        <f>D49*EOQ!$G$8</f>
        <v>7355.67945</v>
      </c>
      <c r="H49" s="247">
        <f>D49*EOQ!$I$8</f>
        <v>6324.465825</v>
      </c>
      <c r="I49" s="247">
        <f>D49*EOQ!$K$8</f>
        <v>6526.042425</v>
      </c>
      <c r="J49" s="247">
        <f>D49*EOQ!$M$8</f>
        <v>5627.34675</v>
      </c>
      <c r="K49" s="247">
        <f>D49*EOQ!$O$8</f>
        <v>5665.608975</v>
      </c>
      <c r="L49" s="247">
        <f>D49*EOQ!$Q$8</f>
        <v>5955.84195</v>
      </c>
      <c r="M49" s="247">
        <f>D49*EOQ!$S$8</f>
        <v>5153.26845</v>
      </c>
      <c r="N49" s="247">
        <f>D49*EOQ!$U$8</f>
        <v>5890.5162</v>
      </c>
      <c r="O49" s="247">
        <f>D49*EOQ!$W$8</f>
        <v>5606.8158</v>
      </c>
      <c r="P49" s="247">
        <f>D49*EOQ!$Y$8</f>
        <v>5579.752275</v>
      </c>
      <c r="Q49" s="247">
        <f t="shared" si="13"/>
        <v>6157.044858</v>
      </c>
      <c r="R49" s="155">
        <f t="shared" si="9"/>
        <v>2.462817943</v>
      </c>
      <c r="T49" s="35">
        <f t="shared" si="10"/>
        <v>0</v>
      </c>
    </row>
    <row r="50">
      <c r="A50" s="155">
        <v>-33.38144958</v>
      </c>
      <c r="B50" s="155">
        <v>-70.56353561</v>
      </c>
      <c r="C50" s="155" t="s">
        <v>28</v>
      </c>
      <c r="D50" s="247">
        <f t="array" ref="D50">XLOOKUP(C50,'HouseHolds per "comuna"'!$B$2:$B$40,'HouseHolds per "comuna"'!$C$2:$C$40)*0.15</f>
        <v>4222.35</v>
      </c>
      <c r="E50" s="247">
        <f>D50*EOQ!$C$8</f>
        <v>3244.031505</v>
      </c>
      <c r="F50" s="247">
        <f>D50*EOQ!$F$8</f>
        <v>3180.356285</v>
      </c>
      <c r="G50" s="247">
        <f>D50*EOQ!$G$8</f>
        <v>3328.05627</v>
      </c>
      <c r="H50" s="247">
        <f>D50*EOQ!$I$8</f>
        <v>2861.486595</v>
      </c>
      <c r="I50" s="247">
        <f>D50*EOQ!$K$8</f>
        <v>2952.689355</v>
      </c>
      <c r="J50" s="247">
        <f>D50*EOQ!$M$8</f>
        <v>2546.07705</v>
      </c>
      <c r="K50" s="247">
        <f>D50*EOQ!$O$8</f>
        <v>2563.388685</v>
      </c>
      <c r="L50" s="247">
        <f>D50*EOQ!$Q$8</f>
        <v>2694.70377</v>
      </c>
      <c r="M50" s="247">
        <f>D50*EOQ!$S$8</f>
        <v>2331.58167</v>
      </c>
      <c r="N50" s="247">
        <f>D50*EOQ!$U$8</f>
        <v>2665.14732</v>
      </c>
      <c r="O50" s="247">
        <f>D50*EOQ!$W$8</f>
        <v>2536.78788</v>
      </c>
      <c r="P50" s="247">
        <f>D50*EOQ!$Y$8</f>
        <v>2524.543065</v>
      </c>
      <c r="Q50" s="247">
        <f t="shared" si="13"/>
        <v>2785.737454</v>
      </c>
      <c r="R50" s="155">
        <f t="shared" si="9"/>
        <v>1.114294982</v>
      </c>
      <c r="T50" s="35">
        <f t="shared" si="10"/>
        <v>0</v>
      </c>
    </row>
    <row r="51">
      <c r="A51" s="155">
        <v>-33.42043054552</v>
      </c>
      <c r="B51" s="155">
        <v>-70.733744571828</v>
      </c>
      <c r="C51" s="155" t="s">
        <v>30</v>
      </c>
      <c r="D51" s="247">
        <f t="array" ref="D51">XLOOKUP(C51,'HouseHolds per "comuna"'!$B$2:$B$40,'HouseHolds per "comuna"'!$C$2:$C$40)*0.15</f>
        <v>5797.65</v>
      </c>
      <c r="E51" s="247">
        <f>D51*EOQ!$C$8</f>
        <v>4454.334495</v>
      </c>
      <c r="F51" s="247">
        <f>D51*EOQ!$F$8</f>
        <v>4366.902937</v>
      </c>
      <c r="G51" s="247">
        <f>D51*EOQ!$G$8</f>
        <v>4569.70773</v>
      </c>
      <c r="H51" s="247">
        <f>D51*EOQ!$I$8</f>
        <v>3929.067405</v>
      </c>
      <c r="I51" s="247">
        <f>D51*EOQ!$K$8</f>
        <v>4054.296645</v>
      </c>
      <c r="J51" s="247">
        <f>D51*EOQ!$M$8</f>
        <v>3495.98295</v>
      </c>
      <c r="K51" s="247">
        <f>D51*EOQ!$O$8</f>
        <v>3519.753315</v>
      </c>
      <c r="L51" s="247">
        <f>D51*EOQ!$Q$8</f>
        <v>3700.06023</v>
      </c>
      <c r="M51" s="247">
        <f>D51*EOQ!$S$8</f>
        <v>3201.46233</v>
      </c>
      <c r="N51" s="247">
        <f>D51*EOQ!$U$8</f>
        <v>3659.47668</v>
      </c>
      <c r="O51" s="247">
        <f>D51*EOQ!$W$8</f>
        <v>3483.22812</v>
      </c>
      <c r="P51" s="247">
        <f>D51*EOQ!$Y$8</f>
        <v>3466.414935</v>
      </c>
      <c r="Q51" s="247">
        <f t="shared" si="13"/>
        <v>3825.057314</v>
      </c>
      <c r="R51" s="155">
        <f t="shared" si="9"/>
        <v>1.530022926</v>
      </c>
      <c r="T51" s="35">
        <f t="shared" si="10"/>
        <v>0</v>
      </c>
    </row>
    <row r="52">
      <c r="A52" s="155">
        <v>-33.4799485636684</v>
      </c>
      <c r="B52" s="155">
        <v>-70.6611965188523</v>
      </c>
      <c r="C52" s="155" t="s">
        <v>32</v>
      </c>
      <c r="D52" s="247">
        <f t="array" ref="D52">XLOOKUP(C52,'HouseHolds per "comuna"'!$B$2:$B$40,'HouseHolds per "comuna"'!$C$2:$C$40)*0.15</f>
        <v>4488.15</v>
      </c>
      <c r="E52" s="247">
        <f>D52*EOQ!$C$8</f>
        <v>3448.245645</v>
      </c>
      <c r="F52" s="247">
        <f>D52*EOQ!$F$8</f>
        <v>3380.562024</v>
      </c>
      <c r="G52" s="247">
        <f>D52*EOQ!$G$8</f>
        <v>3537.55983</v>
      </c>
      <c r="H52" s="247">
        <f>D52*EOQ!$I$8</f>
        <v>3041.619255</v>
      </c>
      <c r="I52" s="247">
        <f>D52*EOQ!$K$8</f>
        <v>3138.563295</v>
      </c>
      <c r="J52" s="247">
        <f>D52*EOQ!$M$8</f>
        <v>2706.35445</v>
      </c>
      <c r="K52" s="247">
        <f>D52*EOQ!$O$8</f>
        <v>2724.755865</v>
      </c>
      <c r="L52" s="247">
        <f>D52*EOQ!$Q$8</f>
        <v>2864.33733</v>
      </c>
      <c r="M52" s="247">
        <f>D52*EOQ!$S$8</f>
        <v>2478.35643</v>
      </c>
      <c r="N52" s="247">
        <f>D52*EOQ!$U$8</f>
        <v>2832.92028</v>
      </c>
      <c r="O52" s="247">
        <f>D52*EOQ!$W$8</f>
        <v>2696.48052</v>
      </c>
      <c r="P52" s="247">
        <f>D52*EOQ!$Y$8</f>
        <v>2683.464885</v>
      </c>
      <c r="Q52" s="247">
        <f t="shared" si="13"/>
        <v>2961.101651</v>
      </c>
      <c r="R52" s="155">
        <f t="shared" si="9"/>
        <v>1.18444066</v>
      </c>
      <c r="T52" s="35">
        <f t="shared" si="10"/>
        <v>0</v>
      </c>
    </row>
    <row r="53">
      <c r="A53" s="155">
        <v>-33.5669161134897</v>
      </c>
      <c r="B53" s="155">
        <v>-70.6821206157262</v>
      </c>
      <c r="C53" s="155" t="s">
        <v>34</v>
      </c>
      <c r="D53" s="247">
        <f t="array" ref="D53">XLOOKUP(C53,'HouseHolds per "comuna"'!$B$2:$B$40,'HouseHolds per "comuna"'!$C$2:$C$40)*0.15</f>
        <v>7107.6</v>
      </c>
      <c r="E53" s="247">
        <f>D53*EOQ!$C$8</f>
        <v>5460.76908</v>
      </c>
      <c r="F53" s="247">
        <f>D53*EOQ!$F$8</f>
        <v>5353.582799</v>
      </c>
      <c r="G53" s="247">
        <f>D53*EOQ!$G$8</f>
        <v>5602.21032</v>
      </c>
      <c r="H53" s="247">
        <f>D53*EOQ!$I$8</f>
        <v>4816.82052</v>
      </c>
      <c r="I53" s="247">
        <f>D53*EOQ!$K$8</f>
        <v>4970.34468</v>
      </c>
      <c r="J53" s="247">
        <f>D53*EOQ!$M$8</f>
        <v>4285.8828</v>
      </c>
      <c r="K53" s="247">
        <f>D53*EOQ!$O$8</f>
        <v>4315.02396</v>
      </c>
      <c r="L53" s="247">
        <f>D53*EOQ!$Q$8</f>
        <v>4536.07032</v>
      </c>
      <c r="M53" s="247">
        <f>D53*EOQ!$S$8</f>
        <v>3924.81672</v>
      </c>
      <c r="N53" s="247">
        <f>D53*EOQ!$U$8</f>
        <v>4486.31712</v>
      </c>
      <c r="O53" s="247">
        <f>D53*EOQ!$W$8</f>
        <v>4270.24608</v>
      </c>
      <c r="P53" s="247">
        <f>D53*EOQ!$Y$8</f>
        <v>4249.63404</v>
      </c>
      <c r="Q53" s="247">
        <f t="shared" si="13"/>
        <v>4689.30987</v>
      </c>
      <c r="R53" s="155">
        <f t="shared" si="9"/>
        <v>1.875723948</v>
      </c>
      <c r="T53" s="35">
        <f t="shared" si="10"/>
        <v>0</v>
      </c>
    </row>
    <row r="54">
      <c r="A54" s="155">
        <v>-33.5225565127023</v>
      </c>
      <c r="B54" s="155">
        <v>-70.7721740162419</v>
      </c>
      <c r="C54" s="155" t="s">
        <v>36</v>
      </c>
      <c r="D54" s="247">
        <f t="array" ref="D54">XLOOKUP(C54,'HouseHolds per "comuna"'!$B$2:$B$40,'HouseHolds per "comuna"'!$C$2:$C$40)*0.15</f>
        <v>23308.65</v>
      </c>
      <c r="E54" s="247">
        <f>D54*EOQ!$C$8</f>
        <v>17908.0358</v>
      </c>
      <c r="F54" s="247">
        <f>D54*EOQ!$F$8</f>
        <v>17556.52931</v>
      </c>
      <c r="G54" s="247">
        <f>D54*EOQ!$G$8</f>
        <v>18371.87793</v>
      </c>
      <c r="H54" s="247">
        <f>D54*EOQ!$I$8</f>
        <v>15796.27211</v>
      </c>
      <c r="I54" s="247">
        <f>D54*EOQ!$K$8</f>
        <v>16299.73895</v>
      </c>
      <c r="J54" s="247">
        <f>D54*EOQ!$M$8</f>
        <v>14055.11595</v>
      </c>
      <c r="K54" s="247">
        <f>D54*EOQ!$O$8</f>
        <v>14150.68142</v>
      </c>
      <c r="L54" s="247">
        <f>D54*EOQ!$Q$8</f>
        <v>14875.58043</v>
      </c>
      <c r="M54" s="247">
        <f>D54*EOQ!$S$8</f>
        <v>12871.03653</v>
      </c>
      <c r="N54" s="247">
        <f>D54*EOQ!$U$8</f>
        <v>14712.41988</v>
      </c>
      <c r="O54" s="247">
        <f>D54*EOQ!$W$8</f>
        <v>14003.83692</v>
      </c>
      <c r="P54" s="247">
        <f>D54*EOQ!$Y$8</f>
        <v>13936.24184</v>
      </c>
      <c r="Q54" s="247">
        <f t="shared" si="13"/>
        <v>15378.11392</v>
      </c>
      <c r="R54" s="155">
        <f t="shared" si="9"/>
        <v>6.151245568</v>
      </c>
      <c r="T54" s="35">
        <f t="shared" si="10"/>
        <v>0</v>
      </c>
    </row>
    <row r="55">
      <c r="A55" s="155">
        <v>-33.5389061820572</v>
      </c>
      <c r="B55" s="155">
        <v>-70.5892347989387</v>
      </c>
      <c r="C55" s="155" t="s">
        <v>38</v>
      </c>
      <c r="D55" s="247">
        <f t="array" ref="D55">XLOOKUP(C55,'HouseHolds per "comuna"'!$B$2:$B$40,'HouseHolds per "comuna"'!$C$2:$C$40)*0.15</f>
        <v>17274.15</v>
      </c>
      <c r="E55" s="247">
        <f>D55*EOQ!$C$8</f>
        <v>13271.72945</v>
      </c>
      <c r="F55" s="247">
        <f>D55*EOQ!$F$8</f>
        <v>13011.22634</v>
      </c>
      <c r="G55" s="247">
        <f>D55*EOQ!$G$8</f>
        <v>13615.48503</v>
      </c>
      <c r="H55" s="247">
        <f>D55*EOQ!$I$8</f>
        <v>11706.69146</v>
      </c>
      <c r="I55" s="247">
        <f>D55*EOQ!$K$8</f>
        <v>12079.8131</v>
      </c>
      <c r="J55" s="247">
        <f>D55*EOQ!$M$8</f>
        <v>10416.31245</v>
      </c>
      <c r="K55" s="247">
        <f>D55*EOQ!$O$8</f>
        <v>10487.13647</v>
      </c>
      <c r="L55" s="247">
        <f>D55*EOQ!$Q$8</f>
        <v>11024.36253</v>
      </c>
      <c r="M55" s="247">
        <f>D55*EOQ!$S$8</f>
        <v>9538.78563</v>
      </c>
      <c r="N55" s="247">
        <f>D55*EOQ!$U$8</f>
        <v>10903.44348</v>
      </c>
      <c r="O55" s="247">
        <f>D55*EOQ!$W$8</f>
        <v>10378.30932</v>
      </c>
      <c r="P55" s="247">
        <f>D55*EOQ!$Y$8</f>
        <v>10328.21429</v>
      </c>
      <c r="Q55" s="247">
        <f t="shared" si="13"/>
        <v>11396.79246</v>
      </c>
      <c r="R55" s="155">
        <f t="shared" si="9"/>
        <v>4.558716984</v>
      </c>
      <c r="T55" s="35">
        <f t="shared" si="10"/>
        <v>0</v>
      </c>
    </row>
    <row r="56">
      <c r="A56" s="388">
        <v>-33.3681972446535</v>
      </c>
      <c r="B56" s="388">
        <v>-70.6341155197432</v>
      </c>
      <c r="C56" s="388" t="s">
        <v>402</v>
      </c>
      <c r="D56" s="389">
        <f t="array" ref="D56">XLOOKUP(C56,'HouseHolds per "comuna"'!$B$2:$B$40,'HouseHolds per "comuna"'!$C$2:$C$40)*0.15</f>
        <v>4195.65</v>
      </c>
      <c r="E56" s="389">
        <f>D56*EOQ!$C$8</f>
        <v>3223.517895</v>
      </c>
      <c r="F56" s="389">
        <f>D56*EOQ!$F$8</f>
        <v>3160.245325</v>
      </c>
      <c r="G56" s="389">
        <f>D56*EOQ!$G$8</f>
        <v>3307.01133</v>
      </c>
      <c r="H56" s="389">
        <f>D56*EOQ!$I$8</f>
        <v>2843.392005</v>
      </c>
      <c r="I56" s="389">
        <f>D56*EOQ!$K$8</f>
        <v>2934.018045</v>
      </c>
      <c r="J56" s="389">
        <f>D56*EOQ!$M$8</f>
        <v>2529.97695</v>
      </c>
      <c r="K56" s="389">
        <f>D56*EOQ!$O$8</f>
        <v>2547.179115</v>
      </c>
      <c r="L56" s="389">
        <f>D56*EOQ!$Q$8</f>
        <v>2677.66383</v>
      </c>
      <c r="M56" s="389">
        <f>D56*EOQ!$S$8</f>
        <v>2316.83793</v>
      </c>
      <c r="N56" s="389">
        <f>D56*EOQ!$U$8</f>
        <v>2648.29428</v>
      </c>
      <c r="O56" s="389">
        <f>D56*EOQ!$W$8</f>
        <v>2520.74652</v>
      </c>
      <c r="P56" s="389">
        <f>D56*EOQ!$Y$8</f>
        <v>2508.579135</v>
      </c>
      <c r="Q56" s="247">
        <f t="shared" si="13"/>
        <v>2768.121863</v>
      </c>
      <c r="R56" s="155">
        <f t="shared" si="9"/>
        <v>1.107248745</v>
      </c>
      <c r="T56" s="35">
        <f t="shared" si="10"/>
        <v>0</v>
      </c>
    </row>
    <row r="57">
      <c r="A57" s="386"/>
      <c r="B57" s="386"/>
      <c r="C57" s="386" t="s">
        <v>31</v>
      </c>
      <c r="D57" s="247"/>
      <c r="E57" s="247"/>
      <c r="F57" s="247"/>
      <c r="G57" s="247"/>
      <c r="H57" s="247"/>
      <c r="I57" s="247"/>
      <c r="J57" s="247"/>
      <c r="K57" s="247"/>
      <c r="L57" s="247"/>
      <c r="M57" s="247"/>
      <c r="N57" s="247"/>
      <c r="O57" s="247"/>
      <c r="P57" s="247"/>
      <c r="R57" s="155">
        <f t="shared" si="9"/>
        <v>0</v>
      </c>
      <c r="T57" s="35">
        <f t="shared" si="10"/>
        <v>0</v>
      </c>
    </row>
    <row r="58">
      <c r="A58" s="155">
        <v>-33.34335643</v>
      </c>
      <c r="B58" s="155">
        <v>-70.52466882</v>
      </c>
      <c r="C58" s="155" t="s">
        <v>22</v>
      </c>
      <c r="D58" s="247">
        <f t="array" ref="D58">XLOOKUP(C58,'HouseHolds per "comuna"'!$B$2:$B$40,'HouseHolds per "comuna"'!$C$2:$C$40)*0.15</f>
        <v>4034.1</v>
      </c>
      <c r="E58" s="247">
        <f>D58*EOQ!$C$9</f>
        <v>586.96155</v>
      </c>
      <c r="F58" s="247">
        <f>D58*EOQ!$F$9</f>
        <v>1408.891391</v>
      </c>
      <c r="G58" s="247">
        <f>D58*EOQ!$G$9</f>
        <v>671.27424</v>
      </c>
      <c r="H58" s="247">
        <f>D58*EOQ!$I$9</f>
        <v>737.83689</v>
      </c>
      <c r="I58" s="247">
        <f>D58*EOQ!$K$9</f>
        <v>908.47932</v>
      </c>
      <c r="J58" s="247">
        <f>D58*EOQ!$M$9</f>
        <v>812.06433</v>
      </c>
      <c r="K58" s="247">
        <f>D58*EOQ!$O$9</f>
        <v>987.14427</v>
      </c>
      <c r="L58" s="247">
        <f>D58*EOQ!$Q$9</f>
        <v>852.40533</v>
      </c>
      <c r="M58" s="247">
        <f>D58*EOQ!$S$9</f>
        <v>752.76306</v>
      </c>
      <c r="N58" s="247">
        <f>D58*EOQ!$U$9</f>
        <v>11076.83178</v>
      </c>
      <c r="O58" s="247">
        <f>D58*EOQ!$W$9</f>
        <v>893.14974</v>
      </c>
      <c r="P58" s="247">
        <f>D58*EOQ!$Y$9</f>
        <v>691.44474</v>
      </c>
      <c r="Q58" s="247">
        <f t="shared" ref="Q58:Q67" si="14">AVERAGE(E58:P58)</f>
        <v>1698.270553</v>
      </c>
      <c r="R58" s="155">
        <f t="shared" si="9"/>
        <v>0.6793082214</v>
      </c>
      <c r="T58" s="35">
        <f t="shared" si="10"/>
        <v>0</v>
      </c>
    </row>
    <row r="59">
      <c r="A59" s="155">
        <v>-33.42627012</v>
      </c>
      <c r="B59" s="155">
        <v>-70.54486003</v>
      </c>
      <c r="C59" s="155" t="s">
        <v>24</v>
      </c>
      <c r="D59" s="247">
        <f t="array" ref="D59">XLOOKUP(C59,'HouseHolds per "comuna"'!$B$2:$B$40,'HouseHolds per "comuna"'!$C$2:$C$40)*0.15</f>
        <v>16000.8</v>
      </c>
      <c r="E59" s="247">
        <f>D59*EOQ!$C$9</f>
        <v>2328.1164</v>
      </c>
      <c r="F59" s="247">
        <f>D59*EOQ!$F$9</f>
        <v>5588.207871</v>
      </c>
      <c r="G59" s="247">
        <f>D59*EOQ!$G$9</f>
        <v>2662.53312</v>
      </c>
      <c r="H59" s="247">
        <f>D59*EOQ!$I$9</f>
        <v>2926.54632</v>
      </c>
      <c r="I59" s="247">
        <f>D59*EOQ!$K$9</f>
        <v>3603.38016</v>
      </c>
      <c r="J59" s="247">
        <f>D59*EOQ!$M$9</f>
        <v>3220.96104</v>
      </c>
      <c r="K59" s="247">
        <f>D59*EOQ!$O$9</f>
        <v>3915.39576</v>
      </c>
      <c r="L59" s="247">
        <f>D59*EOQ!$Q$9</f>
        <v>3380.96904</v>
      </c>
      <c r="M59" s="247">
        <f>D59*EOQ!$S$9</f>
        <v>2985.74928</v>
      </c>
      <c r="N59" s="247">
        <f>D59*EOQ!$U$9</f>
        <v>43934.99664</v>
      </c>
      <c r="O59" s="247">
        <f>D59*EOQ!$W$9</f>
        <v>3542.57712</v>
      </c>
      <c r="P59" s="247">
        <f>D59*EOQ!$Y$9</f>
        <v>2742.53712</v>
      </c>
      <c r="Q59" s="247">
        <f t="shared" si="14"/>
        <v>6735.997489</v>
      </c>
      <c r="R59" s="155">
        <f t="shared" si="9"/>
        <v>2.694398996</v>
      </c>
      <c r="T59" s="35">
        <f t="shared" si="10"/>
        <v>0</v>
      </c>
    </row>
    <row r="60">
      <c r="A60" s="155">
        <v>-33.43795143</v>
      </c>
      <c r="B60" s="155">
        <v>-70.61132569</v>
      </c>
      <c r="C60" s="155" t="s">
        <v>26</v>
      </c>
      <c r="D60" s="247">
        <f t="array" ref="D60">XLOOKUP(C60,'HouseHolds per "comuna"'!$B$2:$B$40,'HouseHolds per "comuna"'!$C$2:$C$40)*0.15</f>
        <v>9332.25</v>
      </c>
      <c r="E60" s="247">
        <f>D60*EOQ!$C$9</f>
        <v>1357.842375</v>
      </c>
      <c r="F60" s="247">
        <f>D60*EOQ!$F$9</f>
        <v>3259.246594</v>
      </c>
      <c r="G60" s="247">
        <f>D60*EOQ!$G$9</f>
        <v>1552.8864</v>
      </c>
      <c r="H60" s="247">
        <f>D60*EOQ!$I$9</f>
        <v>1706.868525</v>
      </c>
      <c r="I60" s="247">
        <f>D60*EOQ!$K$9</f>
        <v>2101.6227</v>
      </c>
      <c r="J60" s="247">
        <f>D60*EOQ!$M$9</f>
        <v>1878.581925</v>
      </c>
      <c r="K60" s="247">
        <f>D60*EOQ!$O$9</f>
        <v>2283.601575</v>
      </c>
      <c r="L60" s="247">
        <f>D60*EOQ!$Q$9</f>
        <v>1971.904425</v>
      </c>
      <c r="M60" s="247">
        <f>D60*EOQ!$S$9</f>
        <v>1741.39785</v>
      </c>
      <c r="N60" s="247">
        <f>D60*EOQ!$U$9</f>
        <v>25624.49205</v>
      </c>
      <c r="O60" s="247">
        <f>D60*EOQ!$W$9</f>
        <v>2066.16015</v>
      </c>
      <c r="P60" s="247">
        <f>D60*EOQ!$Y$9</f>
        <v>1599.54765</v>
      </c>
      <c r="Q60" s="247">
        <f t="shared" si="14"/>
        <v>3928.679352</v>
      </c>
      <c r="R60" s="155">
        <f t="shared" si="9"/>
        <v>1.571471741</v>
      </c>
      <c r="T60" s="35">
        <f t="shared" si="10"/>
        <v>0</v>
      </c>
    </row>
    <row r="61">
      <c r="A61" s="155">
        <v>-33.38144958</v>
      </c>
      <c r="B61" s="155">
        <v>-70.56353561</v>
      </c>
      <c r="C61" s="155" t="s">
        <v>28</v>
      </c>
      <c r="D61" s="247">
        <f t="array" ref="D61">XLOOKUP(C61,'HouseHolds per "comuna"'!$B$2:$B$40,'HouseHolds per "comuna"'!$C$2:$C$40)*0.15</f>
        <v>4222.35</v>
      </c>
      <c r="E61" s="247">
        <f>D61*EOQ!$C$9</f>
        <v>614.351925</v>
      </c>
      <c r="F61" s="247">
        <f>D61*EOQ!$F$9</f>
        <v>1474.636862</v>
      </c>
      <c r="G61" s="247">
        <f>D61*EOQ!$G$9</f>
        <v>702.59904</v>
      </c>
      <c r="H61" s="247">
        <f>D61*EOQ!$I$9</f>
        <v>772.267815</v>
      </c>
      <c r="I61" s="247">
        <f>D61*EOQ!$K$9</f>
        <v>950.87322</v>
      </c>
      <c r="J61" s="247">
        <f>D61*EOQ!$M$9</f>
        <v>849.959055</v>
      </c>
      <c r="K61" s="247">
        <f>D61*EOQ!$O$9</f>
        <v>1033.209045</v>
      </c>
      <c r="L61" s="247">
        <f>D61*EOQ!$Q$9</f>
        <v>892.182555</v>
      </c>
      <c r="M61" s="247">
        <f>D61*EOQ!$S$9</f>
        <v>787.89051</v>
      </c>
      <c r="N61" s="247">
        <f>D61*EOQ!$U$9</f>
        <v>11593.72863</v>
      </c>
      <c r="O61" s="247">
        <f>D61*EOQ!$W$9</f>
        <v>934.82829</v>
      </c>
      <c r="P61" s="247">
        <f>D61*EOQ!$Y$9</f>
        <v>723.71079</v>
      </c>
      <c r="Q61" s="247">
        <f t="shared" si="14"/>
        <v>1777.519811</v>
      </c>
      <c r="R61" s="155">
        <f t="shared" si="9"/>
        <v>0.7110079246</v>
      </c>
      <c r="T61" s="35">
        <f t="shared" si="10"/>
        <v>0</v>
      </c>
    </row>
    <row r="62">
      <c r="A62" s="155">
        <v>-33.42043054552</v>
      </c>
      <c r="B62" s="155">
        <v>-70.733744571828</v>
      </c>
      <c r="C62" s="155" t="s">
        <v>30</v>
      </c>
      <c r="D62" s="247">
        <f t="array" ref="D62">XLOOKUP(C62,'HouseHolds per "comuna"'!$B$2:$B$40,'HouseHolds per "comuna"'!$C$2:$C$40)*0.15</f>
        <v>5797.65</v>
      </c>
      <c r="E62" s="247">
        <f>D62*EOQ!$C$9</f>
        <v>843.558075</v>
      </c>
      <c r="F62" s="247">
        <f>D62*EOQ!$F$9</f>
        <v>2024.803345</v>
      </c>
      <c r="G62" s="247">
        <f>D62*EOQ!$G$9</f>
        <v>964.72896</v>
      </c>
      <c r="H62" s="247">
        <f>D62*EOQ!$I$9</f>
        <v>1060.390185</v>
      </c>
      <c r="I62" s="247">
        <f>D62*EOQ!$K$9</f>
        <v>1305.63078</v>
      </c>
      <c r="J62" s="247">
        <f>D62*EOQ!$M$9</f>
        <v>1167.066945</v>
      </c>
      <c r="K62" s="247">
        <f>D62*EOQ!$O$9</f>
        <v>1418.684955</v>
      </c>
      <c r="L62" s="247">
        <f>D62*EOQ!$Q$9</f>
        <v>1225.043445</v>
      </c>
      <c r="M62" s="247">
        <f>D62*EOQ!$S$9</f>
        <v>1081.84149</v>
      </c>
      <c r="N62" s="247">
        <f>D62*EOQ!$U$9</f>
        <v>15919.18737</v>
      </c>
      <c r="O62" s="247">
        <f>D62*EOQ!$W$9</f>
        <v>1283.59971</v>
      </c>
      <c r="P62" s="247">
        <f>D62*EOQ!$Y$9</f>
        <v>993.71721</v>
      </c>
      <c r="Q62" s="247">
        <f t="shared" si="14"/>
        <v>2440.687706</v>
      </c>
      <c r="R62" s="155">
        <f t="shared" si="9"/>
        <v>0.9762750823</v>
      </c>
      <c r="T62" s="35">
        <f t="shared" si="10"/>
        <v>0</v>
      </c>
    </row>
    <row r="63">
      <c r="A63" s="155">
        <v>-33.4799485636684</v>
      </c>
      <c r="B63" s="155">
        <v>-70.6611965188523</v>
      </c>
      <c r="C63" s="155" t="s">
        <v>32</v>
      </c>
      <c r="D63" s="247">
        <f t="array" ref="D63">XLOOKUP(C63,'HouseHolds per "comuna"'!$B$2:$B$40,'HouseHolds per "comuna"'!$C$2:$C$40)*0.15</f>
        <v>4488.15</v>
      </c>
      <c r="E63" s="247">
        <f>D63*EOQ!$C$9</f>
        <v>653.025825</v>
      </c>
      <c r="F63" s="247">
        <f>D63*EOQ!$F$9</f>
        <v>1567.466324</v>
      </c>
      <c r="G63" s="247">
        <f>D63*EOQ!$G$9</f>
        <v>746.82816</v>
      </c>
      <c r="H63" s="247">
        <f>D63*EOQ!$I$9</f>
        <v>820.882635</v>
      </c>
      <c r="I63" s="247">
        <f>D63*EOQ!$K$9</f>
        <v>1010.73138</v>
      </c>
      <c r="J63" s="247">
        <f>D63*EOQ!$M$9</f>
        <v>903.464595</v>
      </c>
      <c r="K63" s="247">
        <f>D63*EOQ!$O$9</f>
        <v>1098.250305</v>
      </c>
      <c r="L63" s="247">
        <f>D63*EOQ!$Q$9</f>
        <v>948.346095</v>
      </c>
      <c r="M63" s="247">
        <f>D63*EOQ!$S$9</f>
        <v>837.48879</v>
      </c>
      <c r="N63" s="247">
        <f>D63*EOQ!$U$9</f>
        <v>12323.56227</v>
      </c>
      <c r="O63" s="247">
        <f>D63*EOQ!$W$9</f>
        <v>993.67641</v>
      </c>
      <c r="P63" s="247">
        <f>D63*EOQ!$Y$9</f>
        <v>769.26891</v>
      </c>
      <c r="Q63" s="247">
        <f t="shared" si="14"/>
        <v>1889.415975</v>
      </c>
      <c r="R63" s="155">
        <f t="shared" si="9"/>
        <v>0.75576639</v>
      </c>
      <c r="T63" s="35">
        <f t="shared" si="10"/>
        <v>0</v>
      </c>
    </row>
    <row r="64">
      <c r="A64" s="155">
        <v>-33.5669161134897</v>
      </c>
      <c r="B64" s="155">
        <v>-70.6821206157262</v>
      </c>
      <c r="C64" s="155" t="s">
        <v>34</v>
      </c>
      <c r="D64" s="247">
        <f t="array" ref="D64">XLOOKUP(C64,'HouseHolds per "comuna"'!$B$2:$B$40,'HouseHolds per "comuna"'!$C$2:$C$40)*0.15</f>
        <v>7107.6</v>
      </c>
      <c r="E64" s="247">
        <f>D64*EOQ!$C$9</f>
        <v>1034.1558</v>
      </c>
      <c r="F64" s="247">
        <f>D64*EOQ!$F$9</f>
        <v>2482.297527</v>
      </c>
      <c r="G64" s="247">
        <f>D64*EOQ!$G$9</f>
        <v>1182.70464</v>
      </c>
      <c r="H64" s="247">
        <f>D64*EOQ!$I$9</f>
        <v>1299.98004</v>
      </c>
      <c r="I64" s="247">
        <f>D64*EOQ!$K$9</f>
        <v>1600.63152</v>
      </c>
      <c r="J64" s="247">
        <f>D64*EOQ!$M$9</f>
        <v>1430.75988</v>
      </c>
      <c r="K64" s="247">
        <f>D64*EOQ!$O$9</f>
        <v>1739.22972</v>
      </c>
      <c r="L64" s="247">
        <f>D64*EOQ!$Q$9</f>
        <v>1501.83588</v>
      </c>
      <c r="M64" s="247">
        <f>D64*EOQ!$S$9</f>
        <v>1326.27816</v>
      </c>
      <c r="N64" s="247">
        <f>D64*EOQ!$U$9</f>
        <v>19516.04808</v>
      </c>
      <c r="O64" s="247">
        <f>D64*EOQ!$W$9</f>
        <v>1573.62264</v>
      </c>
      <c r="P64" s="247">
        <f>D64*EOQ!$Y$9</f>
        <v>1218.24264</v>
      </c>
      <c r="Q64" s="247">
        <f t="shared" si="14"/>
        <v>2992.148877</v>
      </c>
      <c r="R64" s="155">
        <f t="shared" si="9"/>
        <v>1.196859551</v>
      </c>
      <c r="T64" s="35">
        <f t="shared" si="10"/>
        <v>0</v>
      </c>
    </row>
    <row r="65">
      <c r="A65" s="155">
        <v>-33.5225565127023</v>
      </c>
      <c r="B65" s="155">
        <v>-70.7721740162419</v>
      </c>
      <c r="C65" s="155" t="s">
        <v>36</v>
      </c>
      <c r="D65" s="247">
        <f t="array" ref="D65">XLOOKUP(C65,'HouseHolds per "comuna"'!$B$2:$B$40,'HouseHolds per "comuna"'!$C$2:$C$40)*0.15</f>
        <v>23308.65</v>
      </c>
      <c r="E65" s="247">
        <f>D65*EOQ!$C$9</f>
        <v>3391.408575</v>
      </c>
      <c r="F65" s="247">
        <f>D65*EOQ!$F$9</f>
        <v>8140.441815</v>
      </c>
      <c r="G65" s="247">
        <f>D65*EOQ!$G$9</f>
        <v>3878.55936</v>
      </c>
      <c r="H65" s="247">
        <f>D65*EOQ!$I$9</f>
        <v>4263.152085</v>
      </c>
      <c r="I65" s="247">
        <f>D65*EOQ!$K$9</f>
        <v>5249.10798</v>
      </c>
      <c r="J65" s="247">
        <f>D65*EOQ!$M$9</f>
        <v>4692.031245</v>
      </c>
      <c r="K65" s="247">
        <f>D65*EOQ!$O$9</f>
        <v>5703.626655</v>
      </c>
      <c r="L65" s="247">
        <f>D65*EOQ!$Q$9</f>
        <v>4925.117745</v>
      </c>
      <c r="M65" s="247">
        <f>D65*EOQ!$S$9</f>
        <v>4349.39409</v>
      </c>
      <c r="N65" s="247">
        <f>D65*EOQ!$U$9</f>
        <v>64000.89117</v>
      </c>
      <c r="O65" s="247">
        <f>D65*EOQ!$W$9</f>
        <v>5160.53511</v>
      </c>
      <c r="P65" s="247">
        <f>D65*EOQ!$Y$9</f>
        <v>3995.10261</v>
      </c>
      <c r="Q65" s="247">
        <f t="shared" si="14"/>
        <v>9812.44737</v>
      </c>
      <c r="R65" s="155">
        <f t="shared" si="9"/>
        <v>3.924978948</v>
      </c>
      <c r="T65" s="35">
        <f t="shared" si="10"/>
        <v>0</v>
      </c>
    </row>
    <row r="66">
      <c r="A66" s="155">
        <v>-33.5389061820572</v>
      </c>
      <c r="B66" s="155">
        <v>-70.5892347989387</v>
      </c>
      <c r="C66" s="155" t="s">
        <v>38</v>
      </c>
      <c r="D66" s="247">
        <f t="array" ref="D66">XLOOKUP(C66,'HouseHolds per "comuna"'!$B$2:$B$40,'HouseHolds per "comuna"'!$C$2:$C$40)*0.15</f>
        <v>17274.15</v>
      </c>
      <c r="E66" s="247">
        <f>D66*EOQ!$C$9</f>
        <v>2513.388825</v>
      </c>
      <c r="F66" s="247">
        <f>D66*EOQ!$F$9</f>
        <v>6032.919666</v>
      </c>
      <c r="G66" s="247">
        <f>D66*EOQ!$G$9</f>
        <v>2874.41856</v>
      </c>
      <c r="H66" s="247">
        <f>D66*EOQ!$I$9</f>
        <v>3159.442035</v>
      </c>
      <c r="I66" s="247">
        <f>D66*EOQ!$K$9</f>
        <v>3890.13858</v>
      </c>
      <c r="J66" s="247">
        <f>D66*EOQ!$M$9</f>
        <v>3477.286395</v>
      </c>
      <c r="K66" s="247">
        <f>D66*EOQ!$O$9</f>
        <v>4226.984505</v>
      </c>
      <c r="L66" s="247">
        <f>D66*EOQ!$Q$9</f>
        <v>3650.027895</v>
      </c>
      <c r="M66" s="247">
        <f>D66*EOQ!$S$9</f>
        <v>3223.35639</v>
      </c>
      <c r="N66" s="247">
        <f>D66*EOQ!$U$9</f>
        <v>47431.36107</v>
      </c>
      <c r="O66" s="247">
        <f>D66*EOQ!$W$9</f>
        <v>3824.49681</v>
      </c>
      <c r="P66" s="247">
        <f>D66*EOQ!$Y$9</f>
        <v>2960.78931</v>
      </c>
      <c r="Q66" s="247">
        <f t="shared" si="14"/>
        <v>7272.050837</v>
      </c>
      <c r="R66" s="155">
        <f t="shared" si="9"/>
        <v>2.908820335</v>
      </c>
      <c r="T66" s="35">
        <f t="shared" si="10"/>
        <v>0</v>
      </c>
    </row>
    <row r="67">
      <c r="A67" s="388">
        <v>-33.3681972446535</v>
      </c>
      <c r="B67" s="388">
        <v>-70.6341155197432</v>
      </c>
      <c r="C67" s="388" t="s">
        <v>402</v>
      </c>
      <c r="D67" s="389">
        <f t="array" ref="D67">XLOOKUP(C67,'HouseHolds per "comuna"'!$B$2:$B$40,'HouseHolds per "comuna"'!$C$2:$C$40)*0.15</f>
        <v>4195.65</v>
      </c>
      <c r="E67" s="389">
        <f>D67*EOQ!$C$9</f>
        <v>610.467075</v>
      </c>
      <c r="F67" s="389">
        <f>D67*EOQ!$F$9</f>
        <v>1465.312007</v>
      </c>
      <c r="G67" s="389">
        <f>D67*EOQ!$G$9</f>
        <v>698.15616</v>
      </c>
      <c r="H67" s="389">
        <f>D67*EOQ!$I$9</f>
        <v>767.384385</v>
      </c>
      <c r="I67" s="389">
        <f>D67*EOQ!$K$9</f>
        <v>944.86038</v>
      </c>
      <c r="J67" s="389">
        <f>D67*EOQ!$M$9</f>
        <v>844.584345</v>
      </c>
      <c r="K67" s="389">
        <f>D67*EOQ!$O$9</f>
        <v>1026.675555</v>
      </c>
      <c r="L67" s="389">
        <f>D67*EOQ!$Q$9</f>
        <v>886.540845</v>
      </c>
      <c r="M67" s="389">
        <f>D67*EOQ!$S$9</f>
        <v>782.90829</v>
      </c>
      <c r="N67" s="389">
        <f>D67*EOQ!$U$9</f>
        <v>11520.41577</v>
      </c>
      <c r="O67" s="389">
        <f>D67*EOQ!$W$9</f>
        <v>928.91691</v>
      </c>
      <c r="P67" s="389">
        <f>D67*EOQ!$Y$9</f>
        <v>719.13441</v>
      </c>
      <c r="Q67" s="247">
        <f t="shared" si="14"/>
        <v>1766.279678</v>
      </c>
      <c r="R67" s="155">
        <f t="shared" si="9"/>
        <v>0.7065118711</v>
      </c>
      <c r="T67" s="35">
        <f t="shared" si="10"/>
        <v>0</v>
      </c>
    </row>
    <row r="68">
      <c r="A68" s="386"/>
      <c r="B68" s="386"/>
      <c r="C68" s="386" t="s">
        <v>33</v>
      </c>
      <c r="D68" s="247"/>
      <c r="E68" s="247"/>
      <c r="F68" s="247"/>
      <c r="G68" s="247"/>
      <c r="H68" s="247"/>
      <c r="I68" s="247"/>
      <c r="J68" s="247"/>
      <c r="K68" s="247"/>
      <c r="L68" s="247"/>
      <c r="M68" s="247"/>
      <c r="N68" s="247"/>
      <c r="O68" s="247"/>
      <c r="P68" s="247"/>
      <c r="R68" s="155">
        <f t="shared" si="9"/>
        <v>0</v>
      </c>
      <c r="T68" s="35">
        <f t="shared" si="10"/>
        <v>0</v>
      </c>
    </row>
    <row r="69">
      <c r="A69" s="155">
        <v>-33.34335643</v>
      </c>
      <c r="B69" s="155">
        <v>-70.52466882</v>
      </c>
      <c r="C69" s="155" t="s">
        <v>22</v>
      </c>
      <c r="D69" s="247">
        <f t="array" ref="D69">XLOOKUP(C69,'HouseHolds per "comuna"'!$B$2:$B$40,'HouseHolds per "comuna"'!$C$2:$C$40)*0.15</f>
        <v>4034.1</v>
      </c>
      <c r="E69" s="247">
        <f>D69*EOQ!$C$10</f>
        <v>0.40341</v>
      </c>
      <c r="F69" s="247">
        <f>D69*EOQ!$F$10</f>
        <v>0</v>
      </c>
      <c r="G69" s="247">
        <f>D69*EOQ!$G$10</f>
        <v>0</v>
      </c>
      <c r="H69" s="247">
        <f>D69*EOQ!$I$10</f>
        <v>1.21023</v>
      </c>
      <c r="I69" s="247">
        <f>D69*EOQ!$K$10</f>
        <v>0.40341</v>
      </c>
      <c r="J69" s="247">
        <f>D69*EOQ!$M$10</f>
        <v>0</v>
      </c>
      <c r="K69" s="247">
        <f>D69*EOQ!$O$10</f>
        <v>0</v>
      </c>
      <c r="L69" s="247">
        <f>D69*EOQ!$Q$10</f>
        <v>3.22728</v>
      </c>
      <c r="M69" s="247">
        <f>D69*EOQ!$S$10</f>
        <v>63.33537</v>
      </c>
      <c r="N69" s="247">
        <f>D69*EOQ!$U$10</f>
        <v>296.50635</v>
      </c>
      <c r="O69" s="247">
        <f>D69*EOQ!$W$10</f>
        <v>251.72784</v>
      </c>
      <c r="P69" s="247">
        <f>D69*EOQ!$Y$10</f>
        <v>75.43767</v>
      </c>
      <c r="Q69" s="247">
        <f t="shared" ref="Q69:Q78" si="15">AVERAGE(E69:P69)</f>
        <v>57.68763</v>
      </c>
      <c r="R69" s="155">
        <f t="shared" si="9"/>
        <v>0.023075052</v>
      </c>
      <c r="T69" s="35">
        <f t="shared" si="10"/>
        <v>0</v>
      </c>
    </row>
    <row r="70">
      <c r="A70" s="155">
        <v>-33.42627012</v>
      </c>
      <c r="B70" s="155">
        <v>-70.54486003</v>
      </c>
      <c r="C70" s="155" t="s">
        <v>24</v>
      </c>
      <c r="D70" s="247">
        <f t="array" ref="D70">XLOOKUP(C70,'HouseHolds per "comuna"'!$B$2:$B$40,'HouseHolds per "comuna"'!$C$2:$C$40)*0.15</f>
        <v>16000.8</v>
      </c>
      <c r="E70" s="247">
        <f>D70*EOQ!$C$10</f>
        <v>1.60008</v>
      </c>
      <c r="F70" s="247">
        <f>D70*EOQ!$F$10</f>
        <v>0</v>
      </c>
      <c r="G70" s="247">
        <f>D70*EOQ!$G$10</f>
        <v>0</v>
      </c>
      <c r="H70" s="247">
        <f>D70*EOQ!$I$10</f>
        <v>4.80024</v>
      </c>
      <c r="I70" s="247">
        <f>D70*EOQ!$K$10</f>
        <v>1.60008</v>
      </c>
      <c r="J70" s="247">
        <f>D70*EOQ!$M$10</f>
        <v>0</v>
      </c>
      <c r="K70" s="247">
        <f>D70*EOQ!$O$10</f>
        <v>0</v>
      </c>
      <c r="L70" s="247">
        <f>D70*EOQ!$Q$10</f>
        <v>12.80064</v>
      </c>
      <c r="M70" s="247">
        <f>D70*EOQ!$S$10</f>
        <v>251.21256</v>
      </c>
      <c r="N70" s="247">
        <f>D70*EOQ!$U$10</f>
        <v>1176.0588</v>
      </c>
      <c r="O70" s="247">
        <f>D70*EOQ!$W$10</f>
        <v>998.44992</v>
      </c>
      <c r="P70" s="247">
        <f>D70*EOQ!$Y$10</f>
        <v>299.21496</v>
      </c>
      <c r="Q70" s="247">
        <f t="shared" si="15"/>
        <v>228.81144</v>
      </c>
      <c r="R70" s="155">
        <f t="shared" si="9"/>
        <v>0.091524576</v>
      </c>
      <c r="T70" s="35">
        <f t="shared" si="10"/>
        <v>0</v>
      </c>
    </row>
    <row r="71">
      <c r="A71" s="155">
        <v>-33.43795143</v>
      </c>
      <c r="B71" s="155">
        <v>-70.61132569</v>
      </c>
      <c r="C71" s="155" t="s">
        <v>26</v>
      </c>
      <c r="D71" s="247">
        <f t="array" ref="D71">XLOOKUP(C71,'HouseHolds per "comuna"'!$B$2:$B$40,'HouseHolds per "comuna"'!$C$2:$C$40)*0.15</f>
        <v>9332.25</v>
      </c>
      <c r="E71" s="247">
        <f>D71*EOQ!$C$10</f>
        <v>0.933225</v>
      </c>
      <c r="F71" s="247">
        <f>D71*EOQ!$F$10</f>
        <v>0</v>
      </c>
      <c r="G71" s="247">
        <f>D71*EOQ!$G$10</f>
        <v>0</v>
      </c>
      <c r="H71" s="247">
        <f>D71*EOQ!$I$10</f>
        <v>2.799675</v>
      </c>
      <c r="I71" s="247">
        <f>D71*EOQ!$K$10</f>
        <v>0.933225</v>
      </c>
      <c r="J71" s="247">
        <f>D71*EOQ!$M$10</f>
        <v>0</v>
      </c>
      <c r="K71" s="247">
        <f>D71*EOQ!$O$10</f>
        <v>0</v>
      </c>
      <c r="L71" s="247">
        <f>D71*EOQ!$Q$10</f>
        <v>7.4658</v>
      </c>
      <c r="M71" s="247">
        <f>D71*EOQ!$S$10</f>
        <v>146.516325</v>
      </c>
      <c r="N71" s="247">
        <f>D71*EOQ!$U$10</f>
        <v>685.920375</v>
      </c>
      <c r="O71" s="247">
        <f>D71*EOQ!$W$10</f>
        <v>582.3324</v>
      </c>
      <c r="P71" s="247">
        <f>D71*EOQ!$Y$10</f>
        <v>174.513075</v>
      </c>
      <c r="Q71" s="247">
        <f t="shared" si="15"/>
        <v>133.451175</v>
      </c>
      <c r="R71" s="155">
        <f t="shared" si="9"/>
        <v>0.05338047</v>
      </c>
      <c r="T71" s="35">
        <f t="shared" si="10"/>
        <v>0</v>
      </c>
    </row>
    <row r="72">
      <c r="A72" s="155">
        <v>-33.38144958</v>
      </c>
      <c r="B72" s="155">
        <v>-70.56353561</v>
      </c>
      <c r="C72" s="155" t="s">
        <v>28</v>
      </c>
      <c r="D72" s="247">
        <f t="array" ref="D72">XLOOKUP(C72,'HouseHolds per "comuna"'!$B$2:$B$40,'HouseHolds per "comuna"'!$C$2:$C$40)*0.15</f>
        <v>4222.35</v>
      </c>
      <c r="E72" s="247">
        <f>D72*EOQ!$C$10</f>
        <v>0.422235</v>
      </c>
      <c r="F72" s="247">
        <f>D72*EOQ!$F$10</f>
        <v>0</v>
      </c>
      <c r="G72" s="247">
        <f>D72*EOQ!$G$10</f>
        <v>0</v>
      </c>
      <c r="H72" s="247">
        <f>D72*EOQ!$I$10</f>
        <v>1.266705</v>
      </c>
      <c r="I72" s="247">
        <f>D72*EOQ!$K$10</f>
        <v>0.422235</v>
      </c>
      <c r="J72" s="247">
        <f>D72*EOQ!$M$10</f>
        <v>0</v>
      </c>
      <c r="K72" s="247">
        <f>D72*EOQ!$O$10</f>
        <v>0</v>
      </c>
      <c r="L72" s="247">
        <f>D72*EOQ!$Q$10</f>
        <v>3.37788</v>
      </c>
      <c r="M72" s="247">
        <f>D72*EOQ!$S$10</f>
        <v>66.290895</v>
      </c>
      <c r="N72" s="247">
        <f>D72*EOQ!$U$10</f>
        <v>310.342725</v>
      </c>
      <c r="O72" s="247">
        <f>D72*EOQ!$W$10</f>
        <v>263.47464</v>
      </c>
      <c r="P72" s="247">
        <f>D72*EOQ!$Y$10</f>
        <v>78.957945</v>
      </c>
      <c r="Q72" s="247">
        <f t="shared" si="15"/>
        <v>60.379605</v>
      </c>
      <c r="R72" s="155">
        <f t="shared" si="9"/>
        <v>0.024151842</v>
      </c>
      <c r="T72" s="35">
        <f t="shared" si="10"/>
        <v>0</v>
      </c>
    </row>
    <row r="73">
      <c r="A73" s="155">
        <v>-33.42043054552</v>
      </c>
      <c r="B73" s="155">
        <v>-70.733744571828</v>
      </c>
      <c r="C73" s="155" t="s">
        <v>30</v>
      </c>
      <c r="D73" s="247">
        <f t="array" ref="D73">XLOOKUP(C73,'HouseHolds per "comuna"'!$B$2:$B$40,'HouseHolds per "comuna"'!$C$2:$C$40)*0.15</f>
        <v>5797.65</v>
      </c>
      <c r="E73" s="247">
        <f>D73*EOQ!$C$10</f>
        <v>0.579765</v>
      </c>
      <c r="F73" s="247">
        <f>D73*EOQ!$F$10</f>
        <v>0</v>
      </c>
      <c r="G73" s="247">
        <f>D73*EOQ!$G$10</f>
        <v>0</v>
      </c>
      <c r="H73" s="247">
        <f>D73*EOQ!$I$10</f>
        <v>1.739295</v>
      </c>
      <c r="I73" s="247">
        <f>D73*EOQ!$K$10</f>
        <v>0.579765</v>
      </c>
      <c r="J73" s="247">
        <f>D73*EOQ!$M$10</f>
        <v>0</v>
      </c>
      <c r="K73" s="247">
        <f>D73*EOQ!$O$10</f>
        <v>0</v>
      </c>
      <c r="L73" s="247">
        <f>D73*EOQ!$Q$10</f>
        <v>4.63812</v>
      </c>
      <c r="M73" s="247">
        <f>D73*EOQ!$S$10</f>
        <v>91.023105</v>
      </c>
      <c r="N73" s="247">
        <f>D73*EOQ!$U$10</f>
        <v>426.127275</v>
      </c>
      <c r="O73" s="247">
        <f>D73*EOQ!$W$10</f>
        <v>361.77336</v>
      </c>
      <c r="P73" s="247">
        <f>D73*EOQ!$Y$10</f>
        <v>108.416055</v>
      </c>
      <c r="Q73" s="247">
        <f t="shared" si="15"/>
        <v>82.906395</v>
      </c>
      <c r="R73" s="155">
        <f t="shared" si="9"/>
        <v>0.033162558</v>
      </c>
      <c r="T73" s="35">
        <f t="shared" si="10"/>
        <v>0</v>
      </c>
    </row>
    <row r="74">
      <c r="A74" s="155">
        <v>-33.4799485636684</v>
      </c>
      <c r="B74" s="155">
        <v>-70.6611965188523</v>
      </c>
      <c r="C74" s="155" t="s">
        <v>32</v>
      </c>
      <c r="D74" s="247">
        <f t="array" ref="D74">XLOOKUP(C74,'HouseHolds per "comuna"'!$B$2:$B$40,'HouseHolds per "comuna"'!$C$2:$C$40)*0.15</f>
        <v>4488.15</v>
      </c>
      <c r="E74" s="247">
        <f>D74*EOQ!$C$10</f>
        <v>0.448815</v>
      </c>
      <c r="F74" s="247">
        <f>D74*EOQ!$F$10</f>
        <v>0</v>
      </c>
      <c r="G74" s="247">
        <f>D74*EOQ!$G$10</f>
        <v>0</v>
      </c>
      <c r="H74" s="247">
        <f>D74*EOQ!$I$10</f>
        <v>1.346445</v>
      </c>
      <c r="I74" s="247">
        <f>D74*EOQ!$K$10</f>
        <v>0.448815</v>
      </c>
      <c r="J74" s="247">
        <f>D74*EOQ!$M$10</f>
        <v>0</v>
      </c>
      <c r="K74" s="247">
        <f>D74*EOQ!$O$10</f>
        <v>0</v>
      </c>
      <c r="L74" s="247">
        <f>D74*EOQ!$Q$10</f>
        <v>3.59052</v>
      </c>
      <c r="M74" s="247">
        <f>D74*EOQ!$S$10</f>
        <v>70.463955</v>
      </c>
      <c r="N74" s="247">
        <f>D74*EOQ!$U$10</f>
        <v>329.879025</v>
      </c>
      <c r="O74" s="247">
        <f>D74*EOQ!$W$10</f>
        <v>280.06056</v>
      </c>
      <c r="P74" s="247">
        <f>D74*EOQ!$Y$10</f>
        <v>83.928405</v>
      </c>
      <c r="Q74" s="247">
        <f t="shared" si="15"/>
        <v>64.180545</v>
      </c>
      <c r="R74" s="155">
        <f t="shared" si="9"/>
        <v>0.025672218</v>
      </c>
      <c r="T74" s="35">
        <f t="shared" si="10"/>
        <v>0</v>
      </c>
    </row>
    <row r="75">
      <c r="A75" s="155">
        <v>-33.5669161134897</v>
      </c>
      <c r="B75" s="155">
        <v>-70.6821206157262</v>
      </c>
      <c r="C75" s="155" t="s">
        <v>34</v>
      </c>
      <c r="D75" s="247">
        <f t="array" ref="D75">XLOOKUP(C75,'HouseHolds per "comuna"'!$B$2:$B$40,'HouseHolds per "comuna"'!$C$2:$C$40)*0.15</f>
        <v>7107.6</v>
      </c>
      <c r="E75" s="247">
        <f>D75*EOQ!$C$10</f>
        <v>0.71076</v>
      </c>
      <c r="F75" s="247">
        <f>D75*EOQ!$F$10</f>
        <v>0</v>
      </c>
      <c r="G75" s="247">
        <f>D75*EOQ!$G$10</f>
        <v>0</v>
      </c>
      <c r="H75" s="247">
        <f>D75*EOQ!$I$10</f>
        <v>2.13228</v>
      </c>
      <c r="I75" s="247">
        <f>D75*EOQ!$K$10</f>
        <v>0.71076</v>
      </c>
      <c r="J75" s="247">
        <f>D75*EOQ!$M$10</f>
        <v>0</v>
      </c>
      <c r="K75" s="247">
        <f>D75*EOQ!$O$10</f>
        <v>0</v>
      </c>
      <c r="L75" s="247">
        <f>D75*EOQ!$Q$10</f>
        <v>5.68608</v>
      </c>
      <c r="M75" s="247">
        <f>D75*EOQ!$S$10</f>
        <v>111.58932</v>
      </c>
      <c r="N75" s="247">
        <f>D75*EOQ!$U$10</f>
        <v>522.4086</v>
      </c>
      <c r="O75" s="247">
        <f>D75*EOQ!$W$10</f>
        <v>443.51424</v>
      </c>
      <c r="P75" s="247">
        <f>D75*EOQ!$Y$10</f>
        <v>132.91212</v>
      </c>
      <c r="Q75" s="247">
        <f t="shared" si="15"/>
        <v>101.63868</v>
      </c>
      <c r="R75" s="155">
        <f t="shared" si="9"/>
        <v>0.040655472</v>
      </c>
      <c r="T75" s="35">
        <f t="shared" si="10"/>
        <v>0</v>
      </c>
    </row>
    <row r="76">
      <c r="A76" s="155">
        <v>-33.5225565127023</v>
      </c>
      <c r="B76" s="155">
        <v>-70.7721740162419</v>
      </c>
      <c r="C76" s="155" t="s">
        <v>36</v>
      </c>
      <c r="D76" s="247">
        <f t="array" ref="D76">XLOOKUP(C76,'HouseHolds per "comuna"'!$B$2:$B$40,'HouseHolds per "comuna"'!$C$2:$C$40)*0.15</f>
        <v>23308.65</v>
      </c>
      <c r="E76" s="247">
        <f>D76*EOQ!$C$10</f>
        <v>2.330865</v>
      </c>
      <c r="F76" s="247">
        <f>D76*EOQ!$F$10</f>
        <v>0</v>
      </c>
      <c r="G76" s="247">
        <f>D76*EOQ!$G$10</f>
        <v>0</v>
      </c>
      <c r="H76" s="247">
        <f>D76*EOQ!$I$10</f>
        <v>6.992595</v>
      </c>
      <c r="I76" s="247">
        <f>D76*EOQ!$K$10</f>
        <v>2.330865</v>
      </c>
      <c r="J76" s="247">
        <f>D76*EOQ!$M$10</f>
        <v>0</v>
      </c>
      <c r="K76" s="247">
        <f>D76*EOQ!$O$10</f>
        <v>0</v>
      </c>
      <c r="L76" s="247">
        <f>D76*EOQ!$Q$10</f>
        <v>18.64692</v>
      </c>
      <c r="M76" s="247">
        <f>D76*EOQ!$S$10</f>
        <v>365.945805</v>
      </c>
      <c r="N76" s="247">
        <f>D76*EOQ!$U$10</f>
        <v>1713.185775</v>
      </c>
      <c r="O76" s="247">
        <f>D76*EOQ!$W$10</f>
        <v>1454.45976</v>
      </c>
      <c r="P76" s="247">
        <f>D76*EOQ!$Y$10</f>
        <v>435.871755</v>
      </c>
      <c r="Q76" s="247">
        <f t="shared" si="15"/>
        <v>333.313695</v>
      </c>
      <c r="R76" s="155">
        <f t="shared" si="9"/>
        <v>0.133325478</v>
      </c>
      <c r="T76" s="35">
        <f t="shared" si="10"/>
        <v>0</v>
      </c>
    </row>
    <row r="77">
      <c r="A77" s="155">
        <v>-33.5389061820572</v>
      </c>
      <c r="B77" s="155">
        <v>-70.5892347989387</v>
      </c>
      <c r="C77" s="155" t="s">
        <v>38</v>
      </c>
      <c r="D77" s="247">
        <f t="array" ref="D77">XLOOKUP(C77,'HouseHolds per "comuna"'!$B$2:$B$40,'HouseHolds per "comuna"'!$C$2:$C$40)*0.15</f>
        <v>17274.15</v>
      </c>
      <c r="E77" s="247">
        <f>D77*EOQ!$C$10</f>
        <v>1.727415</v>
      </c>
      <c r="F77" s="247">
        <f>D77*EOQ!$F$10</f>
        <v>0</v>
      </c>
      <c r="G77" s="247">
        <f>D77*EOQ!$G$10</f>
        <v>0</v>
      </c>
      <c r="H77" s="247">
        <f>D77*EOQ!$I$10</f>
        <v>5.182245</v>
      </c>
      <c r="I77" s="247">
        <f>D77*EOQ!$K$10</f>
        <v>1.727415</v>
      </c>
      <c r="J77" s="247">
        <f>D77*EOQ!$M$10</f>
        <v>0</v>
      </c>
      <c r="K77" s="247">
        <f>D77*EOQ!$O$10</f>
        <v>0</v>
      </c>
      <c r="L77" s="247">
        <f>D77*EOQ!$Q$10</f>
        <v>13.81932</v>
      </c>
      <c r="M77" s="247">
        <f>D77*EOQ!$S$10</f>
        <v>271.204155</v>
      </c>
      <c r="N77" s="247">
        <f>D77*EOQ!$U$10</f>
        <v>1269.650025</v>
      </c>
      <c r="O77" s="247">
        <f>D77*EOQ!$W$10</f>
        <v>1077.90696</v>
      </c>
      <c r="P77" s="247">
        <f>D77*EOQ!$Y$10</f>
        <v>323.026605</v>
      </c>
      <c r="Q77" s="247">
        <f t="shared" si="15"/>
        <v>247.020345</v>
      </c>
      <c r="R77" s="155">
        <f t="shared" si="9"/>
        <v>0.098808138</v>
      </c>
      <c r="T77" s="35">
        <f t="shared" si="10"/>
        <v>0</v>
      </c>
    </row>
    <row r="78">
      <c r="A78" s="388">
        <v>-33.3681972446535</v>
      </c>
      <c r="B78" s="388">
        <v>-70.6341155197432</v>
      </c>
      <c r="C78" s="388" t="s">
        <v>402</v>
      </c>
      <c r="D78" s="389">
        <f t="array" ref="D78">XLOOKUP(C78,'HouseHolds per "comuna"'!$B$2:$B$40,'HouseHolds per "comuna"'!$C$2:$C$40)*0.15</f>
        <v>4195.65</v>
      </c>
      <c r="E78" s="389">
        <f>D78*EOQ!$C$10</f>
        <v>0.419565</v>
      </c>
      <c r="F78" s="389">
        <f>D78*EOQ!$F$10</f>
        <v>0</v>
      </c>
      <c r="G78" s="389">
        <f>D78*EOQ!$G$10</f>
        <v>0</v>
      </c>
      <c r="H78" s="389">
        <f>D78*EOQ!$I$10</f>
        <v>1.258695</v>
      </c>
      <c r="I78" s="389">
        <f>D78*EOQ!$K$10</f>
        <v>0.419565</v>
      </c>
      <c r="J78" s="389">
        <f>D78*EOQ!$M$10</f>
        <v>0</v>
      </c>
      <c r="K78" s="389">
        <f>D78*EOQ!$O$10</f>
        <v>0</v>
      </c>
      <c r="L78" s="389">
        <f>D78*EOQ!$Q$10</f>
        <v>3.35652</v>
      </c>
      <c r="M78" s="389">
        <f>D78*EOQ!$S$10</f>
        <v>65.871705</v>
      </c>
      <c r="N78" s="389">
        <f>D78*EOQ!$U$10</f>
        <v>308.380275</v>
      </c>
      <c r="O78" s="389">
        <f>D78*EOQ!$W$10</f>
        <v>261.80856</v>
      </c>
      <c r="P78" s="389">
        <f>D78*EOQ!$Y$10</f>
        <v>78.458655</v>
      </c>
      <c r="Q78" s="247">
        <f t="shared" si="15"/>
        <v>59.997795</v>
      </c>
      <c r="R78" s="155">
        <f t="shared" si="9"/>
        <v>0.023999118</v>
      </c>
      <c r="T78" s="35">
        <f t="shared" si="10"/>
        <v>0</v>
      </c>
    </row>
    <row r="79">
      <c r="A79" s="386"/>
      <c r="B79" s="386"/>
      <c r="C79" s="386" t="s">
        <v>35</v>
      </c>
      <c r="D79" s="247"/>
      <c r="E79" s="247"/>
      <c r="F79" s="247"/>
      <c r="G79" s="247"/>
      <c r="H79" s="247"/>
      <c r="I79" s="247"/>
      <c r="J79" s="247"/>
      <c r="K79" s="247"/>
      <c r="L79" s="247"/>
      <c r="M79" s="247"/>
      <c r="N79" s="247"/>
      <c r="O79" s="247"/>
      <c r="P79" s="247"/>
      <c r="R79" s="155">
        <f t="shared" si="9"/>
        <v>0</v>
      </c>
      <c r="T79" s="35">
        <f t="shared" si="10"/>
        <v>0</v>
      </c>
    </row>
    <row r="80">
      <c r="A80" s="155">
        <v>-33.34335643</v>
      </c>
      <c r="B80" s="155">
        <v>-70.52466882</v>
      </c>
      <c r="C80" s="155" t="s">
        <v>22</v>
      </c>
      <c r="D80" s="247">
        <f t="array" ref="D80">XLOOKUP(C80,'HouseHolds per "comuna"'!$B$2:$B$40,'HouseHolds per "comuna"'!$C$2:$C$40)*0.15</f>
        <v>4034.1</v>
      </c>
      <c r="E80" s="247">
        <f>D80*EOQ!$C$11</f>
        <v>4679.15259</v>
      </c>
      <c r="F80" s="247">
        <f>D80*EOQ!$F$11</f>
        <v>4302.968089</v>
      </c>
      <c r="G80" s="247">
        <f>D80*EOQ!$G$11</f>
        <v>5709.05832</v>
      </c>
      <c r="H80" s="247">
        <f>D80*EOQ!$I$11</f>
        <v>5167.6821</v>
      </c>
      <c r="I80" s="247">
        <f>D80*EOQ!$K$11</f>
        <v>5547.69432</v>
      </c>
      <c r="J80" s="247">
        <f>D80*EOQ!$M$11</f>
        <v>5620.71153</v>
      </c>
      <c r="K80" s="247">
        <f>D80*EOQ!$O$11</f>
        <v>5247.15387</v>
      </c>
      <c r="L80" s="247">
        <f>D80*EOQ!$Q$11</f>
        <v>5206.40946</v>
      </c>
      <c r="M80" s="247">
        <f>D80*EOQ!$S$11</f>
        <v>4026.83862</v>
      </c>
      <c r="N80" s="247">
        <f>D80*EOQ!$U$11</f>
        <v>3799.71879</v>
      </c>
      <c r="O80" s="247">
        <f>D80*EOQ!$W$11</f>
        <v>4129.70817</v>
      </c>
      <c r="P80" s="247">
        <f>D80*EOQ!$Y$11</f>
        <v>3786.00285</v>
      </c>
      <c r="Q80" s="247">
        <f t="shared" ref="Q80:Q89" si="16">AVERAGE(E80:P80)</f>
        <v>4768.591559</v>
      </c>
      <c r="R80" s="155">
        <f t="shared" si="9"/>
        <v>1.907436624</v>
      </c>
      <c r="T80" s="35">
        <f t="shared" si="10"/>
        <v>0</v>
      </c>
    </row>
    <row r="81">
      <c r="A81" s="155">
        <v>-33.42627012</v>
      </c>
      <c r="B81" s="155">
        <v>-70.54486003</v>
      </c>
      <c r="C81" s="155" t="s">
        <v>24</v>
      </c>
      <c r="D81" s="247">
        <f t="array" ref="D81">XLOOKUP(C81,'HouseHolds per "comuna"'!$B$2:$B$40,'HouseHolds per "comuna"'!$C$2:$C$40)*0.15</f>
        <v>16000.8</v>
      </c>
      <c r="E81" s="247">
        <f>D81*EOQ!$C$11</f>
        <v>18559.32792</v>
      </c>
      <c r="F81" s="247">
        <f>D81*EOQ!$F$11</f>
        <v>17067.23478</v>
      </c>
      <c r="G81" s="247">
        <f>D81*EOQ!$G$11</f>
        <v>22644.33216</v>
      </c>
      <c r="H81" s="247">
        <f>D81*EOQ!$I$11</f>
        <v>20497.0248</v>
      </c>
      <c r="I81" s="247">
        <f>D81*EOQ!$K$11</f>
        <v>22004.30016</v>
      </c>
      <c r="J81" s="247">
        <f>D81*EOQ!$M$11</f>
        <v>22293.91464</v>
      </c>
      <c r="K81" s="247">
        <f>D81*EOQ!$O$11</f>
        <v>20812.24056</v>
      </c>
      <c r="L81" s="247">
        <f>D81*EOQ!$Q$11</f>
        <v>20650.63248</v>
      </c>
      <c r="M81" s="247">
        <f>D81*EOQ!$S$11</f>
        <v>15971.99856</v>
      </c>
      <c r="N81" s="247">
        <f>D81*EOQ!$U$11</f>
        <v>15071.15352</v>
      </c>
      <c r="O81" s="247">
        <f>D81*EOQ!$W$11</f>
        <v>16380.01896</v>
      </c>
      <c r="P81" s="247">
        <f>D81*EOQ!$Y$11</f>
        <v>15016.7508</v>
      </c>
      <c r="Q81" s="247">
        <f t="shared" si="16"/>
        <v>18914.07744</v>
      </c>
      <c r="R81" s="155">
        <f t="shared" si="9"/>
        <v>7.565630978</v>
      </c>
      <c r="T81" s="35">
        <f t="shared" si="10"/>
        <v>0</v>
      </c>
    </row>
    <row r="82">
      <c r="A82" s="155">
        <v>-33.43795143</v>
      </c>
      <c r="B82" s="155">
        <v>-70.61132569</v>
      </c>
      <c r="C82" s="155" t="s">
        <v>26</v>
      </c>
      <c r="D82" s="247">
        <f t="array" ref="D82">XLOOKUP(C82,'HouseHolds per "comuna"'!$B$2:$B$40,'HouseHolds per "comuna"'!$C$2:$C$40)*0.15</f>
        <v>9332.25</v>
      </c>
      <c r="E82" s="247">
        <f>D82*EOQ!$C$11</f>
        <v>10824.47678</v>
      </c>
      <c r="F82" s="247">
        <f>D82*EOQ!$F$11</f>
        <v>9954.233646</v>
      </c>
      <c r="G82" s="247">
        <f>D82*EOQ!$G$11</f>
        <v>13207.0002</v>
      </c>
      <c r="H82" s="247">
        <f>D82*EOQ!$I$11</f>
        <v>11954.61225</v>
      </c>
      <c r="I82" s="247">
        <f>D82*EOQ!$K$11</f>
        <v>12833.7102</v>
      </c>
      <c r="J82" s="247">
        <f>D82*EOQ!$M$11</f>
        <v>13002.62393</v>
      </c>
      <c r="K82" s="247">
        <f>D82*EOQ!$O$11</f>
        <v>12138.45758</v>
      </c>
      <c r="L82" s="247">
        <f>D82*EOQ!$Q$11</f>
        <v>12044.20185</v>
      </c>
      <c r="M82" s="247">
        <f>D82*EOQ!$S$11</f>
        <v>9315.45195</v>
      </c>
      <c r="N82" s="247">
        <f>D82*EOQ!$U$11</f>
        <v>8790.046275</v>
      </c>
      <c r="O82" s="247">
        <f>D82*EOQ!$W$11</f>
        <v>9553.424325</v>
      </c>
      <c r="P82" s="247">
        <f>D82*EOQ!$Y$11</f>
        <v>8758.316625</v>
      </c>
      <c r="Q82" s="247">
        <f t="shared" si="16"/>
        <v>11031.37963</v>
      </c>
      <c r="R82" s="155">
        <f t="shared" si="9"/>
        <v>4.412551853</v>
      </c>
      <c r="T82" s="35">
        <f t="shared" si="10"/>
        <v>0</v>
      </c>
    </row>
    <row r="83">
      <c r="A83" s="155">
        <v>-33.38144958</v>
      </c>
      <c r="B83" s="155">
        <v>-70.56353561</v>
      </c>
      <c r="C83" s="155" t="s">
        <v>28</v>
      </c>
      <c r="D83" s="247">
        <f t="array" ref="D83">XLOOKUP(C83,'HouseHolds per "comuna"'!$B$2:$B$40,'HouseHolds per "comuna"'!$C$2:$C$40)*0.15</f>
        <v>4222.35</v>
      </c>
      <c r="E83" s="247">
        <f>D83*EOQ!$C$11</f>
        <v>4897.503765</v>
      </c>
      <c r="F83" s="247">
        <f>D83*EOQ!$F$11</f>
        <v>4503.764734</v>
      </c>
      <c r="G83" s="247">
        <f>D83*EOQ!$G$11</f>
        <v>5975.46972</v>
      </c>
      <c r="H83" s="247">
        <f>D83*EOQ!$I$11</f>
        <v>5408.83035</v>
      </c>
      <c r="I83" s="247">
        <f>D83*EOQ!$K$11</f>
        <v>5806.57572</v>
      </c>
      <c r="J83" s="247">
        <f>D83*EOQ!$M$11</f>
        <v>5883.000255</v>
      </c>
      <c r="K83" s="247">
        <f>D83*EOQ!$O$11</f>
        <v>5492.010645</v>
      </c>
      <c r="L83" s="247">
        <f>D83*EOQ!$Q$11</f>
        <v>5449.36491</v>
      </c>
      <c r="M83" s="247">
        <f>D83*EOQ!$S$11</f>
        <v>4214.74977</v>
      </c>
      <c r="N83" s="247">
        <f>D83*EOQ!$U$11</f>
        <v>3977.031465</v>
      </c>
      <c r="O83" s="247">
        <f>D83*EOQ!$W$11</f>
        <v>4322.419695</v>
      </c>
      <c r="P83" s="247">
        <f>D83*EOQ!$Y$11</f>
        <v>3962.675475</v>
      </c>
      <c r="Q83" s="247">
        <f t="shared" si="16"/>
        <v>4991.116375</v>
      </c>
      <c r="R83" s="155">
        <f t="shared" si="9"/>
        <v>1.99644655</v>
      </c>
      <c r="T83" s="35">
        <f t="shared" si="10"/>
        <v>0</v>
      </c>
    </row>
    <row r="84">
      <c r="A84" s="155">
        <v>-33.42043054552</v>
      </c>
      <c r="B84" s="155">
        <v>-70.733744571828</v>
      </c>
      <c r="C84" s="155" t="s">
        <v>30</v>
      </c>
      <c r="D84" s="247">
        <f t="array" ref="D84">XLOOKUP(C84,'HouseHolds per "comuna"'!$B$2:$B$40,'HouseHolds per "comuna"'!$C$2:$C$40)*0.15</f>
        <v>5797.65</v>
      </c>
      <c r="E84" s="247">
        <f>D84*EOQ!$C$11</f>
        <v>6724.694235</v>
      </c>
      <c r="F84" s="247">
        <f>D84*EOQ!$F$11</f>
        <v>6184.056653</v>
      </c>
      <c r="G84" s="247">
        <f>D84*EOQ!$G$11</f>
        <v>8204.83428</v>
      </c>
      <c r="H84" s="247">
        <f>D84*EOQ!$I$11</f>
        <v>7426.78965</v>
      </c>
      <c r="I84" s="247">
        <f>D84*EOQ!$K$11</f>
        <v>7972.92828</v>
      </c>
      <c r="J84" s="247">
        <f>D84*EOQ!$M$11</f>
        <v>8077.865745</v>
      </c>
      <c r="K84" s="247">
        <f>D84*EOQ!$O$11</f>
        <v>7541.003355</v>
      </c>
      <c r="L84" s="247">
        <f>D84*EOQ!$Q$11</f>
        <v>7482.44709</v>
      </c>
      <c r="M84" s="247">
        <f>D84*EOQ!$S$11</f>
        <v>5787.21423</v>
      </c>
      <c r="N84" s="247">
        <f>D84*EOQ!$U$11</f>
        <v>5460.806535</v>
      </c>
      <c r="O84" s="247">
        <f>D84*EOQ!$W$11</f>
        <v>5935.054305</v>
      </c>
      <c r="P84" s="247">
        <f>D84*EOQ!$Y$11</f>
        <v>5441.094525</v>
      </c>
      <c r="Q84" s="247">
        <f t="shared" si="16"/>
        <v>6853.232407</v>
      </c>
      <c r="R84" s="155">
        <f t="shared" si="9"/>
        <v>2.741292963</v>
      </c>
      <c r="T84" s="35">
        <f t="shared" si="10"/>
        <v>0</v>
      </c>
    </row>
    <row r="85">
      <c r="A85" s="155">
        <v>-33.4799485636684</v>
      </c>
      <c r="B85" s="155">
        <v>-70.6611965188523</v>
      </c>
      <c r="C85" s="155" t="s">
        <v>32</v>
      </c>
      <c r="D85" s="247">
        <f t="array" ref="D85">XLOOKUP(C85,'HouseHolds per "comuna"'!$B$2:$B$40,'HouseHolds per "comuna"'!$C$2:$C$40)*0.15</f>
        <v>4488.15</v>
      </c>
      <c r="E85" s="247">
        <f>D85*EOQ!$C$11</f>
        <v>5205.805185</v>
      </c>
      <c r="F85" s="247">
        <f>D85*EOQ!$F$11</f>
        <v>4787.279996</v>
      </c>
      <c r="G85" s="247">
        <f>D85*EOQ!$G$11</f>
        <v>6351.62988</v>
      </c>
      <c r="H85" s="247">
        <f>D85*EOQ!$I$11</f>
        <v>5749.32015</v>
      </c>
      <c r="I85" s="247">
        <f>D85*EOQ!$K$11</f>
        <v>6172.10388</v>
      </c>
      <c r="J85" s="247">
        <f>D85*EOQ!$M$11</f>
        <v>6253.339395</v>
      </c>
      <c r="K85" s="247">
        <f>D85*EOQ!$O$11</f>
        <v>5837.736705</v>
      </c>
      <c r="L85" s="247">
        <f>D85*EOQ!$Q$11</f>
        <v>5792.40639</v>
      </c>
      <c r="M85" s="247">
        <f>D85*EOQ!$S$11</f>
        <v>4480.07133</v>
      </c>
      <c r="N85" s="247">
        <f>D85*EOQ!$U$11</f>
        <v>4227.388485</v>
      </c>
      <c r="O85" s="247">
        <f>D85*EOQ!$W$11</f>
        <v>4594.519155</v>
      </c>
      <c r="P85" s="247">
        <f>D85*EOQ!$Y$11</f>
        <v>4212.128775</v>
      </c>
      <c r="Q85" s="247">
        <f t="shared" si="16"/>
        <v>5305.310777</v>
      </c>
      <c r="R85" s="155">
        <f t="shared" si="9"/>
        <v>2.122124311</v>
      </c>
      <c r="T85" s="35">
        <f t="shared" si="10"/>
        <v>0</v>
      </c>
    </row>
    <row r="86">
      <c r="A86" s="155">
        <v>-33.5669161134897</v>
      </c>
      <c r="B86" s="155">
        <v>-70.6821206157262</v>
      </c>
      <c r="C86" s="155" t="s">
        <v>34</v>
      </c>
      <c r="D86" s="247">
        <f t="array" ref="D86">XLOOKUP(C86,'HouseHolds per "comuna"'!$B$2:$B$40,'HouseHolds per "comuna"'!$C$2:$C$40)*0.15</f>
        <v>7107.6</v>
      </c>
      <c r="E86" s="247">
        <f>D86*EOQ!$C$11</f>
        <v>8244.10524</v>
      </c>
      <c r="F86" s="247">
        <f>D86*EOQ!$F$11</f>
        <v>7581.313302</v>
      </c>
      <c r="G86" s="247">
        <f>D86*EOQ!$G$11</f>
        <v>10058.67552</v>
      </c>
      <c r="H86" s="247">
        <f>D86*EOQ!$I$11</f>
        <v>9104.8356</v>
      </c>
      <c r="I86" s="247">
        <f>D86*EOQ!$K$11</f>
        <v>9774.37152</v>
      </c>
      <c r="J86" s="247">
        <f>D86*EOQ!$M$11</f>
        <v>9903.01908</v>
      </c>
      <c r="K86" s="247">
        <f>D86*EOQ!$O$11</f>
        <v>9244.85532</v>
      </c>
      <c r="L86" s="247">
        <f>D86*EOQ!$Q$11</f>
        <v>9173.06856</v>
      </c>
      <c r="M86" s="247">
        <f>D86*EOQ!$S$11</f>
        <v>7094.80632</v>
      </c>
      <c r="N86" s="247">
        <f>D86*EOQ!$U$11</f>
        <v>6694.64844</v>
      </c>
      <c r="O86" s="247">
        <f>D86*EOQ!$W$11</f>
        <v>7276.05012</v>
      </c>
      <c r="P86" s="247">
        <f>D86*EOQ!$Y$11</f>
        <v>6670.4826</v>
      </c>
      <c r="Q86" s="247">
        <f t="shared" si="16"/>
        <v>8401.685969</v>
      </c>
      <c r="R86" s="155">
        <f t="shared" si="9"/>
        <v>3.360674387</v>
      </c>
      <c r="T86" s="35">
        <f t="shared" si="10"/>
        <v>0</v>
      </c>
    </row>
    <row r="87">
      <c r="A87" s="155">
        <v>-33.5225565127023</v>
      </c>
      <c r="B87" s="155">
        <v>-70.7721740162419</v>
      </c>
      <c r="C87" s="155" t="s">
        <v>36</v>
      </c>
      <c r="D87" s="247">
        <f t="array" ref="D87">XLOOKUP(C87,'HouseHolds per "comuna"'!$B$2:$B$40,'HouseHolds per "comuna"'!$C$2:$C$40)*0.15</f>
        <v>23308.65</v>
      </c>
      <c r="E87" s="247">
        <f>D87*EOQ!$C$11</f>
        <v>27035.70314</v>
      </c>
      <c r="F87" s="247">
        <f>D87*EOQ!$F$11</f>
        <v>24862.14451</v>
      </c>
      <c r="G87" s="247">
        <f>D87*EOQ!$G$11</f>
        <v>32986.40148</v>
      </c>
      <c r="H87" s="247">
        <f>D87*EOQ!$I$11</f>
        <v>29858.38065</v>
      </c>
      <c r="I87" s="247">
        <f>D87*EOQ!$K$11</f>
        <v>32054.05548</v>
      </c>
      <c r="J87" s="247">
        <f>D87*EOQ!$M$11</f>
        <v>32475.94205</v>
      </c>
      <c r="K87" s="247">
        <f>D87*EOQ!$O$11</f>
        <v>30317.56106</v>
      </c>
      <c r="L87" s="247">
        <f>D87*EOQ!$Q$11</f>
        <v>30082.14369</v>
      </c>
      <c r="M87" s="247">
        <f>D87*EOQ!$S$11</f>
        <v>23266.69443</v>
      </c>
      <c r="N87" s="247">
        <f>D87*EOQ!$U$11</f>
        <v>21954.41744</v>
      </c>
      <c r="O87" s="247">
        <f>D87*EOQ!$W$11</f>
        <v>23861.06501</v>
      </c>
      <c r="P87" s="247">
        <f>D87*EOQ!$Y$11</f>
        <v>21875.16803</v>
      </c>
      <c r="Q87" s="247">
        <f t="shared" si="16"/>
        <v>27552.47308</v>
      </c>
      <c r="R87" s="155">
        <f t="shared" si="9"/>
        <v>11.02098923</v>
      </c>
      <c r="T87" s="35">
        <f t="shared" si="10"/>
        <v>0</v>
      </c>
    </row>
    <row r="88">
      <c r="A88" s="155">
        <v>-33.5389061820572</v>
      </c>
      <c r="B88" s="155">
        <v>-70.5892347989387</v>
      </c>
      <c r="C88" s="155" t="s">
        <v>38</v>
      </c>
      <c r="D88" s="247">
        <f t="array" ref="D88">XLOOKUP(C88,'HouseHolds per "comuna"'!$B$2:$B$40,'HouseHolds per "comuna"'!$C$2:$C$40)*0.15</f>
        <v>17274.15</v>
      </c>
      <c r="E88" s="247">
        <f>D88*EOQ!$C$11</f>
        <v>20036.28659</v>
      </c>
      <c r="F88" s="247">
        <f>D88*EOQ!$F$11</f>
        <v>18425.45208</v>
      </c>
      <c r="G88" s="247">
        <f>D88*EOQ!$G$11</f>
        <v>24446.37708</v>
      </c>
      <c r="H88" s="247">
        <f>D88*EOQ!$I$11</f>
        <v>22128.18615</v>
      </c>
      <c r="I88" s="247">
        <f>D88*EOQ!$K$11</f>
        <v>23755.41108</v>
      </c>
      <c r="J88" s="247">
        <f>D88*EOQ!$M$11</f>
        <v>24068.0732</v>
      </c>
      <c r="K88" s="247">
        <f>D88*EOQ!$O$11</f>
        <v>22468.48691</v>
      </c>
      <c r="L88" s="247">
        <f>D88*EOQ!$Q$11</f>
        <v>22294.01799</v>
      </c>
      <c r="M88" s="247">
        <f>D88*EOQ!$S$11</f>
        <v>17243.05653</v>
      </c>
      <c r="N88" s="247">
        <f>D88*EOQ!$U$11</f>
        <v>16270.52189</v>
      </c>
      <c r="O88" s="247">
        <f>D88*EOQ!$W$11</f>
        <v>17683.54736</v>
      </c>
      <c r="P88" s="247">
        <f>D88*EOQ!$Y$11</f>
        <v>16211.78978</v>
      </c>
      <c r="Q88" s="247">
        <f t="shared" si="16"/>
        <v>20419.26722</v>
      </c>
      <c r="R88" s="155">
        <f t="shared" si="9"/>
        <v>8.167706887</v>
      </c>
      <c r="T88" s="35">
        <f t="shared" si="10"/>
        <v>0</v>
      </c>
    </row>
    <row r="89">
      <c r="A89" s="388">
        <v>-33.3681972446535</v>
      </c>
      <c r="B89" s="388">
        <v>-70.6341155197432</v>
      </c>
      <c r="C89" s="388" t="s">
        <v>402</v>
      </c>
      <c r="D89" s="389">
        <f t="array" ref="D89">XLOOKUP(C89,'HouseHolds per "comuna"'!$B$2:$B$40,'HouseHolds per "comuna"'!$C$2:$C$40)*0.15</f>
        <v>4195.65</v>
      </c>
      <c r="E89" s="389">
        <f>D89*EOQ!$C$11</f>
        <v>4866.534435</v>
      </c>
      <c r="F89" s="389">
        <f>D89*EOQ!$F$11</f>
        <v>4475.28521</v>
      </c>
      <c r="G89" s="389">
        <f>D89*EOQ!$G$11</f>
        <v>5937.68388</v>
      </c>
      <c r="H89" s="389">
        <f>D89*EOQ!$I$11</f>
        <v>5374.62765</v>
      </c>
      <c r="I89" s="389">
        <f>D89*EOQ!$K$11</f>
        <v>5769.85788</v>
      </c>
      <c r="J89" s="389">
        <f>D89*EOQ!$M$11</f>
        <v>5845.799145</v>
      </c>
      <c r="K89" s="389">
        <f>D89*EOQ!$O$11</f>
        <v>5457.281955</v>
      </c>
      <c r="L89" s="389">
        <f>D89*EOQ!$Q$11</f>
        <v>5414.90589</v>
      </c>
      <c r="M89" s="389">
        <f>D89*EOQ!$S$11</f>
        <v>4188.09783</v>
      </c>
      <c r="N89" s="389">
        <f>D89*EOQ!$U$11</f>
        <v>3951.882735</v>
      </c>
      <c r="O89" s="389">
        <f>D89*EOQ!$W$11</f>
        <v>4295.086905</v>
      </c>
      <c r="P89" s="389">
        <f>D89*EOQ!$Y$11</f>
        <v>3937.617525</v>
      </c>
      <c r="Q89" s="247">
        <f t="shared" si="16"/>
        <v>4959.555087</v>
      </c>
      <c r="R89" s="155">
        <f t="shared" si="9"/>
        <v>1.983822035</v>
      </c>
      <c r="T89" s="35">
        <f t="shared" si="10"/>
        <v>0</v>
      </c>
    </row>
    <row r="92">
      <c r="B92" s="390"/>
    </row>
  </sheetData>
  <mergeCells count="2">
    <mergeCell ref="E1:P1"/>
    <mergeCell ref="V7:Z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8.29"/>
    <col customWidth="1" min="4" max="4" width="15.14"/>
    <col customWidth="1" min="18" max="18" width="17.29"/>
  </cols>
  <sheetData>
    <row r="1">
      <c r="E1" s="385" t="s">
        <v>418</v>
      </c>
      <c r="T1" s="385" t="s">
        <v>432</v>
      </c>
    </row>
    <row r="2">
      <c r="A2" s="386" t="s">
        <v>419</v>
      </c>
      <c r="B2" s="386" t="s">
        <v>420</v>
      </c>
      <c r="C2" s="386" t="s">
        <v>21</v>
      </c>
      <c r="D2" s="386" t="s">
        <v>421</v>
      </c>
      <c r="E2" s="386" t="s">
        <v>83</v>
      </c>
      <c r="F2" s="386" t="s">
        <v>84</v>
      </c>
      <c r="G2" s="386" t="s">
        <v>85</v>
      </c>
      <c r="H2" s="386" t="s">
        <v>86</v>
      </c>
      <c r="I2" s="386" t="s">
        <v>87</v>
      </c>
      <c r="J2" s="386" t="s">
        <v>88</v>
      </c>
      <c r="K2" s="386" t="s">
        <v>89</v>
      </c>
      <c r="L2" s="386" t="s">
        <v>90</v>
      </c>
      <c r="M2" s="386" t="s">
        <v>422</v>
      </c>
      <c r="N2" s="386" t="s">
        <v>92</v>
      </c>
      <c r="O2" s="386" t="s">
        <v>93</v>
      </c>
      <c r="P2" s="386" t="s">
        <v>94</v>
      </c>
      <c r="Q2" s="386" t="s">
        <v>423</v>
      </c>
      <c r="R2" s="155" t="s">
        <v>433</v>
      </c>
      <c r="T2" s="386" t="s">
        <v>83</v>
      </c>
      <c r="U2" s="386" t="s">
        <v>84</v>
      </c>
      <c r="V2" s="386" t="s">
        <v>85</v>
      </c>
      <c r="W2" s="386" t="s">
        <v>86</v>
      </c>
      <c r="X2" s="386" t="s">
        <v>87</v>
      </c>
      <c r="Y2" s="386" t="s">
        <v>88</v>
      </c>
      <c r="Z2" s="386" t="s">
        <v>89</v>
      </c>
      <c r="AA2" s="386" t="s">
        <v>90</v>
      </c>
      <c r="AB2" s="386" t="s">
        <v>422</v>
      </c>
      <c r="AC2" s="386" t="s">
        <v>92</v>
      </c>
      <c r="AD2" s="386" t="s">
        <v>93</v>
      </c>
      <c r="AE2" s="386" t="s">
        <v>94</v>
      </c>
    </row>
    <row r="3">
      <c r="A3" s="155">
        <v>-33.34335643</v>
      </c>
      <c r="B3" s="155">
        <v>-70.52466882</v>
      </c>
      <c r="C3" s="155" t="s">
        <v>22</v>
      </c>
      <c r="D3" s="247">
        <f t="array" ref="D3">XLOOKUP(C3,'HouseHolds per "comuna"'!$B$2:$B$40,'HouseHolds per "comuna"'!$C$2:$C$40)*0.15</f>
        <v>4034.1</v>
      </c>
      <c r="E3" s="247">
        <f>EOQ!$C$4*D3</f>
        <v>26290.63311</v>
      </c>
      <c r="F3" s="247">
        <f>D3*EOQ!$E$4</f>
        <v>20521.4667</v>
      </c>
      <c r="G3" s="247">
        <f>D3*EOQ!$G$4</f>
        <v>21423.08805</v>
      </c>
      <c r="H3" s="247">
        <f>D3*EOQ!$I$4</f>
        <v>18991.73598</v>
      </c>
      <c r="I3" s="247">
        <f>D3*EOQ!$K$4</f>
        <v>18142.96134</v>
      </c>
      <c r="J3" s="247">
        <f>D3*EOQ!$M$4</f>
        <v>15524.02362</v>
      </c>
      <c r="K3" s="247">
        <f>D3*EOQ!$O$4</f>
        <v>15911.29722</v>
      </c>
      <c r="L3" s="247">
        <f>D3*EOQ!$Q$4</f>
        <v>15954.05868</v>
      </c>
      <c r="M3" s="247">
        <f>D3*EOQ!$S$4</f>
        <v>13594.51359</v>
      </c>
      <c r="N3" s="247">
        <f>D3*EOQ!$U$4</f>
        <v>14548.57824</v>
      </c>
      <c r="O3" s="247">
        <f>D3*EOQ!$W$4</f>
        <v>17800.86966</v>
      </c>
      <c r="P3" s="247">
        <f>D3*EOQ!$Y$4</f>
        <v>17509.60764</v>
      </c>
      <c r="Q3" s="247">
        <f t="shared" ref="Q3:Q11" si="2">AVERAGE(E3:P3)</f>
        <v>18017.73615</v>
      </c>
      <c r="T3" s="391">
        <f t="shared" ref="T3:AE3" si="1">E3/$D3</f>
        <v>6.5171</v>
      </c>
      <c r="U3" s="391">
        <f t="shared" si="1"/>
        <v>5.087</v>
      </c>
      <c r="V3" s="391">
        <f t="shared" si="1"/>
        <v>5.3105</v>
      </c>
      <c r="W3" s="391">
        <f t="shared" si="1"/>
        <v>4.7078</v>
      </c>
      <c r="X3" s="391">
        <f t="shared" si="1"/>
        <v>4.4974</v>
      </c>
      <c r="Y3" s="391">
        <f t="shared" si="1"/>
        <v>3.8482</v>
      </c>
      <c r="Z3" s="391">
        <f t="shared" si="1"/>
        <v>3.9442</v>
      </c>
      <c r="AA3" s="391">
        <f t="shared" si="1"/>
        <v>3.9548</v>
      </c>
      <c r="AB3" s="391">
        <f t="shared" si="1"/>
        <v>3.3699</v>
      </c>
      <c r="AC3" s="391">
        <f t="shared" si="1"/>
        <v>3.6064</v>
      </c>
      <c r="AD3" s="391">
        <f t="shared" si="1"/>
        <v>4.4126</v>
      </c>
      <c r="AE3" s="391">
        <f t="shared" si="1"/>
        <v>4.3404</v>
      </c>
    </row>
    <row r="4">
      <c r="A4" s="155">
        <v>-33.42627012</v>
      </c>
      <c r="B4" s="155">
        <v>-70.54486003</v>
      </c>
      <c r="C4" s="155" t="s">
        <v>24</v>
      </c>
      <c r="D4" s="247">
        <f t="array" ref="D4">XLOOKUP(C4,'HouseHolds per "comuna"'!$B$2:$B$40,'HouseHolds per "comuna"'!$C$2:$C$40)*0.15</f>
        <v>16000.8</v>
      </c>
      <c r="E4" s="247">
        <f>EOQ!$C$4*D4</f>
        <v>104278.8137</v>
      </c>
      <c r="F4" s="247">
        <f>D4*EOQ!$E$4</f>
        <v>81396.0696</v>
      </c>
      <c r="G4" s="247">
        <f>D4*EOQ!$G$4</f>
        <v>84972.2484</v>
      </c>
      <c r="H4" s="247">
        <f>D4*EOQ!$I$4</f>
        <v>75328.56624</v>
      </c>
      <c r="I4" s="247">
        <f>D4*EOQ!$K$4</f>
        <v>71961.99792</v>
      </c>
      <c r="J4" s="247">
        <f>D4*EOQ!$M$4</f>
        <v>61574.27856</v>
      </c>
      <c r="K4" s="247">
        <f>D4*EOQ!$O$4</f>
        <v>63110.35536</v>
      </c>
      <c r="L4" s="247">
        <f>D4*EOQ!$Q$4</f>
        <v>63279.96384</v>
      </c>
      <c r="M4" s="247">
        <f>D4*EOQ!$S$4</f>
        <v>53921.09592</v>
      </c>
      <c r="N4" s="247">
        <f>D4*EOQ!$U$4</f>
        <v>57705.28512</v>
      </c>
      <c r="O4" s="247">
        <f>D4*EOQ!$W$4</f>
        <v>70605.13008</v>
      </c>
      <c r="P4" s="247">
        <f>D4*EOQ!$Y$4</f>
        <v>69449.87232</v>
      </c>
      <c r="Q4" s="247">
        <f t="shared" si="2"/>
        <v>71465.30642</v>
      </c>
      <c r="T4" s="391">
        <f t="shared" ref="T4:AE4" si="3">E4/$D4</f>
        <v>6.5171</v>
      </c>
      <c r="U4" s="391">
        <f t="shared" si="3"/>
        <v>5.087</v>
      </c>
      <c r="V4" s="391">
        <f t="shared" si="3"/>
        <v>5.3105</v>
      </c>
      <c r="W4" s="391">
        <f t="shared" si="3"/>
        <v>4.7078</v>
      </c>
      <c r="X4" s="391">
        <f t="shared" si="3"/>
        <v>4.4974</v>
      </c>
      <c r="Y4" s="391">
        <f t="shared" si="3"/>
        <v>3.8482</v>
      </c>
      <c r="Z4" s="391">
        <f t="shared" si="3"/>
        <v>3.9442</v>
      </c>
      <c r="AA4" s="391">
        <f t="shared" si="3"/>
        <v>3.9548</v>
      </c>
      <c r="AB4" s="391">
        <f t="shared" si="3"/>
        <v>3.3699</v>
      </c>
      <c r="AC4" s="391">
        <f t="shared" si="3"/>
        <v>3.6064</v>
      </c>
      <c r="AD4" s="391">
        <f t="shared" si="3"/>
        <v>4.4126</v>
      </c>
      <c r="AE4" s="391">
        <f t="shared" si="3"/>
        <v>4.3404</v>
      </c>
    </row>
    <row r="5">
      <c r="A5" s="155">
        <v>-33.43795143</v>
      </c>
      <c r="B5" s="155">
        <v>-70.61132569</v>
      </c>
      <c r="C5" s="155" t="s">
        <v>26</v>
      </c>
      <c r="D5" s="247">
        <f t="array" ref="D5">XLOOKUP(C5,'HouseHolds per "comuna"'!$B$2:$B$40,'HouseHolds per "comuna"'!$C$2:$C$40)*0.15</f>
        <v>9332.25</v>
      </c>
      <c r="E5" s="247">
        <f>EOQ!$C$4*D5</f>
        <v>60819.20648</v>
      </c>
      <c r="F5" s="247">
        <f>D5*EOQ!$E$4</f>
        <v>47473.15575</v>
      </c>
      <c r="G5" s="247">
        <f>D5*EOQ!$G$4</f>
        <v>49558.91363</v>
      </c>
      <c r="H5" s="247">
        <f>D5*EOQ!$I$4</f>
        <v>43934.36655</v>
      </c>
      <c r="I5" s="247">
        <f>D5*EOQ!$K$4</f>
        <v>41970.86115</v>
      </c>
      <c r="J5" s="247">
        <f>D5*EOQ!$M$4</f>
        <v>35912.36445</v>
      </c>
      <c r="K5" s="247">
        <f>D5*EOQ!$O$4</f>
        <v>36808.26045</v>
      </c>
      <c r="L5" s="247">
        <f>D5*EOQ!$Q$4</f>
        <v>36907.1823</v>
      </c>
      <c r="M5" s="247">
        <f>D5*EOQ!$S$4</f>
        <v>31448.74928</v>
      </c>
      <c r="N5" s="247">
        <f>D5*EOQ!$U$4</f>
        <v>33655.8264</v>
      </c>
      <c r="O5" s="247">
        <f>D5*EOQ!$W$4</f>
        <v>41179.48635</v>
      </c>
      <c r="P5" s="247">
        <f>D5*EOQ!$Y$4</f>
        <v>40505.6979</v>
      </c>
      <c r="Q5" s="247">
        <f t="shared" si="2"/>
        <v>41681.17256</v>
      </c>
      <c r="T5" s="391">
        <f t="shared" ref="T5:AE5" si="4">E5/$D5</f>
        <v>6.5171</v>
      </c>
      <c r="U5" s="391">
        <f t="shared" si="4"/>
        <v>5.087</v>
      </c>
      <c r="V5" s="391">
        <f t="shared" si="4"/>
        <v>5.3105</v>
      </c>
      <c r="W5" s="391">
        <f t="shared" si="4"/>
        <v>4.7078</v>
      </c>
      <c r="X5" s="391">
        <f t="shared" si="4"/>
        <v>4.4974</v>
      </c>
      <c r="Y5" s="391">
        <f t="shared" si="4"/>
        <v>3.8482</v>
      </c>
      <c r="Z5" s="391">
        <f t="shared" si="4"/>
        <v>3.9442</v>
      </c>
      <c r="AA5" s="391">
        <f t="shared" si="4"/>
        <v>3.9548</v>
      </c>
      <c r="AB5" s="391">
        <f t="shared" si="4"/>
        <v>3.3699</v>
      </c>
      <c r="AC5" s="391">
        <f t="shared" si="4"/>
        <v>3.6064</v>
      </c>
      <c r="AD5" s="391">
        <f t="shared" si="4"/>
        <v>4.4126</v>
      </c>
      <c r="AE5" s="391">
        <f t="shared" si="4"/>
        <v>4.3404</v>
      </c>
    </row>
    <row r="6">
      <c r="A6" s="155">
        <v>-33.38144958</v>
      </c>
      <c r="B6" s="155">
        <v>-70.56353561</v>
      </c>
      <c r="C6" s="155" t="s">
        <v>28</v>
      </c>
      <c r="D6" s="247">
        <f t="array" ref="D6">XLOOKUP(C6,'HouseHolds per "comuna"'!$B$2:$B$40,'HouseHolds per "comuna"'!$C$2:$C$40)*0.15</f>
        <v>4222.35</v>
      </c>
      <c r="E6" s="247">
        <f>EOQ!$C$4*D6</f>
        <v>27517.47719</v>
      </c>
      <c r="F6" s="247">
        <f>D6*EOQ!$E$4</f>
        <v>21479.09445</v>
      </c>
      <c r="G6" s="247">
        <f>D6*EOQ!$G$4</f>
        <v>22422.78968</v>
      </c>
      <c r="H6" s="247">
        <f>D6*EOQ!$I$4</f>
        <v>19877.97933</v>
      </c>
      <c r="I6" s="247">
        <f>D6*EOQ!$K$4</f>
        <v>18989.59689</v>
      </c>
      <c r="J6" s="247">
        <f>D6*EOQ!$M$4</f>
        <v>16248.44727</v>
      </c>
      <c r="K6" s="247">
        <f>D6*EOQ!$O$4</f>
        <v>16653.79287</v>
      </c>
      <c r="L6" s="247">
        <f>D6*EOQ!$Q$4</f>
        <v>16698.54978</v>
      </c>
      <c r="M6" s="247">
        <f>D6*EOQ!$S$4</f>
        <v>14228.89727</v>
      </c>
      <c r="N6" s="247">
        <f>D6*EOQ!$U$4</f>
        <v>15227.48304</v>
      </c>
      <c r="O6" s="247">
        <f>D6*EOQ!$W$4</f>
        <v>18631.54161</v>
      </c>
      <c r="P6" s="247">
        <f>D6*EOQ!$Y$4</f>
        <v>18326.68794</v>
      </c>
      <c r="Q6" s="247">
        <f t="shared" si="2"/>
        <v>18858.52811</v>
      </c>
      <c r="S6" s="155" t="s">
        <v>434</v>
      </c>
      <c r="T6" s="391">
        <f t="shared" ref="T6:AE6" si="5">E6/$D6</f>
        <v>6.5171</v>
      </c>
      <c r="U6" s="391">
        <f t="shared" si="5"/>
        <v>5.087</v>
      </c>
      <c r="V6" s="391">
        <f t="shared" si="5"/>
        <v>5.3105</v>
      </c>
      <c r="W6" s="391">
        <f t="shared" si="5"/>
        <v>4.7078</v>
      </c>
      <c r="X6" s="391">
        <f t="shared" si="5"/>
        <v>4.4974</v>
      </c>
      <c r="Y6" s="391">
        <f t="shared" si="5"/>
        <v>3.8482</v>
      </c>
      <c r="Z6" s="391">
        <f t="shared" si="5"/>
        <v>3.9442</v>
      </c>
      <c r="AA6" s="391">
        <f t="shared" si="5"/>
        <v>3.9548</v>
      </c>
      <c r="AB6" s="391">
        <f t="shared" si="5"/>
        <v>3.3699</v>
      </c>
      <c r="AC6" s="391">
        <f t="shared" si="5"/>
        <v>3.6064</v>
      </c>
      <c r="AD6" s="391">
        <f t="shared" si="5"/>
        <v>4.4126</v>
      </c>
      <c r="AE6" s="391">
        <f t="shared" si="5"/>
        <v>4.3404</v>
      </c>
    </row>
    <row r="7">
      <c r="A7" s="155">
        <v>-33.42043054552</v>
      </c>
      <c r="B7" s="155">
        <v>-70.733744571828</v>
      </c>
      <c r="C7" s="155" t="s">
        <v>30</v>
      </c>
      <c r="D7" s="247">
        <f t="array" ref="D7">XLOOKUP(C7,'HouseHolds per "comuna"'!$B$2:$B$40,'HouseHolds per "comuna"'!$C$2:$C$40)*0.15</f>
        <v>5797.65</v>
      </c>
      <c r="E7" s="247">
        <f>EOQ!$C$4*D7</f>
        <v>37783.86482</v>
      </c>
      <c r="F7" s="247">
        <f>D7*EOQ!$E$4</f>
        <v>29492.64555</v>
      </c>
      <c r="G7" s="247">
        <f>D7*EOQ!$G$4</f>
        <v>30788.42033</v>
      </c>
      <c r="H7" s="247">
        <f>D7*EOQ!$I$4</f>
        <v>27294.17667</v>
      </c>
      <c r="I7" s="247">
        <f>D7*EOQ!$K$4</f>
        <v>26074.35111</v>
      </c>
      <c r="J7" s="247">
        <f>D7*EOQ!$M$4</f>
        <v>22310.51673</v>
      </c>
      <c r="K7" s="247">
        <f>D7*EOQ!$O$4</f>
        <v>22867.09113</v>
      </c>
      <c r="L7" s="247">
        <f>D7*EOQ!$Q$4</f>
        <v>22928.54622</v>
      </c>
      <c r="M7" s="247">
        <f>D7*EOQ!$S$4</f>
        <v>19537.50074</v>
      </c>
      <c r="N7" s="247">
        <f>D7*EOQ!$U$4</f>
        <v>20908.64496</v>
      </c>
      <c r="O7" s="247">
        <f>D7*EOQ!$W$4</f>
        <v>25582.71039</v>
      </c>
      <c r="P7" s="247">
        <f>D7*EOQ!$Y$4</f>
        <v>25164.12006</v>
      </c>
      <c r="Q7" s="247">
        <f t="shared" si="2"/>
        <v>25894.38239</v>
      </c>
      <c r="T7" s="391">
        <f t="shared" ref="T7:AE7" si="6">E7/$D7</f>
        <v>6.5171</v>
      </c>
      <c r="U7" s="391">
        <f t="shared" si="6"/>
        <v>5.087</v>
      </c>
      <c r="V7" s="391">
        <f t="shared" si="6"/>
        <v>5.3105</v>
      </c>
      <c r="W7" s="391">
        <f t="shared" si="6"/>
        <v>4.7078</v>
      </c>
      <c r="X7" s="391">
        <f t="shared" si="6"/>
        <v>4.4974</v>
      </c>
      <c r="Y7" s="391">
        <f t="shared" si="6"/>
        <v>3.8482</v>
      </c>
      <c r="Z7" s="391">
        <f t="shared" si="6"/>
        <v>3.9442</v>
      </c>
      <c r="AA7" s="391">
        <f t="shared" si="6"/>
        <v>3.9548</v>
      </c>
      <c r="AB7" s="391">
        <f t="shared" si="6"/>
        <v>3.3699</v>
      </c>
      <c r="AC7" s="391">
        <f t="shared" si="6"/>
        <v>3.6064</v>
      </c>
      <c r="AD7" s="391">
        <f t="shared" si="6"/>
        <v>4.4126</v>
      </c>
      <c r="AE7" s="391">
        <f t="shared" si="6"/>
        <v>4.3404</v>
      </c>
    </row>
    <row r="8">
      <c r="A8" s="155">
        <v>-33.4799485636684</v>
      </c>
      <c r="B8" s="155">
        <v>-70.6611965188523</v>
      </c>
      <c r="C8" s="155" t="s">
        <v>32</v>
      </c>
      <c r="D8" s="247">
        <f t="array" ref="D8">XLOOKUP(C8,'HouseHolds per "comuna"'!$B$2:$B$40,'HouseHolds per "comuna"'!$C$2:$C$40)*0.15</f>
        <v>4488.15</v>
      </c>
      <c r="E8" s="247">
        <f>EOQ!$C$4*D8</f>
        <v>29249.72237</v>
      </c>
      <c r="F8" s="247">
        <f>D8*EOQ!$E$4</f>
        <v>22831.21905</v>
      </c>
      <c r="G8" s="247">
        <f>D8*EOQ!$G$4</f>
        <v>23834.32058</v>
      </c>
      <c r="H8" s="247">
        <f>D8*EOQ!$I$4</f>
        <v>21129.31257</v>
      </c>
      <c r="I8" s="247">
        <f>D8*EOQ!$K$4</f>
        <v>20185.00581</v>
      </c>
      <c r="J8" s="247">
        <f>D8*EOQ!$M$4</f>
        <v>17271.29883</v>
      </c>
      <c r="K8" s="247">
        <f>D8*EOQ!$O$4</f>
        <v>17702.16123</v>
      </c>
      <c r="L8" s="247">
        <f>D8*EOQ!$Q$4</f>
        <v>17749.73562</v>
      </c>
      <c r="M8" s="247">
        <f>D8*EOQ!$S$4</f>
        <v>15124.61669</v>
      </c>
      <c r="N8" s="247">
        <f>D8*EOQ!$U$4</f>
        <v>16186.06416</v>
      </c>
      <c r="O8" s="247">
        <f>D8*EOQ!$W$4</f>
        <v>19804.41069</v>
      </c>
      <c r="P8" s="247">
        <f>D8*EOQ!$Y$4</f>
        <v>19480.36626</v>
      </c>
      <c r="Q8" s="247">
        <f t="shared" si="2"/>
        <v>20045.68615</v>
      </c>
      <c r="T8" s="391">
        <f t="shared" ref="T8:AE8" si="7">E8/$D8</f>
        <v>6.5171</v>
      </c>
      <c r="U8" s="391">
        <f t="shared" si="7"/>
        <v>5.087</v>
      </c>
      <c r="V8" s="391">
        <f t="shared" si="7"/>
        <v>5.3105</v>
      </c>
      <c r="W8" s="391">
        <f t="shared" si="7"/>
        <v>4.7078</v>
      </c>
      <c r="X8" s="391">
        <f t="shared" si="7"/>
        <v>4.4974</v>
      </c>
      <c r="Y8" s="391">
        <f t="shared" si="7"/>
        <v>3.8482</v>
      </c>
      <c r="Z8" s="391">
        <f t="shared" si="7"/>
        <v>3.9442</v>
      </c>
      <c r="AA8" s="391">
        <f t="shared" si="7"/>
        <v>3.9548</v>
      </c>
      <c r="AB8" s="391">
        <f t="shared" si="7"/>
        <v>3.3699</v>
      </c>
      <c r="AC8" s="391">
        <f t="shared" si="7"/>
        <v>3.6064</v>
      </c>
      <c r="AD8" s="391">
        <f t="shared" si="7"/>
        <v>4.4126</v>
      </c>
      <c r="AE8" s="391">
        <f t="shared" si="7"/>
        <v>4.3404</v>
      </c>
    </row>
    <row r="9">
      <c r="A9" s="155">
        <v>-33.5669161134897</v>
      </c>
      <c r="B9" s="155">
        <v>-70.6821206157262</v>
      </c>
      <c r="C9" s="155" t="s">
        <v>34</v>
      </c>
      <c r="D9" s="247">
        <f t="array" ref="D9">XLOOKUP(C9,'HouseHolds per "comuna"'!$B$2:$B$40,'HouseHolds per "comuna"'!$C$2:$C$40)*0.15</f>
        <v>7107.6</v>
      </c>
      <c r="E9" s="247">
        <f>EOQ!$C$4*D9</f>
        <v>46320.93996</v>
      </c>
      <c r="F9" s="247">
        <f>D9*EOQ!$E$4</f>
        <v>36156.3612</v>
      </c>
      <c r="G9" s="247">
        <f>D9*EOQ!$G$4</f>
        <v>37744.9098</v>
      </c>
      <c r="H9" s="247">
        <f>D9*EOQ!$I$4</f>
        <v>33461.15928</v>
      </c>
      <c r="I9" s="247">
        <f>D9*EOQ!$K$4</f>
        <v>31965.72024</v>
      </c>
      <c r="J9" s="247">
        <f>D9*EOQ!$M$4</f>
        <v>27351.46632</v>
      </c>
      <c r="K9" s="247">
        <f>D9*EOQ!$O$4</f>
        <v>28033.79592</v>
      </c>
      <c r="L9" s="247">
        <f>D9*EOQ!$Q$4</f>
        <v>28109.13648</v>
      </c>
      <c r="M9" s="247">
        <f>D9*EOQ!$S$4</f>
        <v>23951.90124</v>
      </c>
      <c r="N9" s="247">
        <f>D9*EOQ!$U$4</f>
        <v>25632.84864</v>
      </c>
      <c r="O9" s="247">
        <f>D9*EOQ!$W$4</f>
        <v>31362.99576</v>
      </c>
      <c r="P9" s="247">
        <f>D9*EOQ!$Y$4</f>
        <v>30849.82704</v>
      </c>
      <c r="Q9" s="247">
        <f t="shared" si="2"/>
        <v>31745.08849</v>
      </c>
      <c r="T9" s="391">
        <f t="shared" ref="T9:AE9" si="8">E9/$D9</f>
        <v>6.5171</v>
      </c>
      <c r="U9" s="391">
        <f t="shared" si="8"/>
        <v>5.087</v>
      </c>
      <c r="V9" s="391">
        <f t="shared" si="8"/>
        <v>5.3105</v>
      </c>
      <c r="W9" s="391">
        <f t="shared" si="8"/>
        <v>4.7078</v>
      </c>
      <c r="X9" s="391">
        <f t="shared" si="8"/>
        <v>4.4974</v>
      </c>
      <c r="Y9" s="391">
        <f t="shared" si="8"/>
        <v>3.8482</v>
      </c>
      <c r="Z9" s="391">
        <f t="shared" si="8"/>
        <v>3.9442</v>
      </c>
      <c r="AA9" s="391">
        <f t="shared" si="8"/>
        <v>3.9548</v>
      </c>
      <c r="AB9" s="391">
        <f t="shared" si="8"/>
        <v>3.3699</v>
      </c>
      <c r="AC9" s="391">
        <f t="shared" si="8"/>
        <v>3.6064</v>
      </c>
      <c r="AD9" s="391">
        <f t="shared" si="8"/>
        <v>4.4126</v>
      </c>
      <c r="AE9" s="391">
        <f t="shared" si="8"/>
        <v>4.3404</v>
      </c>
    </row>
    <row r="10">
      <c r="A10" s="155">
        <v>-33.5225565127023</v>
      </c>
      <c r="B10" s="155">
        <v>-70.7721740162419</v>
      </c>
      <c r="C10" s="155" t="s">
        <v>36</v>
      </c>
      <c r="D10" s="247">
        <f t="array" ref="D10">XLOOKUP(C10,'HouseHolds per "comuna"'!$B$2:$B$40,'HouseHolds per "comuna"'!$C$2:$C$40)*0.15</f>
        <v>23308.65</v>
      </c>
      <c r="E10" s="247">
        <f>EOQ!$C$4*D10</f>
        <v>151904.8029</v>
      </c>
      <c r="F10" s="247">
        <f>D10*EOQ!$E$4</f>
        <v>118571.1026</v>
      </c>
      <c r="G10" s="247">
        <f>D10*EOQ!$G$4</f>
        <v>123780.5858</v>
      </c>
      <c r="H10" s="247">
        <f>D10*EOQ!$I$4</f>
        <v>109732.4625</v>
      </c>
      <c r="I10" s="247">
        <f>D10*EOQ!$K$4</f>
        <v>104828.3225</v>
      </c>
      <c r="J10" s="247">
        <f>D10*EOQ!$M$4</f>
        <v>89696.34693</v>
      </c>
      <c r="K10" s="247">
        <f>D10*EOQ!$O$4</f>
        <v>91933.97733</v>
      </c>
      <c r="L10" s="247">
        <f>D10*EOQ!$Q$4</f>
        <v>92181.04902</v>
      </c>
      <c r="M10" s="247">
        <f>D10*EOQ!$S$4</f>
        <v>78547.81964</v>
      </c>
      <c r="N10" s="247">
        <f>D10*EOQ!$U$4</f>
        <v>84060.31536</v>
      </c>
      <c r="O10" s="247">
        <f>D10*EOQ!$W$4</f>
        <v>102851.749</v>
      </c>
      <c r="P10" s="247">
        <f>D10*EOQ!$Y$4</f>
        <v>101168.8645</v>
      </c>
      <c r="Q10" s="247">
        <f t="shared" si="2"/>
        <v>104104.7832</v>
      </c>
      <c r="T10" s="391">
        <f t="shared" ref="T10:AE10" si="9">E10/$D10</f>
        <v>6.5171</v>
      </c>
      <c r="U10" s="391">
        <f t="shared" si="9"/>
        <v>5.087</v>
      </c>
      <c r="V10" s="391">
        <f t="shared" si="9"/>
        <v>5.3105</v>
      </c>
      <c r="W10" s="391">
        <f t="shared" si="9"/>
        <v>4.7078</v>
      </c>
      <c r="X10" s="391">
        <f t="shared" si="9"/>
        <v>4.4974</v>
      </c>
      <c r="Y10" s="391">
        <f t="shared" si="9"/>
        <v>3.8482</v>
      </c>
      <c r="Z10" s="391">
        <f t="shared" si="9"/>
        <v>3.9442</v>
      </c>
      <c r="AA10" s="391">
        <f t="shared" si="9"/>
        <v>3.9548</v>
      </c>
      <c r="AB10" s="391">
        <f t="shared" si="9"/>
        <v>3.3699</v>
      </c>
      <c r="AC10" s="391">
        <f t="shared" si="9"/>
        <v>3.6064</v>
      </c>
      <c r="AD10" s="391">
        <f t="shared" si="9"/>
        <v>4.4126</v>
      </c>
      <c r="AE10" s="391">
        <f t="shared" si="9"/>
        <v>4.3404</v>
      </c>
    </row>
    <row r="11">
      <c r="A11" s="155">
        <v>-33.5389061820572</v>
      </c>
      <c r="B11" s="155">
        <v>-70.5892347989387</v>
      </c>
      <c r="C11" s="155" t="s">
        <v>38</v>
      </c>
      <c r="D11" s="247">
        <f t="array" ref="D11">XLOOKUP(C11,'HouseHolds per "comuna"'!$B$2:$B$40,'HouseHolds per "comuna"'!$C$2:$C$40)*0.15</f>
        <v>17274.15</v>
      </c>
      <c r="E11" s="247">
        <f>EOQ!$C$4*D11</f>
        <v>112577.363</v>
      </c>
      <c r="F11" s="247">
        <f>D11*EOQ!$E$4</f>
        <v>87873.60105</v>
      </c>
      <c r="G11" s="247">
        <f>D11*EOQ!$G$4</f>
        <v>91734.37358</v>
      </c>
      <c r="H11" s="247">
        <f>D11*EOQ!$I$4</f>
        <v>81323.24337</v>
      </c>
      <c r="I11" s="247">
        <f>D11*EOQ!$K$4</f>
        <v>77688.76221</v>
      </c>
      <c r="J11" s="247">
        <f>D11*EOQ!$M$4</f>
        <v>66474.38403</v>
      </c>
      <c r="K11" s="247">
        <f>D11*EOQ!$O$4</f>
        <v>68132.70243</v>
      </c>
      <c r="L11" s="247">
        <f>D11*EOQ!$Q$4</f>
        <v>68315.80842</v>
      </c>
      <c r="M11" s="247">
        <f>D11*EOQ!$S$4</f>
        <v>58212.15809</v>
      </c>
      <c r="N11" s="247">
        <f>D11*EOQ!$U$4</f>
        <v>62297.49456</v>
      </c>
      <c r="O11" s="247">
        <f>D11*EOQ!$W$4</f>
        <v>76223.91429</v>
      </c>
      <c r="P11" s="247">
        <f>D11*EOQ!$Y$4</f>
        <v>74976.72066</v>
      </c>
      <c r="Q11" s="247">
        <f t="shared" si="2"/>
        <v>77152.5438</v>
      </c>
      <c r="T11" s="391">
        <f t="shared" ref="T11:AE11" si="10">E11/$D11</f>
        <v>6.5171</v>
      </c>
      <c r="U11" s="391">
        <f t="shared" si="10"/>
        <v>5.087</v>
      </c>
      <c r="V11" s="391">
        <f t="shared" si="10"/>
        <v>5.3105</v>
      </c>
      <c r="W11" s="391">
        <f t="shared" si="10"/>
        <v>4.7078</v>
      </c>
      <c r="X11" s="391">
        <f t="shared" si="10"/>
        <v>4.4974</v>
      </c>
      <c r="Y11" s="391">
        <f t="shared" si="10"/>
        <v>3.8482</v>
      </c>
      <c r="Z11" s="391">
        <f t="shared" si="10"/>
        <v>3.9442</v>
      </c>
      <c r="AA11" s="391">
        <f t="shared" si="10"/>
        <v>3.9548</v>
      </c>
      <c r="AB11" s="391">
        <f t="shared" si="10"/>
        <v>3.3699</v>
      </c>
      <c r="AC11" s="391">
        <f t="shared" si="10"/>
        <v>3.6064</v>
      </c>
      <c r="AD11" s="391">
        <f t="shared" si="10"/>
        <v>4.4126</v>
      </c>
      <c r="AE11" s="391">
        <f t="shared" si="10"/>
        <v>4.3404</v>
      </c>
    </row>
    <row r="12">
      <c r="A12" s="386"/>
      <c r="B12" s="386"/>
      <c r="C12" s="386"/>
      <c r="D12" s="247"/>
      <c r="E12" s="247">
        <f t="shared" ref="E12:Q12" si="11">SUM(E3:E11)</f>
        <v>596742.8235</v>
      </c>
      <c r="F12" s="247">
        <f t="shared" si="11"/>
        <v>465794.7159</v>
      </c>
      <c r="G12" s="247">
        <f t="shared" si="11"/>
        <v>486259.6499</v>
      </c>
      <c r="H12" s="247">
        <f t="shared" si="11"/>
        <v>431073.0025</v>
      </c>
      <c r="I12" s="247">
        <f t="shared" si="11"/>
        <v>411807.5792</v>
      </c>
      <c r="J12" s="247">
        <f t="shared" si="11"/>
        <v>352363.1267</v>
      </c>
      <c r="K12" s="247">
        <f t="shared" si="11"/>
        <v>361153.4339</v>
      </c>
      <c r="L12" s="247">
        <f t="shared" si="11"/>
        <v>362124.0304</v>
      </c>
      <c r="M12" s="247">
        <f t="shared" si="11"/>
        <v>308567.2524</v>
      </c>
      <c r="N12" s="247">
        <f t="shared" si="11"/>
        <v>330222.5405</v>
      </c>
      <c r="O12" s="247">
        <f t="shared" si="11"/>
        <v>404042.8078</v>
      </c>
      <c r="P12" s="247">
        <f t="shared" si="11"/>
        <v>397431.7643</v>
      </c>
      <c r="Q12" s="247">
        <f t="shared" si="11"/>
        <v>408965.2272</v>
      </c>
      <c r="R12" s="247">
        <f>MAX(E12:P12)</f>
        <v>596742.8235</v>
      </c>
      <c r="T12" s="391">
        <f t="shared" ref="T12:AE12" si="12">SUM(T3:T11)</f>
        <v>58.6539</v>
      </c>
      <c r="U12" s="391">
        <f t="shared" si="12"/>
        <v>45.783</v>
      </c>
      <c r="V12" s="391">
        <f t="shared" si="12"/>
        <v>47.7945</v>
      </c>
      <c r="W12" s="391">
        <f t="shared" si="12"/>
        <v>42.3702</v>
      </c>
      <c r="X12" s="391">
        <f t="shared" si="12"/>
        <v>40.4766</v>
      </c>
      <c r="Y12" s="391">
        <f t="shared" si="12"/>
        <v>34.6338</v>
      </c>
      <c r="Z12" s="391">
        <f t="shared" si="12"/>
        <v>35.4978</v>
      </c>
      <c r="AA12" s="391">
        <f t="shared" si="12"/>
        <v>35.5932</v>
      </c>
      <c r="AB12" s="391">
        <f t="shared" si="12"/>
        <v>30.3291</v>
      </c>
      <c r="AC12" s="391">
        <f t="shared" si="12"/>
        <v>32.4576</v>
      </c>
      <c r="AD12" s="391">
        <f t="shared" si="12"/>
        <v>39.7134</v>
      </c>
      <c r="AE12" s="391">
        <f t="shared" si="12"/>
        <v>39.0636</v>
      </c>
    </row>
    <row r="13">
      <c r="A13" s="386"/>
      <c r="B13" s="386"/>
      <c r="C13" s="386" t="s">
        <v>23</v>
      </c>
      <c r="D13" s="247"/>
      <c r="E13" s="247"/>
      <c r="F13" s="247"/>
      <c r="G13" s="247"/>
      <c r="H13" s="247"/>
      <c r="I13" s="247"/>
      <c r="J13" s="247"/>
      <c r="K13" s="247"/>
      <c r="L13" s="247"/>
      <c r="M13" s="247"/>
      <c r="N13" s="247"/>
      <c r="O13" s="247"/>
      <c r="P13" s="247"/>
      <c r="T13" s="391"/>
      <c r="U13" s="391"/>
      <c r="V13" s="391"/>
      <c r="W13" s="391"/>
      <c r="X13" s="391"/>
      <c r="Y13" s="391"/>
      <c r="Z13" s="391"/>
      <c r="AA13" s="391"/>
      <c r="AB13" s="391"/>
      <c r="AC13" s="391"/>
      <c r="AD13" s="391"/>
      <c r="AE13" s="391"/>
    </row>
    <row r="14">
      <c r="A14" s="155">
        <v>-33.34335643</v>
      </c>
      <c r="B14" s="155">
        <v>-70.52466882</v>
      </c>
      <c r="C14" s="155" t="s">
        <v>22</v>
      </c>
      <c r="D14" s="247">
        <f t="array" ref="D14">XLOOKUP(C14,'HouseHolds per "comuna"'!$B$2:$B$40,'HouseHolds per "comuna"'!$C$2:$C$40)*0.15</f>
        <v>4034.1</v>
      </c>
      <c r="E14" s="247">
        <f>EOQ!$C$5*D14</f>
        <v>10578.62043</v>
      </c>
      <c r="F14" s="247">
        <f>D14*EOQ!$E$5</f>
        <v>9486.58956</v>
      </c>
      <c r="G14" s="247">
        <f>D14*EOQ!$G$5</f>
        <v>12477.06789</v>
      </c>
      <c r="H14" s="247">
        <f>D14*EOQ!$I$5</f>
        <v>11887.28247</v>
      </c>
      <c r="I14" s="247">
        <f>D14*EOQ!$K$5</f>
        <v>13761.12192</v>
      </c>
      <c r="J14" s="247">
        <f>D14*EOQ!$M$5</f>
        <v>11394.31545</v>
      </c>
      <c r="K14" s="247">
        <f>D14*EOQ!$O$5</f>
        <v>9287.70843</v>
      </c>
      <c r="L14" s="247">
        <f>D14*EOQ!$Q$5</f>
        <v>14323.07205</v>
      </c>
      <c r="M14" s="247">
        <f>D14*EOQ!$S$5</f>
        <v>11584.32156</v>
      </c>
      <c r="N14" s="247">
        <f>D14*EOQ!$U$5</f>
        <v>11076.83178</v>
      </c>
      <c r="O14" s="247">
        <f>D14*EOQ!$W$5</f>
        <v>11230.9344</v>
      </c>
      <c r="P14" s="247">
        <f>D14*EOQ!$Y$5</f>
        <v>12959.14284</v>
      </c>
      <c r="Q14" s="247">
        <f t="shared" ref="Q14:Q22" si="14">AVERAGE(E14:P14)</f>
        <v>11670.58407</v>
      </c>
      <c r="T14" s="391">
        <f t="shared" ref="T14:AE14" si="13">E14/$D14</f>
        <v>2.6223</v>
      </c>
      <c r="U14" s="391">
        <f t="shared" si="13"/>
        <v>2.3516</v>
      </c>
      <c r="V14" s="391">
        <f t="shared" si="13"/>
        <v>3.0929</v>
      </c>
      <c r="W14" s="391">
        <f t="shared" si="13"/>
        <v>2.9467</v>
      </c>
      <c r="X14" s="391">
        <f t="shared" si="13"/>
        <v>3.4112</v>
      </c>
      <c r="Y14" s="391">
        <f t="shared" si="13"/>
        <v>2.8245</v>
      </c>
      <c r="Z14" s="391">
        <f t="shared" si="13"/>
        <v>2.3023</v>
      </c>
      <c r="AA14" s="391">
        <f t="shared" si="13"/>
        <v>3.5505</v>
      </c>
      <c r="AB14" s="391">
        <f t="shared" si="13"/>
        <v>2.8716</v>
      </c>
      <c r="AC14" s="391">
        <f t="shared" si="13"/>
        <v>2.7458</v>
      </c>
      <c r="AD14" s="391">
        <f t="shared" si="13"/>
        <v>2.784</v>
      </c>
      <c r="AE14" s="391">
        <f t="shared" si="13"/>
        <v>3.2124</v>
      </c>
    </row>
    <row r="15">
      <c r="A15" s="155">
        <v>-33.42627012</v>
      </c>
      <c r="B15" s="155">
        <v>-70.54486003</v>
      </c>
      <c r="C15" s="155" t="s">
        <v>24</v>
      </c>
      <c r="D15" s="247">
        <f t="array" ref="D15">XLOOKUP(C15,'HouseHolds per "comuna"'!$B$2:$B$40,'HouseHolds per "comuna"'!$C$2:$C$40)*0.15</f>
        <v>16000.8</v>
      </c>
      <c r="E15" s="247">
        <f>EOQ!$C$5*D15</f>
        <v>41958.89784</v>
      </c>
      <c r="F15" s="247">
        <f>D15*EOQ!$E$5</f>
        <v>37627.48128</v>
      </c>
      <c r="G15" s="247">
        <f>D15*EOQ!$G$5</f>
        <v>49488.87432</v>
      </c>
      <c r="H15" s="247">
        <f>D15*EOQ!$I$5</f>
        <v>47149.55736</v>
      </c>
      <c r="I15" s="247">
        <f>D15*EOQ!$K$5</f>
        <v>54581.92896</v>
      </c>
      <c r="J15" s="247">
        <f>D15*EOQ!$M$5</f>
        <v>45194.2596</v>
      </c>
      <c r="K15" s="247">
        <f>D15*EOQ!$O$5</f>
        <v>36838.64184</v>
      </c>
      <c r="L15" s="247">
        <f>D15*EOQ!$Q$5</f>
        <v>56810.8404</v>
      </c>
      <c r="M15" s="247">
        <f>D15*EOQ!$S$5</f>
        <v>45947.89728</v>
      </c>
      <c r="N15" s="247">
        <f>D15*EOQ!$U$5</f>
        <v>43934.99664</v>
      </c>
      <c r="O15" s="247">
        <f>D15*EOQ!$W$5</f>
        <v>44546.2272</v>
      </c>
      <c r="P15" s="247">
        <f>D15*EOQ!$Y$5</f>
        <v>51400.96992</v>
      </c>
      <c r="Q15" s="247">
        <f t="shared" si="14"/>
        <v>46290.04772</v>
      </c>
      <c r="T15" s="391">
        <f t="shared" ref="T15:AE15" si="15">E15/$D15</f>
        <v>2.6223</v>
      </c>
      <c r="U15" s="391">
        <f t="shared" si="15"/>
        <v>2.3516</v>
      </c>
      <c r="V15" s="391">
        <f t="shared" si="15"/>
        <v>3.0929</v>
      </c>
      <c r="W15" s="391">
        <f t="shared" si="15"/>
        <v>2.9467</v>
      </c>
      <c r="X15" s="391">
        <f t="shared" si="15"/>
        <v>3.4112</v>
      </c>
      <c r="Y15" s="391">
        <f t="shared" si="15"/>
        <v>2.8245</v>
      </c>
      <c r="Z15" s="391">
        <f t="shared" si="15"/>
        <v>2.3023</v>
      </c>
      <c r="AA15" s="391">
        <f t="shared" si="15"/>
        <v>3.5505</v>
      </c>
      <c r="AB15" s="391">
        <f t="shared" si="15"/>
        <v>2.8716</v>
      </c>
      <c r="AC15" s="391">
        <f t="shared" si="15"/>
        <v>2.7458</v>
      </c>
      <c r="AD15" s="391">
        <f t="shared" si="15"/>
        <v>2.784</v>
      </c>
      <c r="AE15" s="391">
        <f t="shared" si="15"/>
        <v>3.2124</v>
      </c>
    </row>
    <row r="16">
      <c r="A16" s="155">
        <v>-33.43795143</v>
      </c>
      <c r="B16" s="155">
        <v>-70.61132569</v>
      </c>
      <c r="C16" s="155" t="s">
        <v>26</v>
      </c>
      <c r="D16" s="247">
        <f t="array" ref="D16">XLOOKUP(C16,'HouseHolds per "comuna"'!$B$2:$B$40,'HouseHolds per "comuna"'!$C$2:$C$40)*0.15</f>
        <v>9332.25</v>
      </c>
      <c r="E16" s="247">
        <f>EOQ!$C$5*D16</f>
        <v>24471.95918</v>
      </c>
      <c r="F16" s="247">
        <f>D16*EOQ!$E$5</f>
        <v>21945.7191</v>
      </c>
      <c r="G16" s="247">
        <f>D16*EOQ!$G$5</f>
        <v>28863.71603</v>
      </c>
      <c r="H16" s="247">
        <f>D16*EOQ!$I$5</f>
        <v>27499.34108</v>
      </c>
      <c r="I16" s="247">
        <f>D16*EOQ!$K$5</f>
        <v>31834.1712</v>
      </c>
      <c r="J16" s="247">
        <f>D16*EOQ!$M$5</f>
        <v>26358.94013</v>
      </c>
      <c r="K16" s="247">
        <f>D16*EOQ!$O$5</f>
        <v>21485.63918</v>
      </c>
      <c r="L16" s="247">
        <f>D16*EOQ!$Q$5</f>
        <v>33134.15363</v>
      </c>
      <c r="M16" s="247">
        <f>D16*EOQ!$S$5</f>
        <v>26798.4891</v>
      </c>
      <c r="N16" s="247">
        <f>D16*EOQ!$U$5</f>
        <v>25624.49205</v>
      </c>
      <c r="O16" s="247">
        <f>D16*EOQ!$W$5</f>
        <v>25980.984</v>
      </c>
      <c r="P16" s="247">
        <f>D16*EOQ!$Y$5</f>
        <v>29978.9199</v>
      </c>
      <c r="Q16" s="247">
        <f t="shared" si="14"/>
        <v>26998.04371</v>
      </c>
      <c r="T16" s="391">
        <f t="shared" ref="T16:AE16" si="16">E16/$D16</f>
        <v>2.6223</v>
      </c>
      <c r="U16" s="391">
        <f t="shared" si="16"/>
        <v>2.3516</v>
      </c>
      <c r="V16" s="391">
        <f t="shared" si="16"/>
        <v>3.0929</v>
      </c>
      <c r="W16" s="391">
        <f t="shared" si="16"/>
        <v>2.9467</v>
      </c>
      <c r="X16" s="391">
        <f t="shared" si="16"/>
        <v>3.4112</v>
      </c>
      <c r="Y16" s="391">
        <f t="shared" si="16"/>
        <v>2.8245</v>
      </c>
      <c r="Z16" s="391">
        <f t="shared" si="16"/>
        <v>2.3023</v>
      </c>
      <c r="AA16" s="391">
        <f t="shared" si="16"/>
        <v>3.5505</v>
      </c>
      <c r="AB16" s="391">
        <f t="shared" si="16"/>
        <v>2.8716</v>
      </c>
      <c r="AC16" s="391">
        <f t="shared" si="16"/>
        <v>2.7458</v>
      </c>
      <c r="AD16" s="391">
        <f t="shared" si="16"/>
        <v>2.784</v>
      </c>
      <c r="AE16" s="391">
        <f t="shared" si="16"/>
        <v>3.2124</v>
      </c>
    </row>
    <row r="17">
      <c r="A17" s="155">
        <v>-33.38144958</v>
      </c>
      <c r="B17" s="155">
        <v>-70.56353561</v>
      </c>
      <c r="C17" s="155" t="s">
        <v>28</v>
      </c>
      <c r="D17" s="247">
        <f t="array" ref="D17">XLOOKUP(C17,'HouseHolds per "comuna"'!$B$2:$B$40,'HouseHolds per "comuna"'!$C$2:$C$40)*0.15</f>
        <v>4222.35</v>
      </c>
      <c r="E17" s="247">
        <f>EOQ!$C$5*D17</f>
        <v>11072.26841</v>
      </c>
      <c r="F17" s="247">
        <f>D17*EOQ!$E$5</f>
        <v>9929.27826</v>
      </c>
      <c r="G17" s="247">
        <f>D17*EOQ!$G$5</f>
        <v>13059.30632</v>
      </c>
      <c r="H17" s="247">
        <f>D17*EOQ!$I$5</f>
        <v>12441.99875</v>
      </c>
      <c r="I17" s="247">
        <f>D17*EOQ!$K$5</f>
        <v>14403.28032</v>
      </c>
      <c r="J17" s="247">
        <f>D17*EOQ!$M$5</f>
        <v>11926.02758</v>
      </c>
      <c r="K17" s="247">
        <f>D17*EOQ!$O$5</f>
        <v>9721.116405</v>
      </c>
      <c r="L17" s="247">
        <f>D17*EOQ!$Q$5</f>
        <v>14991.45368</v>
      </c>
      <c r="M17" s="247">
        <f>D17*EOQ!$S$5</f>
        <v>12124.90026</v>
      </c>
      <c r="N17" s="247">
        <f>D17*EOQ!$U$5</f>
        <v>11593.72863</v>
      </c>
      <c r="O17" s="247">
        <f>D17*EOQ!$W$5</f>
        <v>11755.0224</v>
      </c>
      <c r="P17" s="247">
        <f>D17*EOQ!$Y$5</f>
        <v>13563.87714</v>
      </c>
      <c r="Q17" s="247">
        <f t="shared" si="14"/>
        <v>12215.18818</v>
      </c>
      <c r="T17" s="391">
        <f t="shared" ref="T17:AE17" si="17">E17/$D17</f>
        <v>2.6223</v>
      </c>
      <c r="U17" s="391">
        <f t="shared" si="17"/>
        <v>2.3516</v>
      </c>
      <c r="V17" s="391">
        <f t="shared" si="17"/>
        <v>3.0929</v>
      </c>
      <c r="W17" s="391">
        <f t="shared" si="17"/>
        <v>2.9467</v>
      </c>
      <c r="X17" s="391">
        <f t="shared" si="17"/>
        <v>3.4112</v>
      </c>
      <c r="Y17" s="391">
        <f t="shared" si="17"/>
        <v>2.8245</v>
      </c>
      <c r="Z17" s="391">
        <f t="shared" si="17"/>
        <v>2.3023</v>
      </c>
      <c r="AA17" s="391">
        <f t="shared" si="17"/>
        <v>3.5505</v>
      </c>
      <c r="AB17" s="391">
        <f t="shared" si="17"/>
        <v>2.8716</v>
      </c>
      <c r="AC17" s="391">
        <f t="shared" si="17"/>
        <v>2.7458</v>
      </c>
      <c r="AD17" s="391">
        <f t="shared" si="17"/>
        <v>2.784</v>
      </c>
      <c r="AE17" s="391">
        <f t="shared" si="17"/>
        <v>3.2124</v>
      </c>
    </row>
    <row r="18">
      <c r="A18" s="155">
        <v>-33.42043054552</v>
      </c>
      <c r="B18" s="155">
        <v>-70.733744571828</v>
      </c>
      <c r="C18" s="155" t="s">
        <v>30</v>
      </c>
      <c r="D18" s="247">
        <f t="array" ref="D18">XLOOKUP(C18,'HouseHolds per "comuna"'!$B$2:$B$40,'HouseHolds per "comuna"'!$C$2:$C$40)*0.15</f>
        <v>5797.65</v>
      </c>
      <c r="E18" s="247">
        <f>EOQ!$C$5*D18</f>
        <v>15203.1776</v>
      </c>
      <c r="F18" s="247">
        <f>D18*EOQ!$E$5</f>
        <v>13633.75374</v>
      </c>
      <c r="G18" s="247">
        <f>D18*EOQ!$G$5</f>
        <v>17931.55169</v>
      </c>
      <c r="H18" s="247">
        <f>D18*EOQ!$I$5</f>
        <v>17083.93526</v>
      </c>
      <c r="I18" s="247">
        <f>D18*EOQ!$K$5</f>
        <v>19776.94368</v>
      </c>
      <c r="J18" s="247">
        <f>D18*EOQ!$M$5</f>
        <v>16375.46243</v>
      </c>
      <c r="K18" s="247">
        <f>D18*EOQ!$O$5</f>
        <v>13347.9296</v>
      </c>
      <c r="L18" s="247">
        <f>D18*EOQ!$Q$5</f>
        <v>20584.55633</v>
      </c>
      <c r="M18" s="247">
        <f>D18*EOQ!$S$5</f>
        <v>16648.53174</v>
      </c>
      <c r="N18" s="247">
        <f>D18*EOQ!$U$5</f>
        <v>15919.18737</v>
      </c>
      <c r="O18" s="247">
        <f>D18*EOQ!$W$5</f>
        <v>16140.6576</v>
      </c>
      <c r="P18" s="247">
        <f>D18*EOQ!$Y$5</f>
        <v>18624.37086</v>
      </c>
      <c r="Q18" s="247">
        <f t="shared" si="14"/>
        <v>16772.50482</v>
      </c>
      <c r="T18" s="391">
        <f t="shared" ref="T18:AE18" si="18">E18/$D18</f>
        <v>2.6223</v>
      </c>
      <c r="U18" s="391">
        <f t="shared" si="18"/>
        <v>2.3516</v>
      </c>
      <c r="V18" s="391">
        <f t="shared" si="18"/>
        <v>3.0929</v>
      </c>
      <c r="W18" s="391">
        <f t="shared" si="18"/>
        <v>2.9467</v>
      </c>
      <c r="X18" s="391">
        <f t="shared" si="18"/>
        <v>3.4112</v>
      </c>
      <c r="Y18" s="391">
        <f t="shared" si="18"/>
        <v>2.8245</v>
      </c>
      <c r="Z18" s="391">
        <f t="shared" si="18"/>
        <v>2.3023</v>
      </c>
      <c r="AA18" s="391">
        <f t="shared" si="18"/>
        <v>3.5505</v>
      </c>
      <c r="AB18" s="391">
        <f t="shared" si="18"/>
        <v>2.8716</v>
      </c>
      <c r="AC18" s="391">
        <f t="shared" si="18"/>
        <v>2.7458</v>
      </c>
      <c r="AD18" s="391">
        <f t="shared" si="18"/>
        <v>2.784</v>
      </c>
      <c r="AE18" s="391">
        <f t="shared" si="18"/>
        <v>3.2124</v>
      </c>
    </row>
    <row r="19">
      <c r="A19" s="155">
        <v>-33.4799485636684</v>
      </c>
      <c r="B19" s="155">
        <v>-70.6611965188523</v>
      </c>
      <c r="C19" s="155" t="s">
        <v>32</v>
      </c>
      <c r="D19" s="247">
        <f t="array" ref="D19">XLOOKUP(C19,'HouseHolds per "comuna"'!$B$2:$B$40,'HouseHolds per "comuna"'!$C$2:$C$40)*0.15</f>
        <v>4488.15</v>
      </c>
      <c r="E19" s="247">
        <f>EOQ!$C$5*D19</f>
        <v>11769.27575</v>
      </c>
      <c r="F19" s="247">
        <f>D19*EOQ!$E$5</f>
        <v>10554.33354</v>
      </c>
      <c r="G19" s="247">
        <f>D19*EOQ!$G$5</f>
        <v>13881.39914</v>
      </c>
      <c r="H19" s="247">
        <f>D19*EOQ!$I$5</f>
        <v>13225.23161</v>
      </c>
      <c r="I19" s="247">
        <f>D19*EOQ!$K$5</f>
        <v>15309.97728</v>
      </c>
      <c r="J19" s="247">
        <f>D19*EOQ!$M$5</f>
        <v>12676.77968</v>
      </c>
      <c r="K19" s="247">
        <f>D19*EOQ!$O$5</f>
        <v>10333.06775</v>
      </c>
      <c r="L19" s="247">
        <f>D19*EOQ!$Q$5</f>
        <v>15935.17658</v>
      </c>
      <c r="M19" s="247">
        <f>D19*EOQ!$S$5</f>
        <v>12888.17154</v>
      </c>
      <c r="N19" s="247">
        <f>D19*EOQ!$U$5</f>
        <v>12323.56227</v>
      </c>
      <c r="O19" s="247">
        <f>D19*EOQ!$W$5</f>
        <v>12495.0096</v>
      </c>
      <c r="P19" s="247">
        <f>D19*EOQ!$Y$5</f>
        <v>14417.73306</v>
      </c>
      <c r="Q19" s="247">
        <f t="shared" si="14"/>
        <v>12984.14315</v>
      </c>
      <c r="T19" s="391">
        <f t="shared" ref="T19:AE19" si="19">E19/$D19</f>
        <v>2.6223</v>
      </c>
      <c r="U19" s="391">
        <f t="shared" si="19"/>
        <v>2.3516</v>
      </c>
      <c r="V19" s="391">
        <f t="shared" si="19"/>
        <v>3.0929</v>
      </c>
      <c r="W19" s="391">
        <f t="shared" si="19"/>
        <v>2.9467</v>
      </c>
      <c r="X19" s="391">
        <f t="shared" si="19"/>
        <v>3.4112</v>
      </c>
      <c r="Y19" s="391">
        <f t="shared" si="19"/>
        <v>2.8245</v>
      </c>
      <c r="Z19" s="391">
        <f t="shared" si="19"/>
        <v>2.3023</v>
      </c>
      <c r="AA19" s="391">
        <f t="shared" si="19"/>
        <v>3.5505</v>
      </c>
      <c r="AB19" s="391">
        <f t="shared" si="19"/>
        <v>2.8716</v>
      </c>
      <c r="AC19" s="391">
        <f t="shared" si="19"/>
        <v>2.7458</v>
      </c>
      <c r="AD19" s="391">
        <f t="shared" si="19"/>
        <v>2.784</v>
      </c>
      <c r="AE19" s="391">
        <f t="shared" si="19"/>
        <v>3.2124</v>
      </c>
    </row>
    <row r="20">
      <c r="A20" s="155">
        <v>-33.5669161134897</v>
      </c>
      <c r="B20" s="155">
        <v>-70.6821206157262</v>
      </c>
      <c r="C20" s="155" t="s">
        <v>34</v>
      </c>
      <c r="D20" s="247">
        <f t="array" ref="D20">XLOOKUP(C20,'HouseHolds per "comuna"'!$B$2:$B$40,'HouseHolds per "comuna"'!$C$2:$C$40)*0.15</f>
        <v>7107.6</v>
      </c>
      <c r="E20" s="247">
        <f>EOQ!$C$5*D20</f>
        <v>18638.25948</v>
      </c>
      <c r="F20" s="247">
        <f>D20*EOQ!$E$5</f>
        <v>16714.23216</v>
      </c>
      <c r="G20" s="247">
        <f>D20*EOQ!$G$5</f>
        <v>21983.09604</v>
      </c>
      <c r="H20" s="247">
        <f>D20*EOQ!$I$5</f>
        <v>20943.96492</v>
      </c>
      <c r="I20" s="247">
        <f>D20*EOQ!$K$5</f>
        <v>24245.44512</v>
      </c>
      <c r="J20" s="247">
        <f>D20*EOQ!$M$5</f>
        <v>20075.4162</v>
      </c>
      <c r="K20" s="247">
        <f>D20*EOQ!$O$5</f>
        <v>16363.82748</v>
      </c>
      <c r="L20" s="247">
        <f>D20*EOQ!$Q$5</f>
        <v>25235.5338</v>
      </c>
      <c r="M20" s="247">
        <f>D20*EOQ!$S$5</f>
        <v>20410.18416</v>
      </c>
      <c r="N20" s="247">
        <f>D20*EOQ!$U$5</f>
        <v>19516.04808</v>
      </c>
      <c r="O20" s="247">
        <f>D20*EOQ!$W$5</f>
        <v>19787.5584</v>
      </c>
      <c r="P20" s="247">
        <f>D20*EOQ!$Y$5</f>
        <v>22832.45424</v>
      </c>
      <c r="Q20" s="247">
        <f t="shared" si="14"/>
        <v>20562.16834</v>
      </c>
      <c r="T20" s="391">
        <f t="shared" ref="T20:AE20" si="20">E20/$D20</f>
        <v>2.6223</v>
      </c>
      <c r="U20" s="391">
        <f t="shared" si="20"/>
        <v>2.3516</v>
      </c>
      <c r="V20" s="391">
        <f t="shared" si="20"/>
        <v>3.0929</v>
      </c>
      <c r="W20" s="391">
        <f t="shared" si="20"/>
        <v>2.9467</v>
      </c>
      <c r="X20" s="391">
        <f t="shared" si="20"/>
        <v>3.4112</v>
      </c>
      <c r="Y20" s="391">
        <f t="shared" si="20"/>
        <v>2.8245</v>
      </c>
      <c r="Z20" s="391">
        <f t="shared" si="20"/>
        <v>2.3023</v>
      </c>
      <c r="AA20" s="391">
        <f t="shared" si="20"/>
        <v>3.5505</v>
      </c>
      <c r="AB20" s="391">
        <f t="shared" si="20"/>
        <v>2.8716</v>
      </c>
      <c r="AC20" s="391">
        <f t="shared" si="20"/>
        <v>2.7458</v>
      </c>
      <c r="AD20" s="391">
        <f t="shared" si="20"/>
        <v>2.784</v>
      </c>
      <c r="AE20" s="391">
        <f t="shared" si="20"/>
        <v>3.2124</v>
      </c>
    </row>
    <row r="21">
      <c r="A21" s="155">
        <v>-33.5225565127023</v>
      </c>
      <c r="B21" s="155">
        <v>-70.7721740162419</v>
      </c>
      <c r="C21" s="155" t="s">
        <v>36</v>
      </c>
      <c r="D21" s="247">
        <f t="array" ref="D21">XLOOKUP(C21,'HouseHolds per "comuna"'!$B$2:$B$40,'HouseHolds per "comuna"'!$C$2:$C$40)*0.15</f>
        <v>23308.65</v>
      </c>
      <c r="E21" s="247">
        <f>EOQ!$C$5*D21</f>
        <v>61122.2729</v>
      </c>
      <c r="F21" s="247">
        <f>D21*EOQ!$E$5</f>
        <v>54812.62134</v>
      </c>
      <c r="G21" s="247">
        <f>D21*EOQ!$G$5</f>
        <v>72091.32359</v>
      </c>
      <c r="H21" s="247">
        <f>D21*EOQ!$I$5</f>
        <v>68683.59896</v>
      </c>
      <c r="I21" s="247">
        <f>D21*EOQ!$K$5</f>
        <v>79510.46688</v>
      </c>
      <c r="J21" s="247">
        <f>D21*EOQ!$M$5</f>
        <v>65835.28193</v>
      </c>
      <c r="K21" s="247">
        <f>D21*EOQ!$O$5</f>
        <v>53663.5049</v>
      </c>
      <c r="L21" s="247">
        <f>D21*EOQ!$Q$5</f>
        <v>82757.36183</v>
      </c>
      <c r="M21" s="247">
        <f>D21*EOQ!$S$5</f>
        <v>66933.11934</v>
      </c>
      <c r="N21" s="247">
        <f>D21*EOQ!$U$5</f>
        <v>64000.89117</v>
      </c>
      <c r="O21" s="247">
        <f>D21*EOQ!$W$5</f>
        <v>64891.2816</v>
      </c>
      <c r="P21" s="247">
        <f>D21*EOQ!$Y$5</f>
        <v>74876.70726</v>
      </c>
      <c r="Q21" s="247">
        <f t="shared" si="14"/>
        <v>67431.53597</v>
      </c>
      <c r="T21" s="391">
        <f t="shared" ref="T21:AE21" si="21">E21/$D21</f>
        <v>2.6223</v>
      </c>
      <c r="U21" s="391">
        <f t="shared" si="21"/>
        <v>2.3516</v>
      </c>
      <c r="V21" s="391">
        <f t="shared" si="21"/>
        <v>3.0929</v>
      </c>
      <c r="W21" s="391">
        <f t="shared" si="21"/>
        <v>2.9467</v>
      </c>
      <c r="X21" s="391">
        <f t="shared" si="21"/>
        <v>3.4112</v>
      </c>
      <c r="Y21" s="391">
        <f t="shared" si="21"/>
        <v>2.8245</v>
      </c>
      <c r="Z21" s="391">
        <f t="shared" si="21"/>
        <v>2.3023</v>
      </c>
      <c r="AA21" s="391">
        <f t="shared" si="21"/>
        <v>3.5505</v>
      </c>
      <c r="AB21" s="391">
        <f t="shared" si="21"/>
        <v>2.8716</v>
      </c>
      <c r="AC21" s="391">
        <f t="shared" si="21"/>
        <v>2.7458</v>
      </c>
      <c r="AD21" s="391">
        <f t="shared" si="21"/>
        <v>2.784</v>
      </c>
      <c r="AE21" s="391">
        <f t="shared" si="21"/>
        <v>3.2124</v>
      </c>
    </row>
    <row r="22">
      <c r="A22" s="155">
        <v>-33.5389061820572</v>
      </c>
      <c r="B22" s="155">
        <v>-70.5892347989387</v>
      </c>
      <c r="C22" s="155" t="s">
        <v>38</v>
      </c>
      <c r="D22" s="247">
        <f t="array" ref="D22">XLOOKUP(C22,'HouseHolds per "comuna"'!$B$2:$B$40,'HouseHolds per "comuna"'!$C$2:$C$40)*0.15</f>
        <v>17274.15</v>
      </c>
      <c r="E22" s="247">
        <f>EOQ!$C$5*D22</f>
        <v>45298.00355</v>
      </c>
      <c r="F22" s="247">
        <f>D22*EOQ!$E$5</f>
        <v>40621.89114</v>
      </c>
      <c r="G22" s="247">
        <f>D22*EOQ!$G$5</f>
        <v>53427.21854</v>
      </c>
      <c r="H22" s="247">
        <f>D22*EOQ!$I$5</f>
        <v>50901.73781</v>
      </c>
      <c r="I22" s="247">
        <f>D22*EOQ!$K$5</f>
        <v>58925.58048</v>
      </c>
      <c r="J22" s="247">
        <f>D22*EOQ!$M$5</f>
        <v>48790.83668</v>
      </c>
      <c r="K22" s="247">
        <f>D22*EOQ!$O$5</f>
        <v>39770.27555</v>
      </c>
      <c r="L22" s="247">
        <f>D22*EOQ!$Q$5</f>
        <v>61331.86958</v>
      </c>
      <c r="M22" s="247">
        <f>D22*EOQ!$S$5</f>
        <v>49604.44914</v>
      </c>
      <c r="N22" s="247">
        <f>D22*EOQ!$U$5</f>
        <v>47431.36107</v>
      </c>
      <c r="O22" s="247">
        <f>D22*EOQ!$W$5</f>
        <v>48091.2336</v>
      </c>
      <c r="P22" s="247">
        <f>D22*EOQ!$Y$5</f>
        <v>55491.47946</v>
      </c>
      <c r="Q22" s="247">
        <f t="shared" si="14"/>
        <v>49973.82805</v>
      </c>
      <c r="T22" s="391">
        <f t="shared" ref="T22:AE22" si="22">E22/$D22</f>
        <v>2.6223</v>
      </c>
      <c r="U22" s="391">
        <f t="shared" si="22"/>
        <v>2.3516</v>
      </c>
      <c r="V22" s="391">
        <f t="shared" si="22"/>
        <v>3.0929</v>
      </c>
      <c r="W22" s="391">
        <f t="shared" si="22"/>
        <v>2.9467</v>
      </c>
      <c r="X22" s="391">
        <f t="shared" si="22"/>
        <v>3.4112</v>
      </c>
      <c r="Y22" s="391">
        <f t="shared" si="22"/>
        <v>2.8245</v>
      </c>
      <c r="Z22" s="391">
        <f t="shared" si="22"/>
        <v>2.3023</v>
      </c>
      <c r="AA22" s="391">
        <f t="shared" si="22"/>
        <v>3.5505</v>
      </c>
      <c r="AB22" s="391">
        <f t="shared" si="22"/>
        <v>2.8716</v>
      </c>
      <c r="AC22" s="391">
        <f t="shared" si="22"/>
        <v>2.7458</v>
      </c>
      <c r="AD22" s="391">
        <f t="shared" si="22"/>
        <v>2.784</v>
      </c>
      <c r="AE22" s="391">
        <f t="shared" si="22"/>
        <v>3.2124</v>
      </c>
    </row>
    <row r="23">
      <c r="C23" s="386"/>
      <c r="D23" s="247"/>
      <c r="E23" s="247">
        <f t="shared" ref="E23:Q23" si="23">SUM(E14:E22)</f>
        <v>240112.7351</v>
      </c>
      <c r="F23" s="247">
        <f t="shared" si="23"/>
        <v>215325.9001</v>
      </c>
      <c r="G23" s="247">
        <f t="shared" si="23"/>
        <v>283203.5535</v>
      </c>
      <c r="H23" s="247">
        <f t="shared" si="23"/>
        <v>269816.6482</v>
      </c>
      <c r="I23" s="247">
        <f t="shared" si="23"/>
        <v>312348.9158</v>
      </c>
      <c r="J23" s="247">
        <f t="shared" si="23"/>
        <v>258627.3197</v>
      </c>
      <c r="K23" s="247">
        <f t="shared" si="23"/>
        <v>210811.7111</v>
      </c>
      <c r="L23" s="247">
        <f t="shared" si="23"/>
        <v>325104.0179</v>
      </c>
      <c r="M23" s="247">
        <f t="shared" si="23"/>
        <v>262940.0641</v>
      </c>
      <c r="N23" s="247">
        <f t="shared" si="23"/>
        <v>251421.0991</v>
      </c>
      <c r="O23" s="247">
        <f t="shared" si="23"/>
        <v>254918.9088</v>
      </c>
      <c r="P23" s="247">
        <f t="shared" si="23"/>
        <v>294145.6547</v>
      </c>
      <c r="Q23" s="247">
        <f t="shared" si="23"/>
        <v>264898.044</v>
      </c>
      <c r="R23" s="247">
        <f>MAX(E23:P23)</f>
        <v>325104.0179</v>
      </c>
      <c r="T23" s="391">
        <f t="shared" ref="T23:AE23" si="24">SUM(T14:T22)</f>
        <v>23.6007</v>
      </c>
      <c r="U23" s="391">
        <f t="shared" si="24"/>
        <v>21.1644</v>
      </c>
      <c r="V23" s="391">
        <f t="shared" si="24"/>
        <v>27.8361</v>
      </c>
      <c r="W23" s="391">
        <f t="shared" si="24"/>
        <v>26.5203</v>
      </c>
      <c r="X23" s="391">
        <f t="shared" si="24"/>
        <v>30.7008</v>
      </c>
      <c r="Y23" s="391">
        <f t="shared" si="24"/>
        <v>25.4205</v>
      </c>
      <c r="Z23" s="391">
        <f t="shared" si="24"/>
        <v>20.7207</v>
      </c>
      <c r="AA23" s="391">
        <f t="shared" si="24"/>
        <v>31.9545</v>
      </c>
      <c r="AB23" s="391">
        <f t="shared" si="24"/>
        <v>25.8444</v>
      </c>
      <c r="AC23" s="391">
        <f t="shared" si="24"/>
        <v>24.7122</v>
      </c>
      <c r="AD23" s="391">
        <f t="shared" si="24"/>
        <v>25.056</v>
      </c>
      <c r="AE23" s="391">
        <f t="shared" si="24"/>
        <v>28.9116</v>
      </c>
    </row>
    <row r="24">
      <c r="C24" s="386" t="s">
        <v>25</v>
      </c>
      <c r="D24" s="247"/>
      <c r="E24" s="247"/>
      <c r="F24" s="247"/>
      <c r="G24" s="247"/>
      <c r="H24" s="247"/>
      <c r="I24" s="247"/>
      <c r="J24" s="247"/>
      <c r="K24" s="247"/>
      <c r="L24" s="247"/>
      <c r="M24" s="247"/>
      <c r="N24" s="247"/>
      <c r="O24" s="247"/>
      <c r="P24" s="247"/>
      <c r="T24" s="391"/>
      <c r="U24" s="391"/>
      <c r="V24" s="391"/>
      <c r="W24" s="391"/>
      <c r="X24" s="391"/>
      <c r="Y24" s="391"/>
      <c r="Z24" s="391"/>
      <c r="AA24" s="391"/>
      <c r="AB24" s="391"/>
      <c r="AC24" s="391"/>
      <c r="AD24" s="391"/>
      <c r="AE24" s="391"/>
    </row>
    <row r="25">
      <c r="A25" s="155">
        <v>-33.34335643</v>
      </c>
      <c r="B25" s="155">
        <v>-70.52466882</v>
      </c>
      <c r="C25" s="155" t="s">
        <v>22</v>
      </c>
      <c r="D25" s="247">
        <f t="array" ref="D25">XLOOKUP(C25,'HouseHolds per "comuna"'!$B$2:$B$40,'HouseHolds per "comuna"'!$C$2:$C$40)*0.15</f>
        <v>4034.1</v>
      </c>
      <c r="E25" s="247">
        <f>EOQ!$C$6*D25</f>
        <v>1273.56537</v>
      </c>
      <c r="F25" s="247">
        <f>D25*EOQ!$F$6</f>
        <v>1992.678639</v>
      </c>
      <c r="G25" s="247">
        <f>D25*EOQ!$G$6</f>
        <v>1471.23627</v>
      </c>
      <c r="H25" s="247">
        <f>D25*EOQ!$I$6</f>
        <v>1603.55475</v>
      </c>
      <c r="I25" s="247">
        <f>D25*EOQ!$K$6</f>
        <v>1889.97585</v>
      </c>
      <c r="J25" s="247">
        <f>D25*EOQ!$M$6</f>
        <v>1820.99274</v>
      </c>
      <c r="K25" s="247">
        <f>D25*EOQ!$O$6</f>
        <v>1897.64064</v>
      </c>
      <c r="L25" s="247">
        <f>D25*EOQ!$Q$6</f>
        <v>1675.76514</v>
      </c>
      <c r="M25" s="247">
        <f>D25*EOQ!$S$6</f>
        <v>1443.80439</v>
      </c>
      <c r="N25" s="247">
        <f>D25*EOQ!$U$6</f>
        <v>1936.368</v>
      </c>
      <c r="O25" s="247">
        <f>D25*EOQ!$W$6</f>
        <v>1831.88481</v>
      </c>
      <c r="P25" s="247">
        <f>D25*EOQ!$Y$6</f>
        <v>1552.72509</v>
      </c>
      <c r="Q25" s="247">
        <f t="shared" ref="Q25:Q33" si="26">AVERAGE(E25:P25)</f>
        <v>1699.182641</v>
      </c>
      <c r="T25" s="391">
        <f t="shared" ref="T25:AE25" si="25">E25/$D25</f>
        <v>0.3157</v>
      </c>
      <c r="U25" s="391">
        <f t="shared" si="25"/>
        <v>0.4939586622</v>
      </c>
      <c r="V25" s="391">
        <f t="shared" si="25"/>
        <v>0.3647</v>
      </c>
      <c r="W25" s="391">
        <f t="shared" si="25"/>
        <v>0.3975</v>
      </c>
      <c r="X25" s="391">
        <f t="shared" si="25"/>
        <v>0.4685</v>
      </c>
      <c r="Y25" s="391">
        <f t="shared" si="25"/>
        <v>0.4514</v>
      </c>
      <c r="Z25" s="391">
        <f t="shared" si="25"/>
        <v>0.4704</v>
      </c>
      <c r="AA25" s="391">
        <f t="shared" si="25"/>
        <v>0.4154</v>
      </c>
      <c r="AB25" s="391">
        <f t="shared" si="25"/>
        <v>0.3579</v>
      </c>
      <c r="AC25" s="391">
        <f t="shared" si="25"/>
        <v>0.48</v>
      </c>
      <c r="AD25" s="391">
        <f t="shared" si="25"/>
        <v>0.4541</v>
      </c>
      <c r="AE25" s="391">
        <f t="shared" si="25"/>
        <v>0.3849</v>
      </c>
    </row>
    <row r="26">
      <c r="A26" s="155">
        <v>-33.42627012</v>
      </c>
      <c r="B26" s="155">
        <v>-70.54486003</v>
      </c>
      <c r="C26" s="155" t="s">
        <v>24</v>
      </c>
      <c r="D26" s="247">
        <f t="array" ref="D26">XLOOKUP(C26,'HouseHolds per "comuna"'!$B$2:$B$40,'HouseHolds per "comuna"'!$C$2:$C$40)*0.15</f>
        <v>16000.8</v>
      </c>
      <c r="E26" s="247">
        <f>EOQ!$C$6*D26</f>
        <v>5051.45256</v>
      </c>
      <c r="F26" s="247">
        <f>D26*EOQ!$F$6</f>
        <v>7903.733763</v>
      </c>
      <c r="G26" s="247">
        <f>D26*EOQ!$G$6</f>
        <v>5835.49176</v>
      </c>
      <c r="H26" s="247">
        <f>D26*EOQ!$I$6</f>
        <v>6360.318</v>
      </c>
      <c r="I26" s="247">
        <f>D26*EOQ!$K$6</f>
        <v>7496.3748</v>
      </c>
      <c r="J26" s="247">
        <f>D26*EOQ!$M$6</f>
        <v>7222.76112</v>
      </c>
      <c r="K26" s="247">
        <f>D26*EOQ!$O$6</f>
        <v>7526.77632</v>
      </c>
      <c r="L26" s="247">
        <f>D26*EOQ!$Q$6</f>
        <v>6646.73232</v>
      </c>
      <c r="M26" s="247">
        <f>D26*EOQ!$S$6</f>
        <v>5726.68632</v>
      </c>
      <c r="N26" s="247">
        <f>D26*EOQ!$U$6</f>
        <v>7680.384</v>
      </c>
      <c r="O26" s="247">
        <f>D26*EOQ!$W$6</f>
        <v>7265.96328</v>
      </c>
      <c r="P26" s="247">
        <f>D26*EOQ!$Y$6</f>
        <v>6158.70792</v>
      </c>
      <c r="Q26" s="247">
        <f t="shared" si="26"/>
        <v>6739.61518</v>
      </c>
      <c r="T26" s="391">
        <f t="shared" ref="T26:AE26" si="27">E26/$D26</f>
        <v>0.3157</v>
      </c>
      <c r="U26" s="391">
        <f t="shared" si="27"/>
        <v>0.4939586622</v>
      </c>
      <c r="V26" s="391">
        <f t="shared" si="27"/>
        <v>0.3647</v>
      </c>
      <c r="W26" s="391">
        <f t="shared" si="27"/>
        <v>0.3975</v>
      </c>
      <c r="X26" s="391">
        <f t="shared" si="27"/>
        <v>0.4685</v>
      </c>
      <c r="Y26" s="391">
        <f t="shared" si="27"/>
        <v>0.4514</v>
      </c>
      <c r="Z26" s="391">
        <f t="shared" si="27"/>
        <v>0.4704</v>
      </c>
      <c r="AA26" s="391">
        <f t="shared" si="27"/>
        <v>0.4154</v>
      </c>
      <c r="AB26" s="391">
        <f t="shared" si="27"/>
        <v>0.3579</v>
      </c>
      <c r="AC26" s="391">
        <f t="shared" si="27"/>
        <v>0.48</v>
      </c>
      <c r="AD26" s="391">
        <f t="shared" si="27"/>
        <v>0.4541</v>
      </c>
      <c r="AE26" s="391">
        <f t="shared" si="27"/>
        <v>0.3849</v>
      </c>
    </row>
    <row r="27">
      <c r="A27" s="155">
        <v>-33.43795143</v>
      </c>
      <c r="B27" s="155">
        <v>-70.61132569</v>
      </c>
      <c r="C27" s="155" t="s">
        <v>26</v>
      </c>
      <c r="D27" s="247">
        <f t="array" ref="D27">XLOOKUP(C27,'HouseHolds per "comuna"'!$B$2:$B$40,'HouseHolds per "comuna"'!$C$2:$C$40)*0.15</f>
        <v>9332.25</v>
      </c>
      <c r="E27" s="247">
        <f>EOQ!$C$6*D27</f>
        <v>2946.191325</v>
      </c>
      <c r="F27" s="247">
        <f>D27*EOQ!$F$6</f>
        <v>4609.745726</v>
      </c>
      <c r="G27" s="247">
        <f>D27*EOQ!$G$6</f>
        <v>3403.471575</v>
      </c>
      <c r="H27" s="247">
        <f>D27*EOQ!$I$6</f>
        <v>3709.569375</v>
      </c>
      <c r="I27" s="247">
        <f>D27*EOQ!$K$6</f>
        <v>4372.159125</v>
      </c>
      <c r="J27" s="247">
        <f>D27*EOQ!$M$6</f>
        <v>4212.57765</v>
      </c>
      <c r="K27" s="247">
        <f>D27*EOQ!$O$6</f>
        <v>4389.8904</v>
      </c>
      <c r="L27" s="247">
        <f>D27*EOQ!$Q$6</f>
        <v>3876.61665</v>
      </c>
      <c r="M27" s="247">
        <f>D27*EOQ!$S$6</f>
        <v>3340.012275</v>
      </c>
      <c r="N27" s="247">
        <f>D27*EOQ!$U$6</f>
        <v>4479.48</v>
      </c>
      <c r="O27" s="247">
        <f>D27*EOQ!$W$6</f>
        <v>4237.774725</v>
      </c>
      <c r="P27" s="247">
        <f>D27*EOQ!$Y$6</f>
        <v>3591.983025</v>
      </c>
      <c r="Q27" s="247">
        <f t="shared" si="26"/>
        <v>3930.789321</v>
      </c>
      <c r="T27" s="391">
        <f t="shared" ref="T27:AE27" si="28">E27/$D27</f>
        <v>0.3157</v>
      </c>
      <c r="U27" s="391">
        <f t="shared" si="28"/>
        <v>0.4939586622</v>
      </c>
      <c r="V27" s="391">
        <f t="shared" si="28"/>
        <v>0.3647</v>
      </c>
      <c r="W27" s="391">
        <f t="shared" si="28"/>
        <v>0.3975</v>
      </c>
      <c r="X27" s="391">
        <f t="shared" si="28"/>
        <v>0.4685</v>
      </c>
      <c r="Y27" s="391">
        <f t="shared" si="28"/>
        <v>0.4514</v>
      </c>
      <c r="Z27" s="391">
        <f t="shared" si="28"/>
        <v>0.4704</v>
      </c>
      <c r="AA27" s="391">
        <f t="shared" si="28"/>
        <v>0.4154</v>
      </c>
      <c r="AB27" s="391">
        <f t="shared" si="28"/>
        <v>0.3579</v>
      </c>
      <c r="AC27" s="391">
        <f t="shared" si="28"/>
        <v>0.48</v>
      </c>
      <c r="AD27" s="391">
        <f t="shared" si="28"/>
        <v>0.4541</v>
      </c>
      <c r="AE27" s="391">
        <f t="shared" si="28"/>
        <v>0.3849</v>
      </c>
    </row>
    <row r="28">
      <c r="A28" s="155">
        <v>-33.38144958</v>
      </c>
      <c r="B28" s="155">
        <v>-70.56353561</v>
      </c>
      <c r="C28" s="155" t="s">
        <v>28</v>
      </c>
      <c r="D28" s="247">
        <f t="array" ref="D28">XLOOKUP(C28,'HouseHolds per "comuna"'!$B$2:$B$40,'HouseHolds per "comuna"'!$C$2:$C$40)*0.15</f>
        <v>4222.35</v>
      </c>
      <c r="E28" s="247">
        <f>EOQ!$C$6*D28</f>
        <v>1332.995895</v>
      </c>
      <c r="F28" s="247">
        <f>D28*EOQ!$F$6</f>
        <v>2085.666358</v>
      </c>
      <c r="G28" s="247">
        <f>D28*EOQ!$G$6</f>
        <v>1539.891045</v>
      </c>
      <c r="H28" s="247">
        <f>D28*EOQ!$I$6</f>
        <v>1678.384125</v>
      </c>
      <c r="I28" s="247">
        <f>D28*EOQ!$K$6</f>
        <v>1978.170975</v>
      </c>
      <c r="J28" s="247">
        <f>D28*EOQ!$M$6</f>
        <v>1905.96879</v>
      </c>
      <c r="K28" s="247">
        <f>D28*EOQ!$O$6</f>
        <v>1986.19344</v>
      </c>
      <c r="L28" s="247">
        <f>D28*EOQ!$Q$6</f>
        <v>1753.96419</v>
      </c>
      <c r="M28" s="247">
        <f>D28*EOQ!$S$6</f>
        <v>1511.179065</v>
      </c>
      <c r="N28" s="247">
        <f>D28*EOQ!$U$6</f>
        <v>2026.728</v>
      </c>
      <c r="O28" s="247">
        <f>D28*EOQ!$W$6</f>
        <v>1917.369135</v>
      </c>
      <c r="P28" s="247">
        <f>D28*EOQ!$Y$6</f>
        <v>1625.182515</v>
      </c>
      <c r="Q28" s="247">
        <f t="shared" si="26"/>
        <v>1778.474461</v>
      </c>
      <c r="T28" s="391">
        <f t="shared" ref="T28:AE28" si="29">E28/$D28</f>
        <v>0.3157</v>
      </c>
      <c r="U28" s="391">
        <f t="shared" si="29"/>
        <v>0.4939586622</v>
      </c>
      <c r="V28" s="391">
        <f t="shared" si="29"/>
        <v>0.3647</v>
      </c>
      <c r="W28" s="391">
        <f t="shared" si="29"/>
        <v>0.3975</v>
      </c>
      <c r="X28" s="391">
        <f t="shared" si="29"/>
        <v>0.4685</v>
      </c>
      <c r="Y28" s="391">
        <f t="shared" si="29"/>
        <v>0.4514</v>
      </c>
      <c r="Z28" s="391">
        <f t="shared" si="29"/>
        <v>0.4704</v>
      </c>
      <c r="AA28" s="391">
        <f t="shared" si="29"/>
        <v>0.4154</v>
      </c>
      <c r="AB28" s="391">
        <f t="shared" si="29"/>
        <v>0.3579</v>
      </c>
      <c r="AC28" s="391">
        <f t="shared" si="29"/>
        <v>0.48</v>
      </c>
      <c r="AD28" s="391">
        <f t="shared" si="29"/>
        <v>0.4541</v>
      </c>
      <c r="AE28" s="391">
        <f t="shared" si="29"/>
        <v>0.3849</v>
      </c>
    </row>
    <row r="29">
      <c r="A29" s="155">
        <v>-33.42043054552</v>
      </c>
      <c r="B29" s="155">
        <v>-70.733744571828</v>
      </c>
      <c r="C29" s="155" t="s">
        <v>30</v>
      </c>
      <c r="D29" s="247">
        <f t="array" ref="D29">XLOOKUP(C29,'HouseHolds per "comuna"'!$B$2:$B$40,'HouseHolds per "comuna"'!$C$2:$C$40)*0.15</f>
        <v>5797.65</v>
      </c>
      <c r="E29" s="247">
        <f>EOQ!$C$6*D29</f>
        <v>1830.318105</v>
      </c>
      <c r="F29" s="247">
        <f>D29*EOQ!$F$6</f>
        <v>2863.799438</v>
      </c>
      <c r="G29" s="247">
        <f>D29*EOQ!$G$6</f>
        <v>2114.402955</v>
      </c>
      <c r="H29" s="247">
        <f>D29*EOQ!$I$6</f>
        <v>2304.565875</v>
      </c>
      <c r="I29" s="247">
        <f>D29*EOQ!$K$6</f>
        <v>2716.199025</v>
      </c>
      <c r="J29" s="247">
        <f>D29*EOQ!$M$6</f>
        <v>2617.05921</v>
      </c>
      <c r="K29" s="247">
        <f>D29*EOQ!$O$6</f>
        <v>2727.21456</v>
      </c>
      <c r="L29" s="247">
        <f>D29*EOQ!$Q$6</f>
        <v>2408.34381</v>
      </c>
      <c r="M29" s="247">
        <f>D29*EOQ!$S$6</f>
        <v>2074.978935</v>
      </c>
      <c r="N29" s="247">
        <f>D29*EOQ!$U$6</f>
        <v>2782.872</v>
      </c>
      <c r="O29" s="247">
        <f>D29*EOQ!$W$6</f>
        <v>2632.712865</v>
      </c>
      <c r="P29" s="247">
        <f>D29*EOQ!$Y$6</f>
        <v>2231.515485</v>
      </c>
      <c r="Q29" s="247">
        <f t="shared" si="26"/>
        <v>2441.998522</v>
      </c>
      <c r="T29" s="391">
        <f t="shared" ref="T29:AE29" si="30">E29/$D29</f>
        <v>0.3157</v>
      </c>
      <c r="U29" s="391">
        <f t="shared" si="30"/>
        <v>0.4939586622</v>
      </c>
      <c r="V29" s="391">
        <f t="shared" si="30"/>
        <v>0.3647</v>
      </c>
      <c r="W29" s="391">
        <f t="shared" si="30"/>
        <v>0.3975</v>
      </c>
      <c r="X29" s="391">
        <f t="shared" si="30"/>
        <v>0.4685</v>
      </c>
      <c r="Y29" s="391">
        <f t="shared" si="30"/>
        <v>0.4514</v>
      </c>
      <c r="Z29" s="391">
        <f t="shared" si="30"/>
        <v>0.4704</v>
      </c>
      <c r="AA29" s="391">
        <f t="shared" si="30"/>
        <v>0.4154</v>
      </c>
      <c r="AB29" s="391">
        <f t="shared" si="30"/>
        <v>0.3579</v>
      </c>
      <c r="AC29" s="391">
        <f t="shared" si="30"/>
        <v>0.48</v>
      </c>
      <c r="AD29" s="391">
        <f t="shared" si="30"/>
        <v>0.4541</v>
      </c>
      <c r="AE29" s="391">
        <f t="shared" si="30"/>
        <v>0.3849</v>
      </c>
    </row>
    <row r="30">
      <c r="A30" s="155">
        <v>-33.4799485636684</v>
      </c>
      <c r="B30" s="155">
        <v>-70.6611965188523</v>
      </c>
      <c r="C30" s="155" t="s">
        <v>32</v>
      </c>
      <c r="D30" s="247">
        <f t="array" ref="D30">XLOOKUP(C30,'HouseHolds per "comuna"'!$B$2:$B$40,'HouseHolds per "comuna"'!$C$2:$C$40)*0.15</f>
        <v>4488.15</v>
      </c>
      <c r="E30" s="247">
        <f>EOQ!$C$6*D30</f>
        <v>1416.908955</v>
      </c>
      <c r="F30" s="247">
        <f>D30*EOQ!$F$6</f>
        <v>2216.96057</v>
      </c>
      <c r="G30" s="247">
        <f>D30*EOQ!$G$6</f>
        <v>1636.828305</v>
      </c>
      <c r="H30" s="247">
        <f>D30*EOQ!$I$6</f>
        <v>1784.039625</v>
      </c>
      <c r="I30" s="247">
        <f>D30*EOQ!$K$6</f>
        <v>2102.698275</v>
      </c>
      <c r="J30" s="247">
        <f>D30*EOQ!$M$6</f>
        <v>2025.95091</v>
      </c>
      <c r="K30" s="247">
        <f>D30*EOQ!$O$6</f>
        <v>2111.22576</v>
      </c>
      <c r="L30" s="247">
        <f>D30*EOQ!$Q$6</f>
        <v>1864.37751</v>
      </c>
      <c r="M30" s="247">
        <f>D30*EOQ!$S$6</f>
        <v>1606.308885</v>
      </c>
      <c r="N30" s="247">
        <f>D30*EOQ!$U$6</f>
        <v>2154.312</v>
      </c>
      <c r="O30" s="247">
        <f>D30*EOQ!$W$6</f>
        <v>2038.068915</v>
      </c>
      <c r="P30" s="247">
        <f>D30*EOQ!$Y$6</f>
        <v>1727.488935</v>
      </c>
      <c r="Q30" s="247">
        <f t="shared" si="26"/>
        <v>1890.43072</v>
      </c>
      <c r="T30" s="391">
        <f t="shared" ref="T30:AE30" si="31">E30/$D30</f>
        <v>0.3157</v>
      </c>
      <c r="U30" s="391">
        <f t="shared" si="31"/>
        <v>0.4939586622</v>
      </c>
      <c r="V30" s="391">
        <f t="shared" si="31"/>
        <v>0.3647</v>
      </c>
      <c r="W30" s="391">
        <f t="shared" si="31"/>
        <v>0.3975</v>
      </c>
      <c r="X30" s="391">
        <f t="shared" si="31"/>
        <v>0.4685</v>
      </c>
      <c r="Y30" s="391">
        <f t="shared" si="31"/>
        <v>0.4514</v>
      </c>
      <c r="Z30" s="391">
        <f t="shared" si="31"/>
        <v>0.4704</v>
      </c>
      <c r="AA30" s="391">
        <f t="shared" si="31"/>
        <v>0.4154</v>
      </c>
      <c r="AB30" s="391">
        <f t="shared" si="31"/>
        <v>0.3579</v>
      </c>
      <c r="AC30" s="391">
        <f t="shared" si="31"/>
        <v>0.48</v>
      </c>
      <c r="AD30" s="391">
        <f t="shared" si="31"/>
        <v>0.4541</v>
      </c>
      <c r="AE30" s="391">
        <f t="shared" si="31"/>
        <v>0.3849</v>
      </c>
    </row>
    <row r="31">
      <c r="A31" s="155">
        <v>-33.5669161134897</v>
      </c>
      <c r="B31" s="155">
        <v>-70.6821206157262</v>
      </c>
      <c r="C31" s="155" t="s">
        <v>34</v>
      </c>
      <c r="D31" s="247">
        <f t="array" ref="D31">XLOOKUP(C31,'HouseHolds per "comuna"'!$B$2:$B$40,'HouseHolds per "comuna"'!$C$2:$C$40)*0.15</f>
        <v>7107.6</v>
      </c>
      <c r="E31" s="247">
        <f>EOQ!$C$6*D31</f>
        <v>2243.86932</v>
      </c>
      <c r="F31" s="247">
        <f>D31*EOQ!$F$6</f>
        <v>3510.860588</v>
      </c>
      <c r="G31" s="247">
        <f>D31*EOQ!$G$6</f>
        <v>2592.14172</v>
      </c>
      <c r="H31" s="247">
        <f>D31*EOQ!$I$6</f>
        <v>2825.271</v>
      </c>
      <c r="I31" s="247">
        <f>D31*EOQ!$K$6</f>
        <v>3329.9106</v>
      </c>
      <c r="J31" s="247">
        <f>D31*EOQ!$M$6</f>
        <v>3208.37064</v>
      </c>
      <c r="K31" s="247">
        <f>D31*EOQ!$O$6</f>
        <v>3343.41504</v>
      </c>
      <c r="L31" s="247">
        <f>D31*EOQ!$Q$6</f>
        <v>2952.49704</v>
      </c>
      <c r="M31" s="247">
        <f>D31*EOQ!$S$6</f>
        <v>2543.81004</v>
      </c>
      <c r="N31" s="247">
        <f>D31*EOQ!$U$6</f>
        <v>3411.648</v>
      </c>
      <c r="O31" s="247">
        <f>D31*EOQ!$W$6</f>
        <v>3227.56116</v>
      </c>
      <c r="P31" s="247">
        <f>D31*EOQ!$Y$6</f>
        <v>2735.71524</v>
      </c>
      <c r="Q31" s="247">
        <f t="shared" si="26"/>
        <v>2993.755866</v>
      </c>
      <c r="T31" s="391">
        <f t="shared" ref="T31:AE31" si="32">E31/$D31</f>
        <v>0.3157</v>
      </c>
      <c r="U31" s="391">
        <f t="shared" si="32"/>
        <v>0.4939586622</v>
      </c>
      <c r="V31" s="391">
        <f t="shared" si="32"/>
        <v>0.3647</v>
      </c>
      <c r="W31" s="391">
        <f t="shared" si="32"/>
        <v>0.3975</v>
      </c>
      <c r="X31" s="391">
        <f t="shared" si="32"/>
        <v>0.4685</v>
      </c>
      <c r="Y31" s="391">
        <f t="shared" si="32"/>
        <v>0.4514</v>
      </c>
      <c r="Z31" s="391">
        <f t="shared" si="32"/>
        <v>0.4704</v>
      </c>
      <c r="AA31" s="391">
        <f t="shared" si="32"/>
        <v>0.4154</v>
      </c>
      <c r="AB31" s="391">
        <f t="shared" si="32"/>
        <v>0.3579</v>
      </c>
      <c r="AC31" s="391">
        <f t="shared" si="32"/>
        <v>0.48</v>
      </c>
      <c r="AD31" s="391">
        <f t="shared" si="32"/>
        <v>0.4541</v>
      </c>
      <c r="AE31" s="391">
        <f t="shared" si="32"/>
        <v>0.3849</v>
      </c>
    </row>
    <row r="32">
      <c r="A32" s="155">
        <v>-33.5225565127023</v>
      </c>
      <c r="B32" s="155">
        <v>-70.7721740162419</v>
      </c>
      <c r="C32" s="155" t="s">
        <v>36</v>
      </c>
      <c r="D32" s="247">
        <f t="array" ref="D32">XLOOKUP(C32,'HouseHolds per "comuna"'!$B$2:$B$40,'HouseHolds per "comuna"'!$C$2:$C$40)*0.15</f>
        <v>23308.65</v>
      </c>
      <c r="E32" s="247">
        <f>EOQ!$C$6*D32</f>
        <v>7358.540805</v>
      </c>
      <c r="F32" s="247">
        <f>D32*EOQ!$F$6</f>
        <v>11513.50957</v>
      </c>
      <c r="G32" s="247">
        <f>D32*EOQ!$G$6</f>
        <v>8500.664655</v>
      </c>
      <c r="H32" s="247">
        <f>D32*EOQ!$I$6</f>
        <v>9265.188375</v>
      </c>
      <c r="I32" s="247">
        <f>D32*EOQ!$K$6</f>
        <v>10920.10253</v>
      </c>
      <c r="J32" s="247">
        <f>D32*EOQ!$M$6</f>
        <v>10521.52461</v>
      </c>
      <c r="K32" s="247">
        <f>D32*EOQ!$O$6</f>
        <v>10964.38896</v>
      </c>
      <c r="L32" s="247">
        <f>D32*EOQ!$Q$6</f>
        <v>9682.41321</v>
      </c>
      <c r="M32" s="247">
        <f>D32*EOQ!$S$6</f>
        <v>8342.165835</v>
      </c>
      <c r="N32" s="247">
        <f>D32*EOQ!$U$6</f>
        <v>11188.152</v>
      </c>
      <c r="O32" s="247">
        <f>D32*EOQ!$W$6</f>
        <v>10584.45797</v>
      </c>
      <c r="P32" s="247">
        <f>D32*EOQ!$Y$6</f>
        <v>8971.499385</v>
      </c>
      <c r="Q32" s="247">
        <f t="shared" si="26"/>
        <v>9817.717325</v>
      </c>
      <c r="T32" s="391">
        <f t="shared" ref="T32:AE32" si="33">E32/$D32</f>
        <v>0.3157</v>
      </c>
      <c r="U32" s="391">
        <f t="shared" si="33"/>
        <v>0.4939586622</v>
      </c>
      <c r="V32" s="391">
        <f t="shared" si="33"/>
        <v>0.3647</v>
      </c>
      <c r="W32" s="391">
        <f t="shared" si="33"/>
        <v>0.3975</v>
      </c>
      <c r="X32" s="391">
        <f t="shared" si="33"/>
        <v>0.4685</v>
      </c>
      <c r="Y32" s="391">
        <f t="shared" si="33"/>
        <v>0.4514</v>
      </c>
      <c r="Z32" s="391">
        <f t="shared" si="33"/>
        <v>0.4704</v>
      </c>
      <c r="AA32" s="391">
        <f t="shared" si="33"/>
        <v>0.4154</v>
      </c>
      <c r="AB32" s="391">
        <f t="shared" si="33"/>
        <v>0.3579</v>
      </c>
      <c r="AC32" s="391">
        <f t="shared" si="33"/>
        <v>0.48</v>
      </c>
      <c r="AD32" s="391">
        <f t="shared" si="33"/>
        <v>0.4541</v>
      </c>
      <c r="AE32" s="391">
        <f t="shared" si="33"/>
        <v>0.3849</v>
      </c>
    </row>
    <row r="33">
      <c r="A33" s="155">
        <v>-33.5389061820572</v>
      </c>
      <c r="B33" s="155">
        <v>-70.5892347989387</v>
      </c>
      <c r="C33" s="155" t="s">
        <v>38</v>
      </c>
      <c r="D33" s="247">
        <f t="array" ref="D33">XLOOKUP(C33,'HouseHolds per "comuna"'!$B$2:$B$40,'HouseHolds per "comuna"'!$C$2:$C$40)*0.15</f>
        <v>17274.15</v>
      </c>
      <c r="E33" s="247">
        <f>EOQ!$C$6*D33</f>
        <v>5453.449155</v>
      </c>
      <c r="F33" s="247">
        <f>D33*EOQ!$F$6</f>
        <v>8532.716025</v>
      </c>
      <c r="G33" s="247">
        <f>D33*EOQ!$G$6</f>
        <v>6299.882505</v>
      </c>
      <c r="H33" s="247">
        <f>D33*EOQ!$I$6</f>
        <v>6866.474625</v>
      </c>
      <c r="I33" s="247">
        <f>D33*EOQ!$K$6</f>
        <v>8092.939275</v>
      </c>
      <c r="J33" s="247">
        <f>D33*EOQ!$M$6</f>
        <v>7797.55131</v>
      </c>
      <c r="K33" s="247">
        <f>D33*EOQ!$O$6</f>
        <v>8125.76016</v>
      </c>
      <c r="L33" s="247">
        <f>D33*EOQ!$Q$6</f>
        <v>7175.68191</v>
      </c>
      <c r="M33" s="247">
        <f>D33*EOQ!$S$6</f>
        <v>6182.418285</v>
      </c>
      <c r="N33" s="247">
        <f>D33*EOQ!$U$6</f>
        <v>8291.592</v>
      </c>
      <c r="O33" s="247">
        <f>D33*EOQ!$W$6</f>
        <v>7844.191515</v>
      </c>
      <c r="P33" s="247">
        <f>D33*EOQ!$Y$6</f>
        <v>6648.820335</v>
      </c>
      <c r="Q33" s="247">
        <f t="shared" si="26"/>
        <v>7275.956425</v>
      </c>
      <c r="T33" s="391">
        <f t="shared" ref="T33:AE33" si="34">E33/$D33</f>
        <v>0.3157</v>
      </c>
      <c r="U33" s="391">
        <f t="shared" si="34"/>
        <v>0.4939586622</v>
      </c>
      <c r="V33" s="391">
        <f t="shared" si="34"/>
        <v>0.3647</v>
      </c>
      <c r="W33" s="391">
        <f t="shared" si="34"/>
        <v>0.3975</v>
      </c>
      <c r="X33" s="391">
        <f t="shared" si="34"/>
        <v>0.4685</v>
      </c>
      <c r="Y33" s="391">
        <f t="shared" si="34"/>
        <v>0.4514</v>
      </c>
      <c r="Z33" s="391">
        <f t="shared" si="34"/>
        <v>0.4704</v>
      </c>
      <c r="AA33" s="391">
        <f t="shared" si="34"/>
        <v>0.4154</v>
      </c>
      <c r="AB33" s="391">
        <f t="shared" si="34"/>
        <v>0.3579</v>
      </c>
      <c r="AC33" s="391">
        <f t="shared" si="34"/>
        <v>0.48</v>
      </c>
      <c r="AD33" s="391">
        <f t="shared" si="34"/>
        <v>0.4541</v>
      </c>
      <c r="AE33" s="391">
        <f t="shared" si="34"/>
        <v>0.3849</v>
      </c>
    </row>
    <row r="34">
      <c r="A34" s="386"/>
      <c r="B34" s="386"/>
      <c r="C34" s="386"/>
      <c r="D34" s="247"/>
      <c r="E34" s="247">
        <f t="shared" ref="E34:Q34" si="35">SUM(E25:E33)</f>
        <v>28907.29149</v>
      </c>
      <c r="F34" s="247">
        <f t="shared" si="35"/>
        <v>45229.67068</v>
      </c>
      <c r="G34" s="247">
        <f t="shared" si="35"/>
        <v>33394.01079</v>
      </c>
      <c r="H34" s="247">
        <f t="shared" si="35"/>
        <v>36397.36575</v>
      </c>
      <c r="I34" s="247">
        <f t="shared" si="35"/>
        <v>42898.53045</v>
      </c>
      <c r="J34" s="247">
        <f t="shared" si="35"/>
        <v>41332.75698</v>
      </c>
      <c r="K34" s="247">
        <f t="shared" si="35"/>
        <v>43072.50528</v>
      </c>
      <c r="L34" s="247">
        <f t="shared" si="35"/>
        <v>38036.39178</v>
      </c>
      <c r="M34" s="247">
        <f t="shared" si="35"/>
        <v>32771.36403</v>
      </c>
      <c r="N34" s="247">
        <f t="shared" si="35"/>
        <v>43951.536</v>
      </c>
      <c r="O34" s="247">
        <f t="shared" si="35"/>
        <v>41579.98437</v>
      </c>
      <c r="P34" s="247">
        <f t="shared" si="35"/>
        <v>35243.63793</v>
      </c>
      <c r="Q34" s="247">
        <f t="shared" si="35"/>
        <v>38567.92046</v>
      </c>
      <c r="R34" s="247">
        <f>MAX(E34:P34)</f>
        <v>45229.67068</v>
      </c>
      <c r="T34" s="391">
        <f t="shared" ref="T34:AE34" si="36">SUM(T25:T33)</f>
        <v>2.8413</v>
      </c>
      <c r="U34" s="391">
        <f t="shared" si="36"/>
        <v>4.44562796</v>
      </c>
      <c r="V34" s="391">
        <f t="shared" si="36"/>
        <v>3.2823</v>
      </c>
      <c r="W34" s="391">
        <f t="shared" si="36"/>
        <v>3.5775</v>
      </c>
      <c r="X34" s="391">
        <f t="shared" si="36"/>
        <v>4.2165</v>
      </c>
      <c r="Y34" s="391">
        <f t="shared" si="36"/>
        <v>4.0626</v>
      </c>
      <c r="Z34" s="391">
        <f t="shared" si="36"/>
        <v>4.2336</v>
      </c>
      <c r="AA34" s="391">
        <f t="shared" si="36"/>
        <v>3.7386</v>
      </c>
      <c r="AB34" s="391">
        <f t="shared" si="36"/>
        <v>3.2211</v>
      </c>
      <c r="AC34" s="391">
        <f t="shared" si="36"/>
        <v>4.32</v>
      </c>
      <c r="AD34" s="391">
        <f t="shared" si="36"/>
        <v>4.0869</v>
      </c>
      <c r="AE34" s="391">
        <f t="shared" si="36"/>
        <v>3.4641</v>
      </c>
    </row>
    <row r="35">
      <c r="A35" s="386"/>
      <c r="B35" s="386"/>
      <c r="C35" s="386" t="s">
        <v>27</v>
      </c>
      <c r="D35" s="247"/>
      <c r="E35" s="247"/>
      <c r="F35" s="247"/>
      <c r="G35" s="247"/>
      <c r="H35" s="247"/>
      <c r="I35" s="247"/>
      <c r="J35" s="247"/>
      <c r="K35" s="247"/>
      <c r="L35" s="247"/>
      <c r="M35" s="247"/>
      <c r="N35" s="247"/>
      <c r="O35" s="247"/>
      <c r="P35" s="247"/>
      <c r="T35" s="391"/>
      <c r="U35" s="391"/>
      <c r="V35" s="391"/>
      <c r="W35" s="391"/>
      <c r="X35" s="391"/>
      <c r="Y35" s="391"/>
      <c r="Z35" s="391"/>
      <c r="AA35" s="391"/>
      <c r="AB35" s="391"/>
      <c r="AC35" s="391"/>
      <c r="AD35" s="391"/>
      <c r="AE35" s="391"/>
    </row>
    <row r="36">
      <c r="A36" s="155">
        <v>-33.34335643</v>
      </c>
      <c r="B36" s="155">
        <v>-70.52466882</v>
      </c>
      <c r="C36" s="155" t="s">
        <v>22</v>
      </c>
      <c r="D36" s="247">
        <f t="array" ref="D36">XLOOKUP(C36,'HouseHolds per "comuna"'!$B$2:$B$40,'HouseHolds per "comuna"'!$C$2:$C$40)*0.15</f>
        <v>4034.1</v>
      </c>
      <c r="E36" s="247">
        <f>EOQ!$C$7*D36</f>
        <v>4270.90167</v>
      </c>
      <c r="F36" s="247">
        <f>D36*EOQ!$F$7</f>
        <v>3594.143378</v>
      </c>
      <c r="G36" s="247">
        <f>D36*EOQ!$G$7</f>
        <v>4178.52078</v>
      </c>
      <c r="H36" s="247">
        <f>D36*EOQ!$I$7</f>
        <v>4491.97035</v>
      </c>
      <c r="I36" s="247">
        <f>D36*EOQ!$K$7</f>
        <v>4872.38598</v>
      </c>
      <c r="J36" s="247">
        <f>D36*EOQ!$M$7</f>
        <v>4589.19216</v>
      </c>
      <c r="K36" s="247">
        <f>D36*EOQ!$O$7</f>
        <v>4611.78312</v>
      </c>
      <c r="L36" s="247">
        <f>D36*EOQ!$Q$7</f>
        <v>4771.13007</v>
      </c>
      <c r="M36" s="247">
        <f>D36*EOQ!$S$7</f>
        <v>3734.36637</v>
      </c>
      <c r="N36" s="247">
        <f>D36*EOQ!$U$7</f>
        <v>4376.9985</v>
      </c>
      <c r="O36" s="247">
        <f>D36*EOQ!$W$7</f>
        <v>4508.10675</v>
      </c>
      <c r="P36" s="247">
        <f>D36*EOQ!$Y$7</f>
        <v>3882.01443</v>
      </c>
      <c r="Q36" s="247">
        <f t="shared" ref="Q36:Q44" si="38">AVERAGE(E36:P36)</f>
        <v>4323.459463</v>
      </c>
      <c r="T36" s="391">
        <f t="shared" ref="T36:AE36" si="37">E36/$D36</f>
        <v>1.0587</v>
      </c>
      <c r="U36" s="391">
        <f t="shared" si="37"/>
        <v>0.890940576</v>
      </c>
      <c r="V36" s="391">
        <f t="shared" si="37"/>
        <v>1.0358</v>
      </c>
      <c r="W36" s="391">
        <f t="shared" si="37"/>
        <v>1.1135</v>
      </c>
      <c r="X36" s="391">
        <f t="shared" si="37"/>
        <v>1.2078</v>
      </c>
      <c r="Y36" s="391">
        <f t="shared" si="37"/>
        <v>1.1376</v>
      </c>
      <c r="Z36" s="391">
        <f t="shared" si="37"/>
        <v>1.1432</v>
      </c>
      <c r="AA36" s="391">
        <f t="shared" si="37"/>
        <v>1.1827</v>
      </c>
      <c r="AB36" s="391">
        <f t="shared" si="37"/>
        <v>0.9257</v>
      </c>
      <c r="AC36" s="391">
        <f t="shared" si="37"/>
        <v>1.085</v>
      </c>
      <c r="AD36" s="391">
        <f t="shared" si="37"/>
        <v>1.1175</v>
      </c>
      <c r="AE36" s="391">
        <f t="shared" si="37"/>
        <v>0.9623</v>
      </c>
    </row>
    <row r="37">
      <c r="A37" s="155">
        <v>-33.42627012</v>
      </c>
      <c r="B37" s="155">
        <v>-70.54486003</v>
      </c>
      <c r="C37" s="155" t="s">
        <v>24</v>
      </c>
      <c r="D37" s="247">
        <f t="array" ref="D37">XLOOKUP(C37,'HouseHolds per "comuna"'!$B$2:$B$40,'HouseHolds per "comuna"'!$C$2:$C$40)*0.15</f>
        <v>16000.8</v>
      </c>
      <c r="E37" s="247">
        <f>EOQ!$C$7*D37</f>
        <v>16940.04696</v>
      </c>
      <c r="F37" s="247">
        <f>D37*EOQ!$F$7</f>
        <v>14255.76197</v>
      </c>
      <c r="G37" s="247">
        <f>D37*EOQ!$G$7</f>
        <v>16573.62864</v>
      </c>
      <c r="H37" s="247">
        <f>D37*EOQ!$I$7</f>
        <v>17816.8908</v>
      </c>
      <c r="I37" s="247">
        <f>D37*EOQ!$K$7</f>
        <v>19325.76624</v>
      </c>
      <c r="J37" s="247">
        <f>D37*EOQ!$M$7</f>
        <v>18202.51008</v>
      </c>
      <c r="K37" s="247">
        <f>D37*EOQ!$O$7</f>
        <v>18292.11456</v>
      </c>
      <c r="L37" s="247">
        <f>D37*EOQ!$Q$7</f>
        <v>18924.14616</v>
      </c>
      <c r="M37" s="247">
        <f>D37*EOQ!$S$7</f>
        <v>14811.94056</v>
      </c>
      <c r="N37" s="247">
        <f>D37*EOQ!$U$7</f>
        <v>17360.868</v>
      </c>
      <c r="O37" s="247">
        <f>D37*EOQ!$W$7</f>
        <v>17880.894</v>
      </c>
      <c r="P37" s="247">
        <f>D37*EOQ!$Y$7</f>
        <v>15397.56984</v>
      </c>
      <c r="Q37" s="247">
        <f t="shared" si="38"/>
        <v>17148.51148</v>
      </c>
      <c r="T37" s="391">
        <f t="shared" ref="T37:AE37" si="39">E37/$D37</f>
        <v>1.0587</v>
      </c>
      <c r="U37" s="391">
        <f t="shared" si="39"/>
        <v>0.890940576</v>
      </c>
      <c r="V37" s="391">
        <f t="shared" si="39"/>
        <v>1.0358</v>
      </c>
      <c r="W37" s="391">
        <f t="shared" si="39"/>
        <v>1.1135</v>
      </c>
      <c r="X37" s="391">
        <f t="shared" si="39"/>
        <v>1.2078</v>
      </c>
      <c r="Y37" s="391">
        <f t="shared" si="39"/>
        <v>1.1376</v>
      </c>
      <c r="Z37" s="391">
        <f t="shared" si="39"/>
        <v>1.1432</v>
      </c>
      <c r="AA37" s="391">
        <f t="shared" si="39"/>
        <v>1.1827</v>
      </c>
      <c r="AB37" s="391">
        <f t="shared" si="39"/>
        <v>0.9257</v>
      </c>
      <c r="AC37" s="391">
        <f t="shared" si="39"/>
        <v>1.085</v>
      </c>
      <c r="AD37" s="391">
        <f t="shared" si="39"/>
        <v>1.1175</v>
      </c>
      <c r="AE37" s="391">
        <f t="shared" si="39"/>
        <v>0.9623</v>
      </c>
    </row>
    <row r="38">
      <c r="A38" s="155">
        <v>-33.43795143</v>
      </c>
      <c r="B38" s="155">
        <v>-70.61132569</v>
      </c>
      <c r="C38" s="155" t="s">
        <v>26</v>
      </c>
      <c r="D38" s="247">
        <f t="array" ref="D38">XLOOKUP(C38,'HouseHolds per "comuna"'!$B$2:$B$40,'HouseHolds per "comuna"'!$C$2:$C$40)*0.15</f>
        <v>9332.25</v>
      </c>
      <c r="E38" s="247">
        <f>EOQ!$C$7*D38</f>
        <v>9880.053075</v>
      </c>
      <c r="F38" s="247">
        <f>D38*EOQ!$F$7</f>
        <v>8314.480191</v>
      </c>
      <c r="G38" s="247">
        <f>D38*EOQ!$G$7</f>
        <v>9666.34455</v>
      </c>
      <c r="H38" s="247">
        <f>D38*EOQ!$I$7</f>
        <v>10391.46038</v>
      </c>
      <c r="I38" s="247">
        <f>D38*EOQ!$K$7</f>
        <v>11271.49155</v>
      </c>
      <c r="J38" s="247">
        <f>D38*EOQ!$M$7</f>
        <v>10616.3676</v>
      </c>
      <c r="K38" s="247">
        <f>D38*EOQ!$O$7</f>
        <v>10668.6282</v>
      </c>
      <c r="L38" s="247">
        <f>D38*EOQ!$Q$7</f>
        <v>11037.25208</v>
      </c>
      <c r="M38" s="247">
        <f>D38*EOQ!$S$7</f>
        <v>8638.863825</v>
      </c>
      <c r="N38" s="247">
        <f>D38*EOQ!$U$7</f>
        <v>10125.49125</v>
      </c>
      <c r="O38" s="247">
        <f>D38*EOQ!$W$7</f>
        <v>10428.78938</v>
      </c>
      <c r="P38" s="247">
        <f>D38*EOQ!$Y$7</f>
        <v>8980.424175</v>
      </c>
      <c r="Q38" s="247">
        <f t="shared" si="38"/>
        <v>10001.63719</v>
      </c>
      <c r="T38" s="391">
        <f t="shared" ref="T38:AE38" si="40">E38/$D38</f>
        <v>1.0587</v>
      </c>
      <c r="U38" s="391">
        <f t="shared" si="40"/>
        <v>0.890940576</v>
      </c>
      <c r="V38" s="391">
        <f t="shared" si="40"/>
        <v>1.0358</v>
      </c>
      <c r="W38" s="391">
        <f t="shared" si="40"/>
        <v>1.1135</v>
      </c>
      <c r="X38" s="391">
        <f t="shared" si="40"/>
        <v>1.2078</v>
      </c>
      <c r="Y38" s="391">
        <f t="shared" si="40"/>
        <v>1.1376</v>
      </c>
      <c r="Z38" s="391">
        <f t="shared" si="40"/>
        <v>1.1432</v>
      </c>
      <c r="AA38" s="391">
        <f t="shared" si="40"/>
        <v>1.1827</v>
      </c>
      <c r="AB38" s="391">
        <f t="shared" si="40"/>
        <v>0.9257</v>
      </c>
      <c r="AC38" s="391">
        <f t="shared" si="40"/>
        <v>1.085</v>
      </c>
      <c r="AD38" s="391">
        <f t="shared" si="40"/>
        <v>1.1175</v>
      </c>
      <c r="AE38" s="391">
        <f t="shared" si="40"/>
        <v>0.9623</v>
      </c>
    </row>
    <row r="39">
      <c r="A39" s="155">
        <v>-33.38144958</v>
      </c>
      <c r="B39" s="155">
        <v>-70.56353561</v>
      </c>
      <c r="C39" s="155" t="s">
        <v>28</v>
      </c>
      <c r="D39" s="247">
        <f t="array" ref="D39">XLOOKUP(C39,'HouseHolds per "comuna"'!$B$2:$B$40,'HouseHolds per "comuna"'!$C$2:$C$40)*0.15</f>
        <v>4222.35</v>
      </c>
      <c r="E39" s="247">
        <f>EOQ!$C$7*D39</f>
        <v>4470.201945</v>
      </c>
      <c r="F39" s="247">
        <f>D39*EOQ!$F$7</f>
        <v>3761.862941</v>
      </c>
      <c r="G39" s="247">
        <f>D39*EOQ!$G$7</f>
        <v>4373.51013</v>
      </c>
      <c r="H39" s="247">
        <f>D39*EOQ!$I$7</f>
        <v>4701.586725</v>
      </c>
      <c r="I39" s="247">
        <f>D39*EOQ!$K$7</f>
        <v>5099.75433</v>
      </c>
      <c r="J39" s="247">
        <f>D39*EOQ!$M$7</f>
        <v>4803.34536</v>
      </c>
      <c r="K39" s="247">
        <f>D39*EOQ!$O$7</f>
        <v>4826.99052</v>
      </c>
      <c r="L39" s="247">
        <f>D39*EOQ!$Q$7</f>
        <v>4993.773345</v>
      </c>
      <c r="M39" s="247">
        <f>D39*EOQ!$S$7</f>
        <v>3908.629395</v>
      </c>
      <c r="N39" s="247">
        <f>D39*EOQ!$U$7</f>
        <v>4581.24975</v>
      </c>
      <c r="O39" s="247">
        <f>D39*EOQ!$W$7</f>
        <v>4718.476125</v>
      </c>
      <c r="P39" s="247">
        <f>D39*EOQ!$Y$7</f>
        <v>4063.167405</v>
      </c>
      <c r="Q39" s="247">
        <f t="shared" si="38"/>
        <v>4525.212331</v>
      </c>
      <c r="T39" s="391">
        <f t="shared" ref="T39:AE39" si="41">E39/$D39</f>
        <v>1.0587</v>
      </c>
      <c r="U39" s="391">
        <f t="shared" si="41"/>
        <v>0.890940576</v>
      </c>
      <c r="V39" s="391">
        <f t="shared" si="41"/>
        <v>1.0358</v>
      </c>
      <c r="W39" s="391">
        <f t="shared" si="41"/>
        <v>1.1135</v>
      </c>
      <c r="X39" s="391">
        <f t="shared" si="41"/>
        <v>1.2078</v>
      </c>
      <c r="Y39" s="391">
        <f t="shared" si="41"/>
        <v>1.1376</v>
      </c>
      <c r="Z39" s="391">
        <f t="shared" si="41"/>
        <v>1.1432</v>
      </c>
      <c r="AA39" s="391">
        <f t="shared" si="41"/>
        <v>1.1827</v>
      </c>
      <c r="AB39" s="391">
        <f t="shared" si="41"/>
        <v>0.9257</v>
      </c>
      <c r="AC39" s="391">
        <f t="shared" si="41"/>
        <v>1.085</v>
      </c>
      <c r="AD39" s="391">
        <f t="shared" si="41"/>
        <v>1.1175</v>
      </c>
      <c r="AE39" s="391">
        <f t="shared" si="41"/>
        <v>0.9623</v>
      </c>
    </row>
    <row r="40">
      <c r="A40" s="155">
        <v>-33.42043054552</v>
      </c>
      <c r="B40" s="155">
        <v>-70.733744571828</v>
      </c>
      <c r="C40" s="155" t="s">
        <v>30</v>
      </c>
      <c r="D40" s="247">
        <f t="array" ref="D40">XLOOKUP(C40,'HouseHolds per "comuna"'!$B$2:$B$40,'HouseHolds per "comuna"'!$C$2:$C$40)*0.15</f>
        <v>5797.65</v>
      </c>
      <c r="E40" s="247">
        <f>EOQ!$C$7*D40</f>
        <v>6137.972055</v>
      </c>
      <c r="F40" s="247">
        <f>D40*EOQ!$F$7</f>
        <v>5165.361631</v>
      </c>
      <c r="G40" s="247">
        <f>D40*EOQ!$G$7</f>
        <v>6005.20587</v>
      </c>
      <c r="H40" s="247">
        <f>D40*EOQ!$I$7</f>
        <v>6455.683275</v>
      </c>
      <c r="I40" s="247">
        <f>D40*EOQ!$K$7</f>
        <v>7002.40167</v>
      </c>
      <c r="J40" s="247">
        <f>D40*EOQ!$M$7</f>
        <v>6595.40664</v>
      </c>
      <c r="K40" s="247">
        <f>D40*EOQ!$O$7</f>
        <v>6627.87348</v>
      </c>
      <c r="L40" s="247">
        <f>D40*EOQ!$Q$7</f>
        <v>6856.880655</v>
      </c>
      <c r="M40" s="247">
        <f>D40*EOQ!$S$7</f>
        <v>5366.884605</v>
      </c>
      <c r="N40" s="247">
        <f>D40*EOQ!$U$7</f>
        <v>6290.45025</v>
      </c>
      <c r="O40" s="247">
        <f>D40*EOQ!$W$7</f>
        <v>6478.873875</v>
      </c>
      <c r="P40" s="247">
        <f>D40*EOQ!$Y$7</f>
        <v>5579.078595</v>
      </c>
      <c r="Q40" s="247">
        <f t="shared" si="38"/>
        <v>6213.50605</v>
      </c>
      <c r="T40" s="391">
        <f t="shared" ref="T40:AE40" si="42">E40/$D40</f>
        <v>1.0587</v>
      </c>
      <c r="U40" s="391">
        <f t="shared" si="42"/>
        <v>0.890940576</v>
      </c>
      <c r="V40" s="391">
        <f t="shared" si="42"/>
        <v>1.0358</v>
      </c>
      <c r="W40" s="391">
        <f t="shared" si="42"/>
        <v>1.1135</v>
      </c>
      <c r="X40" s="391">
        <f t="shared" si="42"/>
        <v>1.2078</v>
      </c>
      <c r="Y40" s="391">
        <f t="shared" si="42"/>
        <v>1.1376</v>
      </c>
      <c r="Z40" s="391">
        <f t="shared" si="42"/>
        <v>1.1432</v>
      </c>
      <c r="AA40" s="391">
        <f t="shared" si="42"/>
        <v>1.1827</v>
      </c>
      <c r="AB40" s="391">
        <f t="shared" si="42"/>
        <v>0.9257</v>
      </c>
      <c r="AC40" s="391">
        <f t="shared" si="42"/>
        <v>1.085</v>
      </c>
      <c r="AD40" s="391">
        <f t="shared" si="42"/>
        <v>1.1175</v>
      </c>
      <c r="AE40" s="391">
        <f t="shared" si="42"/>
        <v>0.9623</v>
      </c>
    </row>
    <row r="41">
      <c r="A41" s="155">
        <v>-33.4799485636684</v>
      </c>
      <c r="B41" s="155">
        <v>-70.6611965188523</v>
      </c>
      <c r="C41" s="155" t="s">
        <v>32</v>
      </c>
      <c r="D41" s="247">
        <f t="array" ref="D41">XLOOKUP(C41,'HouseHolds per "comuna"'!$B$2:$B$40,'HouseHolds per "comuna"'!$C$2:$C$40)*0.15</f>
        <v>4488.15</v>
      </c>
      <c r="E41" s="247">
        <f>EOQ!$C$7*D41</f>
        <v>4751.604405</v>
      </c>
      <c r="F41" s="247">
        <f>D41*EOQ!$F$7</f>
        <v>3998.674946</v>
      </c>
      <c r="G41" s="247">
        <f>D41*EOQ!$G$7</f>
        <v>4648.82577</v>
      </c>
      <c r="H41" s="247">
        <f>D41*EOQ!$I$7</f>
        <v>4997.555025</v>
      </c>
      <c r="I41" s="247">
        <f>D41*EOQ!$K$7</f>
        <v>5420.78757</v>
      </c>
      <c r="J41" s="247">
        <f>D41*EOQ!$M$7</f>
        <v>5105.71944</v>
      </c>
      <c r="K41" s="247">
        <f>D41*EOQ!$O$7</f>
        <v>5130.85308</v>
      </c>
      <c r="L41" s="247">
        <f>D41*EOQ!$Q$7</f>
        <v>5308.135005</v>
      </c>
      <c r="M41" s="247">
        <f>D41*EOQ!$S$7</f>
        <v>4154.680455</v>
      </c>
      <c r="N41" s="247">
        <f>D41*EOQ!$U$7</f>
        <v>4869.64275</v>
      </c>
      <c r="O41" s="247">
        <f>D41*EOQ!$W$7</f>
        <v>5015.507625</v>
      </c>
      <c r="P41" s="247">
        <f>D41*EOQ!$Y$7</f>
        <v>4318.946745</v>
      </c>
      <c r="Q41" s="247">
        <f t="shared" si="38"/>
        <v>4810.077735</v>
      </c>
      <c r="T41" s="391">
        <f t="shared" ref="T41:AE41" si="43">E41/$D41</f>
        <v>1.0587</v>
      </c>
      <c r="U41" s="391">
        <f t="shared" si="43"/>
        <v>0.890940576</v>
      </c>
      <c r="V41" s="391">
        <f t="shared" si="43"/>
        <v>1.0358</v>
      </c>
      <c r="W41" s="391">
        <f t="shared" si="43"/>
        <v>1.1135</v>
      </c>
      <c r="X41" s="391">
        <f t="shared" si="43"/>
        <v>1.2078</v>
      </c>
      <c r="Y41" s="391">
        <f t="shared" si="43"/>
        <v>1.1376</v>
      </c>
      <c r="Z41" s="391">
        <f t="shared" si="43"/>
        <v>1.1432</v>
      </c>
      <c r="AA41" s="391">
        <f t="shared" si="43"/>
        <v>1.1827</v>
      </c>
      <c r="AB41" s="391">
        <f t="shared" si="43"/>
        <v>0.9257</v>
      </c>
      <c r="AC41" s="391">
        <f t="shared" si="43"/>
        <v>1.085</v>
      </c>
      <c r="AD41" s="391">
        <f t="shared" si="43"/>
        <v>1.1175</v>
      </c>
      <c r="AE41" s="391">
        <f t="shared" si="43"/>
        <v>0.9623</v>
      </c>
    </row>
    <row r="42">
      <c r="A42" s="155">
        <v>-33.5669161134897</v>
      </c>
      <c r="B42" s="155">
        <v>-70.6821206157262</v>
      </c>
      <c r="C42" s="155" t="s">
        <v>34</v>
      </c>
      <c r="D42" s="247">
        <f t="array" ref="D42">XLOOKUP(C42,'HouseHolds per "comuna"'!$B$2:$B$40,'HouseHolds per "comuna"'!$C$2:$C$40)*0.15</f>
        <v>7107.6</v>
      </c>
      <c r="E42" s="247">
        <f>EOQ!$C$7*D42</f>
        <v>7524.81612</v>
      </c>
      <c r="F42" s="247">
        <f>D42*EOQ!$F$7</f>
        <v>6332.449238</v>
      </c>
      <c r="G42" s="247">
        <f>D42*EOQ!$G$7</f>
        <v>7362.05208</v>
      </c>
      <c r="H42" s="247">
        <f>D42*EOQ!$I$7</f>
        <v>7914.3126</v>
      </c>
      <c r="I42" s="247">
        <f>D42*EOQ!$K$7</f>
        <v>8584.55928</v>
      </c>
      <c r="J42" s="247">
        <f>D42*EOQ!$M$7</f>
        <v>8085.60576</v>
      </c>
      <c r="K42" s="247">
        <f>D42*EOQ!$O$7</f>
        <v>8125.40832</v>
      </c>
      <c r="L42" s="247">
        <f>D42*EOQ!$Q$7</f>
        <v>8406.15852</v>
      </c>
      <c r="M42" s="247">
        <f>D42*EOQ!$S$7</f>
        <v>6579.50532</v>
      </c>
      <c r="N42" s="247">
        <f>D42*EOQ!$U$7</f>
        <v>7711.746</v>
      </c>
      <c r="O42" s="247">
        <f>D42*EOQ!$W$7</f>
        <v>7942.743</v>
      </c>
      <c r="P42" s="247">
        <f>D42*EOQ!$Y$7</f>
        <v>6839.64348</v>
      </c>
      <c r="Q42" s="247">
        <f t="shared" si="38"/>
        <v>7617.416643</v>
      </c>
      <c r="T42" s="391">
        <f t="shared" ref="T42:AE42" si="44">E42/$D42</f>
        <v>1.0587</v>
      </c>
      <c r="U42" s="391">
        <f t="shared" si="44"/>
        <v>0.890940576</v>
      </c>
      <c r="V42" s="391">
        <f t="shared" si="44"/>
        <v>1.0358</v>
      </c>
      <c r="W42" s="391">
        <f t="shared" si="44"/>
        <v>1.1135</v>
      </c>
      <c r="X42" s="391">
        <f t="shared" si="44"/>
        <v>1.2078</v>
      </c>
      <c r="Y42" s="391">
        <f t="shared" si="44"/>
        <v>1.1376</v>
      </c>
      <c r="Z42" s="391">
        <f t="shared" si="44"/>
        <v>1.1432</v>
      </c>
      <c r="AA42" s="391">
        <f t="shared" si="44"/>
        <v>1.1827</v>
      </c>
      <c r="AB42" s="391">
        <f t="shared" si="44"/>
        <v>0.9257</v>
      </c>
      <c r="AC42" s="391">
        <f t="shared" si="44"/>
        <v>1.085</v>
      </c>
      <c r="AD42" s="391">
        <f t="shared" si="44"/>
        <v>1.1175</v>
      </c>
      <c r="AE42" s="391">
        <f t="shared" si="44"/>
        <v>0.9623</v>
      </c>
    </row>
    <row r="43">
      <c r="A43" s="155">
        <v>-33.5225565127023</v>
      </c>
      <c r="B43" s="155">
        <v>-70.7721740162419</v>
      </c>
      <c r="C43" s="155" t="s">
        <v>36</v>
      </c>
      <c r="D43" s="247">
        <f t="array" ref="D43">XLOOKUP(C43,'HouseHolds per "comuna"'!$B$2:$B$40,'HouseHolds per "comuna"'!$C$2:$C$40)*0.15</f>
        <v>23308.65</v>
      </c>
      <c r="E43" s="247">
        <f>EOQ!$C$7*D43</f>
        <v>24676.86776</v>
      </c>
      <c r="F43" s="247">
        <f>D43*EOQ!$F$7</f>
        <v>20766.62206</v>
      </c>
      <c r="G43" s="247">
        <f>D43*EOQ!$G$7</f>
        <v>24143.09967</v>
      </c>
      <c r="H43" s="247">
        <f>D43*EOQ!$I$7</f>
        <v>25954.18178</v>
      </c>
      <c r="I43" s="247">
        <f>D43*EOQ!$K$7</f>
        <v>28152.18747</v>
      </c>
      <c r="J43" s="247">
        <f>D43*EOQ!$M$7</f>
        <v>26515.92024</v>
      </c>
      <c r="K43" s="247">
        <f>D43*EOQ!$O$7</f>
        <v>26646.44868</v>
      </c>
      <c r="L43" s="247">
        <f>D43*EOQ!$Q$7</f>
        <v>27567.14036</v>
      </c>
      <c r="M43" s="247">
        <f>D43*EOQ!$S$7</f>
        <v>21576.81731</v>
      </c>
      <c r="N43" s="247">
        <f>D43*EOQ!$U$7</f>
        <v>25289.88525</v>
      </c>
      <c r="O43" s="247">
        <f>D43*EOQ!$W$7</f>
        <v>26047.41638</v>
      </c>
      <c r="P43" s="247">
        <f>D43*EOQ!$Y$7</f>
        <v>22429.9139</v>
      </c>
      <c r="Q43" s="247">
        <f t="shared" si="38"/>
        <v>24980.54174</v>
      </c>
      <c r="T43" s="391">
        <f t="shared" ref="T43:AE43" si="45">E43/$D43</f>
        <v>1.0587</v>
      </c>
      <c r="U43" s="391">
        <f t="shared" si="45"/>
        <v>0.890940576</v>
      </c>
      <c r="V43" s="391">
        <f t="shared" si="45"/>
        <v>1.0358</v>
      </c>
      <c r="W43" s="391">
        <f t="shared" si="45"/>
        <v>1.1135</v>
      </c>
      <c r="X43" s="391">
        <f t="shared" si="45"/>
        <v>1.2078</v>
      </c>
      <c r="Y43" s="391">
        <f t="shared" si="45"/>
        <v>1.1376</v>
      </c>
      <c r="Z43" s="391">
        <f t="shared" si="45"/>
        <v>1.1432</v>
      </c>
      <c r="AA43" s="391">
        <f t="shared" si="45"/>
        <v>1.1827</v>
      </c>
      <c r="AB43" s="391">
        <f t="shared" si="45"/>
        <v>0.9257</v>
      </c>
      <c r="AC43" s="391">
        <f t="shared" si="45"/>
        <v>1.085</v>
      </c>
      <c r="AD43" s="391">
        <f t="shared" si="45"/>
        <v>1.1175</v>
      </c>
      <c r="AE43" s="391">
        <f t="shared" si="45"/>
        <v>0.9623</v>
      </c>
    </row>
    <row r="44">
      <c r="A44" s="155">
        <v>-33.5389061820572</v>
      </c>
      <c r="B44" s="155">
        <v>-70.5892347989387</v>
      </c>
      <c r="C44" s="155" t="s">
        <v>38</v>
      </c>
      <c r="D44" s="247">
        <f t="array" ref="D44">XLOOKUP(C44,'HouseHolds per "comuna"'!$B$2:$B$40,'HouseHolds per "comuna"'!$C$2:$C$40)*0.15</f>
        <v>17274.15</v>
      </c>
      <c r="E44" s="247">
        <f>EOQ!$C$7*D44</f>
        <v>18288.14261</v>
      </c>
      <c r="F44" s="247">
        <f>D44*EOQ!$F$7</f>
        <v>15390.24115</v>
      </c>
      <c r="G44" s="247">
        <f>D44*EOQ!$G$7</f>
        <v>17892.56457</v>
      </c>
      <c r="H44" s="247">
        <f>D44*EOQ!$I$7</f>
        <v>19234.76603</v>
      </c>
      <c r="I44" s="247">
        <f>D44*EOQ!$K$7</f>
        <v>20863.71837</v>
      </c>
      <c r="J44" s="247">
        <f>D44*EOQ!$M$7</f>
        <v>19651.07304</v>
      </c>
      <c r="K44" s="247">
        <f>D44*EOQ!$O$7</f>
        <v>19747.80828</v>
      </c>
      <c r="L44" s="247">
        <f>D44*EOQ!$Q$7</f>
        <v>20430.13721</v>
      </c>
      <c r="M44" s="247">
        <f>D44*EOQ!$S$7</f>
        <v>15990.68066</v>
      </c>
      <c r="N44" s="247">
        <f>D44*EOQ!$U$7</f>
        <v>18742.45275</v>
      </c>
      <c r="O44" s="247">
        <f>D44*EOQ!$W$7</f>
        <v>19303.86263</v>
      </c>
      <c r="P44" s="247">
        <f>D44*EOQ!$Y$7</f>
        <v>16622.91455</v>
      </c>
      <c r="Q44" s="247">
        <f t="shared" si="38"/>
        <v>18513.19682</v>
      </c>
      <c r="T44" s="391">
        <f t="shared" ref="T44:AE44" si="46">E44/$D44</f>
        <v>1.0587</v>
      </c>
      <c r="U44" s="391">
        <f t="shared" si="46"/>
        <v>0.890940576</v>
      </c>
      <c r="V44" s="391">
        <f t="shared" si="46"/>
        <v>1.0358</v>
      </c>
      <c r="W44" s="391">
        <f t="shared" si="46"/>
        <v>1.1135</v>
      </c>
      <c r="X44" s="391">
        <f t="shared" si="46"/>
        <v>1.2078</v>
      </c>
      <c r="Y44" s="391">
        <f t="shared" si="46"/>
        <v>1.1376</v>
      </c>
      <c r="Z44" s="391">
        <f t="shared" si="46"/>
        <v>1.1432</v>
      </c>
      <c r="AA44" s="391">
        <f t="shared" si="46"/>
        <v>1.1827</v>
      </c>
      <c r="AB44" s="391">
        <f t="shared" si="46"/>
        <v>0.9257</v>
      </c>
      <c r="AC44" s="391">
        <f t="shared" si="46"/>
        <v>1.085</v>
      </c>
      <c r="AD44" s="391">
        <f t="shared" si="46"/>
        <v>1.1175</v>
      </c>
      <c r="AE44" s="391">
        <f t="shared" si="46"/>
        <v>0.9623</v>
      </c>
    </row>
    <row r="45">
      <c r="A45" s="386"/>
      <c r="B45" s="386"/>
      <c r="C45" s="386"/>
      <c r="D45" s="247"/>
      <c r="E45" s="247">
        <f t="shared" ref="E45:Q45" si="47">SUM(E36:E44)</f>
        <v>96940.60659</v>
      </c>
      <c r="F45" s="247">
        <f t="shared" si="47"/>
        <v>81579.5975</v>
      </c>
      <c r="G45" s="247">
        <f t="shared" si="47"/>
        <v>94843.75206</v>
      </c>
      <c r="H45" s="247">
        <f t="shared" si="47"/>
        <v>101958.407</v>
      </c>
      <c r="I45" s="247">
        <f t="shared" si="47"/>
        <v>110593.0525</v>
      </c>
      <c r="J45" s="247">
        <f t="shared" si="47"/>
        <v>104165.1403</v>
      </c>
      <c r="K45" s="247">
        <f t="shared" si="47"/>
        <v>104677.9082</v>
      </c>
      <c r="L45" s="247">
        <f t="shared" si="47"/>
        <v>108294.7534</v>
      </c>
      <c r="M45" s="247">
        <f t="shared" si="47"/>
        <v>84762.36849</v>
      </c>
      <c r="N45" s="247">
        <f t="shared" si="47"/>
        <v>99348.7845</v>
      </c>
      <c r="O45" s="247">
        <f t="shared" si="47"/>
        <v>102324.6698</v>
      </c>
      <c r="P45" s="247">
        <f t="shared" si="47"/>
        <v>88113.67311</v>
      </c>
      <c r="Q45" s="247">
        <f t="shared" si="47"/>
        <v>98133.55945</v>
      </c>
      <c r="R45" s="247">
        <f>MAX(E45:P45)</f>
        <v>110593.0525</v>
      </c>
      <c r="T45" s="391">
        <f t="shared" ref="T45:AE45" si="48">SUM(T36:T44)</f>
        <v>9.5283</v>
      </c>
      <c r="U45" s="391">
        <f t="shared" si="48"/>
        <v>8.018465184</v>
      </c>
      <c r="V45" s="391">
        <f t="shared" si="48"/>
        <v>9.3222</v>
      </c>
      <c r="W45" s="391">
        <f t="shared" si="48"/>
        <v>10.0215</v>
      </c>
      <c r="X45" s="391">
        <f t="shared" si="48"/>
        <v>10.8702</v>
      </c>
      <c r="Y45" s="391">
        <f t="shared" si="48"/>
        <v>10.2384</v>
      </c>
      <c r="Z45" s="391">
        <f t="shared" si="48"/>
        <v>10.2888</v>
      </c>
      <c r="AA45" s="391">
        <f t="shared" si="48"/>
        <v>10.6443</v>
      </c>
      <c r="AB45" s="391">
        <f t="shared" si="48"/>
        <v>8.3313</v>
      </c>
      <c r="AC45" s="391">
        <f t="shared" si="48"/>
        <v>9.765</v>
      </c>
      <c r="AD45" s="391">
        <f t="shared" si="48"/>
        <v>10.0575</v>
      </c>
      <c r="AE45" s="391">
        <f t="shared" si="48"/>
        <v>8.6607</v>
      </c>
    </row>
    <row r="46">
      <c r="A46" s="386"/>
      <c r="B46" s="386"/>
      <c r="C46" s="386" t="s">
        <v>29</v>
      </c>
      <c r="D46" s="247"/>
      <c r="E46" s="247"/>
      <c r="F46" s="247"/>
      <c r="G46" s="247"/>
      <c r="H46" s="247"/>
      <c r="I46" s="247"/>
      <c r="J46" s="247"/>
      <c r="K46" s="247"/>
      <c r="L46" s="247"/>
      <c r="M46" s="247"/>
      <c r="N46" s="247"/>
      <c r="O46" s="247"/>
      <c r="P46" s="247"/>
      <c r="T46" s="391"/>
      <c r="U46" s="391"/>
      <c r="V46" s="391"/>
      <c r="W46" s="391"/>
      <c r="X46" s="391"/>
      <c r="Y46" s="391"/>
      <c r="Z46" s="391"/>
      <c r="AA46" s="391"/>
      <c r="AB46" s="391"/>
      <c r="AC46" s="391"/>
      <c r="AD46" s="391"/>
      <c r="AE46" s="391"/>
    </row>
    <row r="47">
      <c r="A47" s="155">
        <v>-33.34335643</v>
      </c>
      <c r="B47" s="155">
        <v>-70.52466882</v>
      </c>
      <c r="C47" s="155" t="s">
        <v>22</v>
      </c>
      <c r="D47" s="247">
        <f t="array" ref="D47">XLOOKUP(C47,'HouseHolds per "comuna"'!$B$2:$B$40,'HouseHolds per "comuna"'!$C$2:$C$40)*0.15</f>
        <v>4034.1</v>
      </c>
      <c r="E47" s="247">
        <f>D47*EOQ!$C$8</f>
        <v>3099.39903</v>
      </c>
      <c r="F47" s="247">
        <f>D47*EOQ!$F$8</f>
        <v>3038.562718</v>
      </c>
      <c r="G47" s="247">
        <f>D47*EOQ!$G$8</f>
        <v>3179.67762</v>
      </c>
      <c r="H47" s="247">
        <f>D47*EOQ!$I$8</f>
        <v>2733.90957</v>
      </c>
      <c r="I47" s="247">
        <f>D47*EOQ!$K$8</f>
        <v>2821.04613</v>
      </c>
      <c r="J47" s="247">
        <f>D47*EOQ!$M$8</f>
        <v>2432.5623</v>
      </c>
      <c r="K47" s="247">
        <f>D47*EOQ!$O$8</f>
        <v>2449.10211</v>
      </c>
      <c r="L47" s="247">
        <f>D47*EOQ!$Q$8</f>
        <v>2574.56262</v>
      </c>
      <c r="M47" s="247">
        <f>D47*EOQ!$S$8</f>
        <v>2227.63002</v>
      </c>
      <c r="N47" s="247">
        <f>D47*EOQ!$U$8</f>
        <v>2546.32392</v>
      </c>
      <c r="O47" s="247">
        <f>D47*EOQ!$W$8</f>
        <v>2423.68728</v>
      </c>
      <c r="P47" s="247">
        <f>D47*EOQ!$Y$8</f>
        <v>2411.98839</v>
      </c>
      <c r="Q47" s="247">
        <f t="shared" ref="Q47:Q55" si="50">AVERAGE(E47:P47)</f>
        <v>2661.537642</v>
      </c>
      <c r="T47" s="391">
        <f t="shared" ref="T47:AE47" si="49">E47/$D47</f>
        <v>0.7683</v>
      </c>
      <c r="U47" s="391">
        <f t="shared" si="49"/>
        <v>0.7532194833</v>
      </c>
      <c r="V47" s="391">
        <f t="shared" si="49"/>
        <v>0.7882</v>
      </c>
      <c r="W47" s="391">
        <f t="shared" si="49"/>
        <v>0.6777</v>
      </c>
      <c r="X47" s="391">
        <f t="shared" si="49"/>
        <v>0.6993</v>
      </c>
      <c r="Y47" s="391">
        <f t="shared" si="49"/>
        <v>0.603</v>
      </c>
      <c r="Z47" s="391">
        <f t="shared" si="49"/>
        <v>0.6071</v>
      </c>
      <c r="AA47" s="391">
        <f t="shared" si="49"/>
        <v>0.6382</v>
      </c>
      <c r="AB47" s="391">
        <f t="shared" si="49"/>
        <v>0.5522</v>
      </c>
      <c r="AC47" s="391">
        <f t="shared" si="49"/>
        <v>0.6312</v>
      </c>
      <c r="AD47" s="391">
        <f t="shared" si="49"/>
        <v>0.6008</v>
      </c>
      <c r="AE47" s="391">
        <f t="shared" si="49"/>
        <v>0.5979</v>
      </c>
    </row>
    <row r="48">
      <c r="A48" s="155">
        <v>-33.42627012</v>
      </c>
      <c r="B48" s="155">
        <v>-70.54486003</v>
      </c>
      <c r="C48" s="155" t="s">
        <v>24</v>
      </c>
      <c r="D48" s="247">
        <f t="array" ref="D48">XLOOKUP(C48,'HouseHolds per "comuna"'!$B$2:$B$40,'HouseHolds per "comuna"'!$C$2:$C$40)*0.15</f>
        <v>16000.8</v>
      </c>
      <c r="E48" s="247">
        <f>D48*EOQ!$C$8</f>
        <v>12293.41464</v>
      </c>
      <c r="F48" s="247">
        <f>D48*EOQ!$F$8</f>
        <v>12052.11431</v>
      </c>
      <c r="G48" s="247">
        <f>D48*EOQ!$G$8</f>
        <v>12611.83056</v>
      </c>
      <c r="H48" s="247">
        <f>D48*EOQ!$I$8</f>
        <v>10843.74216</v>
      </c>
      <c r="I48" s="247">
        <f>D48*EOQ!$K$8</f>
        <v>11189.35944</v>
      </c>
      <c r="J48" s="247">
        <f>D48*EOQ!$M$8</f>
        <v>9648.4824</v>
      </c>
      <c r="K48" s="247">
        <f>D48*EOQ!$O$8</f>
        <v>9714.08568</v>
      </c>
      <c r="L48" s="247">
        <f>D48*EOQ!$Q$8</f>
        <v>10211.71056</v>
      </c>
      <c r="M48" s="247">
        <f>D48*EOQ!$S$8</f>
        <v>8835.64176</v>
      </c>
      <c r="N48" s="247">
        <f>D48*EOQ!$U$8</f>
        <v>10099.70496</v>
      </c>
      <c r="O48" s="247">
        <f>D48*EOQ!$W$8</f>
        <v>9613.28064</v>
      </c>
      <c r="P48" s="247">
        <f>D48*EOQ!$Y$8</f>
        <v>9566.87832</v>
      </c>
      <c r="Q48" s="247">
        <f t="shared" si="50"/>
        <v>10556.68712</v>
      </c>
      <c r="T48" s="391">
        <f t="shared" ref="T48:AE48" si="51">E48/$D48</f>
        <v>0.7683</v>
      </c>
      <c r="U48" s="391">
        <f t="shared" si="51"/>
        <v>0.7532194833</v>
      </c>
      <c r="V48" s="391">
        <f t="shared" si="51"/>
        <v>0.7882</v>
      </c>
      <c r="W48" s="391">
        <f t="shared" si="51"/>
        <v>0.6777</v>
      </c>
      <c r="X48" s="391">
        <f t="shared" si="51"/>
        <v>0.6993</v>
      </c>
      <c r="Y48" s="391">
        <f t="shared" si="51"/>
        <v>0.603</v>
      </c>
      <c r="Z48" s="391">
        <f t="shared" si="51"/>
        <v>0.6071</v>
      </c>
      <c r="AA48" s="391">
        <f t="shared" si="51"/>
        <v>0.6382</v>
      </c>
      <c r="AB48" s="391">
        <f t="shared" si="51"/>
        <v>0.5522</v>
      </c>
      <c r="AC48" s="391">
        <f t="shared" si="51"/>
        <v>0.6312</v>
      </c>
      <c r="AD48" s="391">
        <f t="shared" si="51"/>
        <v>0.6008</v>
      </c>
      <c r="AE48" s="391">
        <f t="shared" si="51"/>
        <v>0.5979</v>
      </c>
    </row>
    <row r="49">
      <c r="A49" s="155">
        <v>-33.43795143</v>
      </c>
      <c r="B49" s="155">
        <v>-70.61132569</v>
      </c>
      <c r="C49" s="155" t="s">
        <v>26</v>
      </c>
      <c r="D49" s="247">
        <f t="array" ref="D49">XLOOKUP(C49,'HouseHolds per "comuna"'!$B$2:$B$40,'HouseHolds per "comuna"'!$C$2:$C$40)*0.15</f>
        <v>9332.25</v>
      </c>
      <c r="E49" s="247">
        <f>D49*EOQ!$C$8</f>
        <v>7169.967675</v>
      </c>
      <c r="F49" s="247">
        <f>D49*EOQ!$F$8</f>
        <v>7029.232523</v>
      </c>
      <c r="G49" s="247">
        <f>D49*EOQ!$G$8</f>
        <v>7355.67945</v>
      </c>
      <c r="H49" s="247">
        <f>D49*EOQ!$I$8</f>
        <v>6324.465825</v>
      </c>
      <c r="I49" s="247">
        <f>D49*EOQ!$K$8</f>
        <v>6526.042425</v>
      </c>
      <c r="J49" s="247">
        <f>D49*EOQ!$M$8</f>
        <v>5627.34675</v>
      </c>
      <c r="K49" s="247">
        <f>D49*EOQ!$O$8</f>
        <v>5665.608975</v>
      </c>
      <c r="L49" s="247">
        <f>D49*EOQ!$Q$8</f>
        <v>5955.84195</v>
      </c>
      <c r="M49" s="247">
        <f>D49*EOQ!$S$8</f>
        <v>5153.26845</v>
      </c>
      <c r="N49" s="247">
        <f>D49*EOQ!$U$8</f>
        <v>5890.5162</v>
      </c>
      <c r="O49" s="247">
        <f>D49*EOQ!$W$8</f>
        <v>5606.8158</v>
      </c>
      <c r="P49" s="247">
        <f>D49*EOQ!$Y$8</f>
        <v>5579.752275</v>
      </c>
      <c r="Q49" s="247">
        <f t="shared" si="50"/>
        <v>6157.044858</v>
      </c>
      <c r="T49" s="391">
        <f t="shared" ref="T49:AE49" si="52">E49/$D49</f>
        <v>0.7683</v>
      </c>
      <c r="U49" s="391">
        <f t="shared" si="52"/>
        <v>0.7532194833</v>
      </c>
      <c r="V49" s="391">
        <f t="shared" si="52"/>
        <v>0.7882</v>
      </c>
      <c r="W49" s="391">
        <f t="shared" si="52"/>
        <v>0.6777</v>
      </c>
      <c r="X49" s="391">
        <f t="shared" si="52"/>
        <v>0.6993</v>
      </c>
      <c r="Y49" s="391">
        <f t="shared" si="52"/>
        <v>0.603</v>
      </c>
      <c r="Z49" s="391">
        <f t="shared" si="52"/>
        <v>0.6071</v>
      </c>
      <c r="AA49" s="391">
        <f t="shared" si="52"/>
        <v>0.6382</v>
      </c>
      <c r="AB49" s="391">
        <f t="shared" si="52"/>
        <v>0.5522</v>
      </c>
      <c r="AC49" s="391">
        <f t="shared" si="52"/>
        <v>0.6312</v>
      </c>
      <c r="AD49" s="391">
        <f t="shared" si="52"/>
        <v>0.6008</v>
      </c>
      <c r="AE49" s="391">
        <f t="shared" si="52"/>
        <v>0.5979</v>
      </c>
    </row>
    <row r="50">
      <c r="A50" s="155">
        <v>-33.38144958</v>
      </c>
      <c r="B50" s="155">
        <v>-70.56353561</v>
      </c>
      <c r="C50" s="155" t="s">
        <v>28</v>
      </c>
      <c r="D50" s="247">
        <f t="array" ref="D50">XLOOKUP(C50,'HouseHolds per "comuna"'!$B$2:$B$40,'HouseHolds per "comuna"'!$C$2:$C$40)*0.15</f>
        <v>4222.35</v>
      </c>
      <c r="E50" s="247">
        <f>D50*EOQ!$C$8</f>
        <v>3244.031505</v>
      </c>
      <c r="F50" s="247">
        <f>D50*EOQ!$F$8</f>
        <v>3180.356285</v>
      </c>
      <c r="G50" s="247">
        <f>D50*EOQ!$G$8</f>
        <v>3328.05627</v>
      </c>
      <c r="H50" s="247">
        <f>D50*EOQ!$I$8</f>
        <v>2861.486595</v>
      </c>
      <c r="I50" s="247">
        <f>D50*EOQ!$K$8</f>
        <v>2952.689355</v>
      </c>
      <c r="J50" s="247">
        <f>D50*EOQ!$M$8</f>
        <v>2546.07705</v>
      </c>
      <c r="K50" s="247">
        <f>D50*EOQ!$O$8</f>
        <v>2563.388685</v>
      </c>
      <c r="L50" s="247">
        <f>D50*EOQ!$Q$8</f>
        <v>2694.70377</v>
      </c>
      <c r="M50" s="247">
        <f>D50*EOQ!$S$8</f>
        <v>2331.58167</v>
      </c>
      <c r="N50" s="247">
        <f>D50*EOQ!$U$8</f>
        <v>2665.14732</v>
      </c>
      <c r="O50" s="247">
        <f>D50*EOQ!$W$8</f>
        <v>2536.78788</v>
      </c>
      <c r="P50" s="247">
        <f>D50*EOQ!$Y$8</f>
        <v>2524.543065</v>
      </c>
      <c r="Q50" s="247">
        <f t="shared" si="50"/>
        <v>2785.737454</v>
      </c>
      <c r="T50" s="391">
        <f t="shared" ref="T50:AE50" si="53">E50/$D50</f>
        <v>0.7683</v>
      </c>
      <c r="U50" s="391">
        <f t="shared" si="53"/>
        <v>0.7532194833</v>
      </c>
      <c r="V50" s="391">
        <f t="shared" si="53"/>
        <v>0.7882</v>
      </c>
      <c r="W50" s="391">
        <f t="shared" si="53"/>
        <v>0.6777</v>
      </c>
      <c r="X50" s="391">
        <f t="shared" si="53"/>
        <v>0.6993</v>
      </c>
      <c r="Y50" s="391">
        <f t="shared" si="53"/>
        <v>0.603</v>
      </c>
      <c r="Z50" s="391">
        <f t="shared" si="53"/>
        <v>0.6071</v>
      </c>
      <c r="AA50" s="391">
        <f t="shared" si="53"/>
        <v>0.6382</v>
      </c>
      <c r="AB50" s="391">
        <f t="shared" si="53"/>
        <v>0.5522</v>
      </c>
      <c r="AC50" s="391">
        <f t="shared" si="53"/>
        <v>0.6312</v>
      </c>
      <c r="AD50" s="391">
        <f t="shared" si="53"/>
        <v>0.6008</v>
      </c>
      <c r="AE50" s="391">
        <f t="shared" si="53"/>
        <v>0.5979</v>
      </c>
    </row>
    <row r="51">
      <c r="A51" s="155">
        <v>-33.42043054552</v>
      </c>
      <c r="B51" s="155">
        <v>-70.733744571828</v>
      </c>
      <c r="C51" s="155" t="s">
        <v>30</v>
      </c>
      <c r="D51" s="247">
        <f t="array" ref="D51">XLOOKUP(C51,'HouseHolds per "comuna"'!$B$2:$B$40,'HouseHolds per "comuna"'!$C$2:$C$40)*0.15</f>
        <v>5797.65</v>
      </c>
      <c r="E51" s="247">
        <f>D51*EOQ!$C$8</f>
        <v>4454.334495</v>
      </c>
      <c r="F51" s="247">
        <f>D51*EOQ!$F$8</f>
        <v>4366.902937</v>
      </c>
      <c r="G51" s="247">
        <f>D51*EOQ!$G$8</f>
        <v>4569.70773</v>
      </c>
      <c r="H51" s="247">
        <f>D51*EOQ!$I$8</f>
        <v>3929.067405</v>
      </c>
      <c r="I51" s="247">
        <f>D51*EOQ!$K$8</f>
        <v>4054.296645</v>
      </c>
      <c r="J51" s="247">
        <f>D51*EOQ!$M$8</f>
        <v>3495.98295</v>
      </c>
      <c r="K51" s="247">
        <f>D51*EOQ!$O$8</f>
        <v>3519.753315</v>
      </c>
      <c r="L51" s="247">
        <f>D51*EOQ!$Q$8</f>
        <v>3700.06023</v>
      </c>
      <c r="M51" s="247">
        <f>D51*EOQ!$S$8</f>
        <v>3201.46233</v>
      </c>
      <c r="N51" s="247">
        <f>D51*EOQ!$U$8</f>
        <v>3659.47668</v>
      </c>
      <c r="O51" s="247">
        <f>D51*EOQ!$W$8</f>
        <v>3483.22812</v>
      </c>
      <c r="P51" s="247">
        <f>D51*EOQ!$Y$8</f>
        <v>3466.414935</v>
      </c>
      <c r="Q51" s="247">
        <f t="shared" si="50"/>
        <v>3825.057314</v>
      </c>
      <c r="T51" s="391">
        <f t="shared" ref="T51:AE51" si="54">E51/$D51</f>
        <v>0.7683</v>
      </c>
      <c r="U51" s="391">
        <f t="shared" si="54"/>
        <v>0.7532194833</v>
      </c>
      <c r="V51" s="391">
        <f t="shared" si="54"/>
        <v>0.7882</v>
      </c>
      <c r="W51" s="391">
        <f t="shared" si="54"/>
        <v>0.6777</v>
      </c>
      <c r="X51" s="391">
        <f t="shared" si="54"/>
        <v>0.6993</v>
      </c>
      <c r="Y51" s="391">
        <f t="shared" si="54"/>
        <v>0.603</v>
      </c>
      <c r="Z51" s="391">
        <f t="shared" si="54"/>
        <v>0.6071</v>
      </c>
      <c r="AA51" s="391">
        <f t="shared" si="54"/>
        <v>0.6382</v>
      </c>
      <c r="AB51" s="391">
        <f t="shared" si="54"/>
        <v>0.5522</v>
      </c>
      <c r="AC51" s="391">
        <f t="shared" si="54"/>
        <v>0.6312</v>
      </c>
      <c r="AD51" s="391">
        <f t="shared" si="54"/>
        <v>0.6008</v>
      </c>
      <c r="AE51" s="391">
        <f t="shared" si="54"/>
        <v>0.5979</v>
      </c>
    </row>
    <row r="52">
      <c r="A52" s="155">
        <v>-33.4799485636684</v>
      </c>
      <c r="B52" s="155">
        <v>-70.6611965188523</v>
      </c>
      <c r="C52" s="155" t="s">
        <v>32</v>
      </c>
      <c r="D52" s="247">
        <f t="array" ref="D52">XLOOKUP(C52,'HouseHolds per "comuna"'!$B$2:$B$40,'HouseHolds per "comuna"'!$C$2:$C$40)*0.15</f>
        <v>4488.15</v>
      </c>
      <c r="E52" s="247">
        <f>D52*EOQ!$C$8</f>
        <v>3448.245645</v>
      </c>
      <c r="F52" s="247">
        <f>D52*EOQ!$F$8</f>
        <v>3380.562024</v>
      </c>
      <c r="G52" s="247">
        <f>D52*EOQ!$G$8</f>
        <v>3537.55983</v>
      </c>
      <c r="H52" s="247">
        <f>D52*EOQ!$I$8</f>
        <v>3041.619255</v>
      </c>
      <c r="I52" s="247">
        <f>D52*EOQ!$K$8</f>
        <v>3138.563295</v>
      </c>
      <c r="J52" s="247">
        <f>D52*EOQ!$M$8</f>
        <v>2706.35445</v>
      </c>
      <c r="K52" s="247">
        <f>D52*EOQ!$O$8</f>
        <v>2724.755865</v>
      </c>
      <c r="L52" s="247">
        <f>D52*EOQ!$Q$8</f>
        <v>2864.33733</v>
      </c>
      <c r="M52" s="247">
        <f>D52*EOQ!$S$8</f>
        <v>2478.35643</v>
      </c>
      <c r="N52" s="247">
        <f>D52*EOQ!$U$8</f>
        <v>2832.92028</v>
      </c>
      <c r="O52" s="247">
        <f>D52*EOQ!$W$8</f>
        <v>2696.48052</v>
      </c>
      <c r="P52" s="247">
        <f>D52*EOQ!$Y$8</f>
        <v>2683.464885</v>
      </c>
      <c r="Q52" s="247">
        <f t="shared" si="50"/>
        <v>2961.101651</v>
      </c>
      <c r="T52" s="391">
        <f t="shared" ref="T52:AE52" si="55">E52/$D52</f>
        <v>0.7683</v>
      </c>
      <c r="U52" s="391">
        <f t="shared" si="55"/>
        <v>0.7532194833</v>
      </c>
      <c r="V52" s="391">
        <f t="shared" si="55"/>
        <v>0.7882</v>
      </c>
      <c r="W52" s="391">
        <f t="shared" si="55"/>
        <v>0.6777</v>
      </c>
      <c r="X52" s="391">
        <f t="shared" si="55"/>
        <v>0.6993</v>
      </c>
      <c r="Y52" s="391">
        <f t="shared" si="55"/>
        <v>0.603</v>
      </c>
      <c r="Z52" s="391">
        <f t="shared" si="55"/>
        <v>0.6071</v>
      </c>
      <c r="AA52" s="391">
        <f t="shared" si="55"/>
        <v>0.6382</v>
      </c>
      <c r="AB52" s="391">
        <f t="shared" si="55"/>
        <v>0.5522</v>
      </c>
      <c r="AC52" s="391">
        <f t="shared" si="55"/>
        <v>0.6312</v>
      </c>
      <c r="AD52" s="391">
        <f t="shared" si="55"/>
        <v>0.6008</v>
      </c>
      <c r="AE52" s="391">
        <f t="shared" si="55"/>
        <v>0.5979</v>
      </c>
    </row>
    <row r="53">
      <c r="A53" s="155">
        <v>-33.5669161134897</v>
      </c>
      <c r="B53" s="155">
        <v>-70.6821206157262</v>
      </c>
      <c r="C53" s="155" t="s">
        <v>34</v>
      </c>
      <c r="D53" s="247">
        <f t="array" ref="D53">XLOOKUP(C53,'HouseHolds per "comuna"'!$B$2:$B$40,'HouseHolds per "comuna"'!$C$2:$C$40)*0.15</f>
        <v>7107.6</v>
      </c>
      <c r="E53" s="247">
        <f>D53*EOQ!$C$8</f>
        <v>5460.76908</v>
      </c>
      <c r="F53" s="247">
        <f>D53*EOQ!$F$8</f>
        <v>5353.582799</v>
      </c>
      <c r="G53" s="247">
        <f>D53*EOQ!$G$8</f>
        <v>5602.21032</v>
      </c>
      <c r="H53" s="247">
        <f>D53*EOQ!$I$8</f>
        <v>4816.82052</v>
      </c>
      <c r="I53" s="247">
        <f>D53*EOQ!$K$8</f>
        <v>4970.34468</v>
      </c>
      <c r="J53" s="247">
        <f>D53*EOQ!$M$8</f>
        <v>4285.8828</v>
      </c>
      <c r="K53" s="247">
        <f>D53*EOQ!$O$8</f>
        <v>4315.02396</v>
      </c>
      <c r="L53" s="247">
        <f>D53*EOQ!$Q$8</f>
        <v>4536.07032</v>
      </c>
      <c r="M53" s="247">
        <f>D53*EOQ!$S$8</f>
        <v>3924.81672</v>
      </c>
      <c r="N53" s="247">
        <f>D53*EOQ!$U$8</f>
        <v>4486.31712</v>
      </c>
      <c r="O53" s="247">
        <f>D53*EOQ!$W$8</f>
        <v>4270.24608</v>
      </c>
      <c r="P53" s="247">
        <f>D53*EOQ!$Y$8</f>
        <v>4249.63404</v>
      </c>
      <c r="Q53" s="247">
        <f t="shared" si="50"/>
        <v>4689.30987</v>
      </c>
      <c r="T53" s="391">
        <f t="shared" ref="T53:AE53" si="56">E53/$D53</f>
        <v>0.7683</v>
      </c>
      <c r="U53" s="391">
        <f t="shared" si="56"/>
        <v>0.7532194833</v>
      </c>
      <c r="V53" s="391">
        <f t="shared" si="56"/>
        <v>0.7882</v>
      </c>
      <c r="W53" s="391">
        <f t="shared" si="56"/>
        <v>0.6777</v>
      </c>
      <c r="X53" s="391">
        <f t="shared" si="56"/>
        <v>0.6993</v>
      </c>
      <c r="Y53" s="391">
        <f t="shared" si="56"/>
        <v>0.603</v>
      </c>
      <c r="Z53" s="391">
        <f t="shared" si="56"/>
        <v>0.6071</v>
      </c>
      <c r="AA53" s="391">
        <f t="shared" si="56"/>
        <v>0.6382</v>
      </c>
      <c r="AB53" s="391">
        <f t="shared" si="56"/>
        <v>0.5522</v>
      </c>
      <c r="AC53" s="391">
        <f t="shared" si="56"/>
        <v>0.6312</v>
      </c>
      <c r="AD53" s="391">
        <f t="shared" si="56"/>
        <v>0.6008</v>
      </c>
      <c r="AE53" s="391">
        <f t="shared" si="56"/>
        <v>0.5979</v>
      </c>
    </row>
    <row r="54">
      <c r="A54" s="155">
        <v>-33.5225565127023</v>
      </c>
      <c r="B54" s="155">
        <v>-70.7721740162419</v>
      </c>
      <c r="C54" s="155" t="s">
        <v>36</v>
      </c>
      <c r="D54" s="247">
        <f t="array" ref="D54">XLOOKUP(C54,'HouseHolds per "comuna"'!$B$2:$B$40,'HouseHolds per "comuna"'!$C$2:$C$40)*0.15</f>
        <v>23308.65</v>
      </c>
      <c r="E54" s="247">
        <f>D54*EOQ!$C$8</f>
        <v>17908.0358</v>
      </c>
      <c r="F54" s="247">
        <f>D54*EOQ!$F$8</f>
        <v>17556.52931</v>
      </c>
      <c r="G54" s="247">
        <f>D54*EOQ!$G$8</f>
        <v>18371.87793</v>
      </c>
      <c r="H54" s="247">
        <f>D54*EOQ!$I$8</f>
        <v>15796.27211</v>
      </c>
      <c r="I54" s="247">
        <f>D54*EOQ!$K$8</f>
        <v>16299.73895</v>
      </c>
      <c r="J54" s="247">
        <f>D54*EOQ!$M$8</f>
        <v>14055.11595</v>
      </c>
      <c r="K54" s="247">
        <f>D54*EOQ!$O$8</f>
        <v>14150.68142</v>
      </c>
      <c r="L54" s="247">
        <f>D54*EOQ!$Q$8</f>
        <v>14875.58043</v>
      </c>
      <c r="M54" s="247">
        <f>D54*EOQ!$S$8</f>
        <v>12871.03653</v>
      </c>
      <c r="N54" s="247">
        <f>D54*EOQ!$U$8</f>
        <v>14712.41988</v>
      </c>
      <c r="O54" s="247">
        <f>D54*EOQ!$W$8</f>
        <v>14003.83692</v>
      </c>
      <c r="P54" s="247">
        <f>D54*EOQ!$Y$8</f>
        <v>13936.24184</v>
      </c>
      <c r="Q54" s="247">
        <f t="shared" si="50"/>
        <v>15378.11392</v>
      </c>
      <c r="T54" s="391">
        <f t="shared" ref="T54:AE54" si="57">E54/$D54</f>
        <v>0.7683</v>
      </c>
      <c r="U54" s="391">
        <f t="shared" si="57"/>
        <v>0.7532194833</v>
      </c>
      <c r="V54" s="391">
        <f t="shared" si="57"/>
        <v>0.7882</v>
      </c>
      <c r="W54" s="391">
        <f t="shared" si="57"/>
        <v>0.6777</v>
      </c>
      <c r="X54" s="391">
        <f t="shared" si="57"/>
        <v>0.6993</v>
      </c>
      <c r="Y54" s="391">
        <f t="shared" si="57"/>
        <v>0.603</v>
      </c>
      <c r="Z54" s="391">
        <f t="shared" si="57"/>
        <v>0.6071</v>
      </c>
      <c r="AA54" s="391">
        <f t="shared" si="57"/>
        <v>0.6382</v>
      </c>
      <c r="AB54" s="391">
        <f t="shared" si="57"/>
        <v>0.5522</v>
      </c>
      <c r="AC54" s="391">
        <f t="shared" si="57"/>
        <v>0.6312</v>
      </c>
      <c r="AD54" s="391">
        <f t="shared" si="57"/>
        <v>0.6008</v>
      </c>
      <c r="AE54" s="391">
        <f t="shared" si="57"/>
        <v>0.5979</v>
      </c>
    </row>
    <row r="55">
      <c r="A55" s="155">
        <v>-33.5389061820572</v>
      </c>
      <c r="B55" s="155">
        <v>-70.5892347989387</v>
      </c>
      <c r="C55" s="155" t="s">
        <v>38</v>
      </c>
      <c r="D55" s="247">
        <f t="array" ref="D55">XLOOKUP(C55,'HouseHolds per "comuna"'!$B$2:$B$40,'HouseHolds per "comuna"'!$C$2:$C$40)*0.15</f>
        <v>17274.15</v>
      </c>
      <c r="E55" s="247">
        <f>D55*EOQ!$C$8</f>
        <v>13271.72945</v>
      </c>
      <c r="F55" s="247">
        <f>D55*EOQ!$F$8</f>
        <v>13011.22634</v>
      </c>
      <c r="G55" s="247">
        <f>D55*EOQ!$G$8</f>
        <v>13615.48503</v>
      </c>
      <c r="H55" s="247">
        <f>D55*EOQ!$I$8</f>
        <v>11706.69146</v>
      </c>
      <c r="I55" s="247">
        <f>D55*EOQ!$K$8</f>
        <v>12079.8131</v>
      </c>
      <c r="J55" s="247">
        <f>D55*EOQ!$M$8</f>
        <v>10416.31245</v>
      </c>
      <c r="K55" s="247">
        <f>D55*EOQ!$O$8</f>
        <v>10487.13647</v>
      </c>
      <c r="L55" s="247">
        <f>D55*EOQ!$Q$8</f>
        <v>11024.36253</v>
      </c>
      <c r="M55" s="247">
        <f>D55*EOQ!$S$8</f>
        <v>9538.78563</v>
      </c>
      <c r="N55" s="247">
        <f>D55*EOQ!$U$8</f>
        <v>10903.44348</v>
      </c>
      <c r="O55" s="247">
        <f>D55*EOQ!$W$8</f>
        <v>10378.30932</v>
      </c>
      <c r="P55" s="247">
        <f>D55*EOQ!$Y$8</f>
        <v>10328.21429</v>
      </c>
      <c r="Q55" s="247">
        <f t="shared" si="50"/>
        <v>11396.79246</v>
      </c>
      <c r="T55" s="391">
        <f t="shared" ref="T55:AE55" si="58">E55/$D55</f>
        <v>0.7683</v>
      </c>
      <c r="U55" s="391">
        <f t="shared" si="58"/>
        <v>0.7532194833</v>
      </c>
      <c r="V55" s="391">
        <f t="shared" si="58"/>
        <v>0.7882</v>
      </c>
      <c r="W55" s="391">
        <f t="shared" si="58"/>
        <v>0.6777</v>
      </c>
      <c r="X55" s="391">
        <f t="shared" si="58"/>
        <v>0.6993</v>
      </c>
      <c r="Y55" s="391">
        <f t="shared" si="58"/>
        <v>0.603</v>
      </c>
      <c r="Z55" s="391">
        <f t="shared" si="58"/>
        <v>0.6071</v>
      </c>
      <c r="AA55" s="391">
        <f t="shared" si="58"/>
        <v>0.6382</v>
      </c>
      <c r="AB55" s="391">
        <f t="shared" si="58"/>
        <v>0.5522</v>
      </c>
      <c r="AC55" s="391">
        <f t="shared" si="58"/>
        <v>0.6312</v>
      </c>
      <c r="AD55" s="391">
        <f t="shared" si="58"/>
        <v>0.6008</v>
      </c>
      <c r="AE55" s="391">
        <f t="shared" si="58"/>
        <v>0.5979</v>
      </c>
    </row>
    <row r="56">
      <c r="A56" s="386"/>
      <c r="B56" s="386"/>
      <c r="C56" s="386"/>
      <c r="D56" s="247"/>
      <c r="E56" s="247">
        <f t="shared" ref="E56:Q56" si="59">SUM(E47:E55)</f>
        <v>70349.92731</v>
      </c>
      <c r="F56" s="247">
        <f t="shared" si="59"/>
        <v>68969.06924</v>
      </c>
      <c r="G56" s="247">
        <f t="shared" si="59"/>
        <v>72172.08474</v>
      </c>
      <c r="H56" s="247">
        <f t="shared" si="59"/>
        <v>62054.07489</v>
      </c>
      <c r="I56" s="247">
        <f t="shared" si="59"/>
        <v>64031.89401</v>
      </c>
      <c r="J56" s="247">
        <f t="shared" si="59"/>
        <v>55214.1171</v>
      </c>
      <c r="K56" s="247">
        <f t="shared" si="59"/>
        <v>55589.53647</v>
      </c>
      <c r="L56" s="247">
        <f t="shared" si="59"/>
        <v>58437.22974</v>
      </c>
      <c r="M56" s="247">
        <f t="shared" si="59"/>
        <v>50562.57954</v>
      </c>
      <c r="N56" s="247">
        <f t="shared" si="59"/>
        <v>57796.26984</v>
      </c>
      <c r="O56" s="247">
        <f t="shared" si="59"/>
        <v>55012.67256</v>
      </c>
      <c r="P56" s="247">
        <f t="shared" si="59"/>
        <v>54747.13203</v>
      </c>
      <c r="Q56" s="247">
        <f t="shared" si="59"/>
        <v>60411.38229</v>
      </c>
      <c r="R56" s="247">
        <f>MAX(E56:P56)</f>
        <v>72172.08474</v>
      </c>
      <c r="T56" s="391">
        <f t="shared" ref="T56:AE56" si="60">SUM(T47:T55)</f>
        <v>6.9147</v>
      </c>
      <c r="U56" s="391">
        <f t="shared" si="60"/>
        <v>6.77897535</v>
      </c>
      <c r="V56" s="391">
        <f t="shared" si="60"/>
        <v>7.0938</v>
      </c>
      <c r="W56" s="391">
        <f t="shared" si="60"/>
        <v>6.0993</v>
      </c>
      <c r="X56" s="391">
        <f t="shared" si="60"/>
        <v>6.2937</v>
      </c>
      <c r="Y56" s="391">
        <f t="shared" si="60"/>
        <v>5.427</v>
      </c>
      <c r="Z56" s="391">
        <f t="shared" si="60"/>
        <v>5.4639</v>
      </c>
      <c r="AA56" s="391">
        <f t="shared" si="60"/>
        <v>5.7438</v>
      </c>
      <c r="AB56" s="391">
        <f t="shared" si="60"/>
        <v>4.9698</v>
      </c>
      <c r="AC56" s="391">
        <f t="shared" si="60"/>
        <v>5.6808</v>
      </c>
      <c r="AD56" s="391">
        <f t="shared" si="60"/>
        <v>5.4072</v>
      </c>
      <c r="AE56" s="391">
        <f t="shared" si="60"/>
        <v>5.3811</v>
      </c>
    </row>
    <row r="57">
      <c r="A57" s="386"/>
      <c r="B57" s="386"/>
      <c r="C57" s="386" t="s">
        <v>31</v>
      </c>
      <c r="D57" s="247"/>
      <c r="E57" s="247"/>
      <c r="F57" s="247"/>
      <c r="G57" s="247"/>
      <c r="H57" s="247"/>
      <c r="I57" s="247"/>
      <c r="J57" s="247"/>
      <c r="K57" s="247"/>
      <c r="L57" s="247"/>
      <c r="M57" s="247"/>
      <c r="N57" s="247"/>
      <c r="O57" s="247"/>
      <c r="P57" s="247"/>
      <c r="T57" s="391"/>
      <c r="U57" s="391"/>
      <c r="V57" s="391"/>
      <c r="W57" s="391"/>
      <c r="X57" s="391"/>
      <c r="Y57" s="391"/>
      <c r="Z57" s="391"/>
      <c r="AA57" s="391"/>
      <c r="AB57" s="391"/>
      <c r="AC57" s="391"/>
      <c r="AD57" s="391"/>
      <c r="AE57" s="391"/>
    </row>
    <row r="58">
      <c r="A58" s="155">
        <v>-33.34335643</v>
      </c>
      <c r="B58" s="155">
        <v>-70.52466882</v>
      </c>
      <c r="C58" s="155" t="s">
        <v>22</v>
      </c>
      <c r="D58" s="247">
        <f t="array" ref="D58">XLOOKUP(C58,'HouseHolds per "comuna"'!$B$2:$B$40,'HouseHolds per "comuna"'!$C$2:$C$40)*0.15</f>
        <v>4034.1</v>
      </c>
      <c r="E58" s="247">
        <f>D58*EOQ!$C$9</f>
        <v>586.96155</v>
      </c>
      <c r="F58" s="247">
        <f>D58*EOQ!$F$9</f>
        <v>1408.891391</v>
      </c>
      <c r="G58" s="247">
        <f>D58*EOQ!$G$9</f>
        <v>671.27424</v>
      </c>
      <c r="H58" s="247">
        <f>D58*EOQ!$I$9</f>
        <v>737.83689</v>
      </c>
      <c r="I58" s="247">
        <f>D58*EOQ!$K$9</f>
        <v>908.47932</v>
      </c>
      <c r="J58" s="247">
        <f>D58*EOQ!$M$9</f>
        <v>812.06433</v>
      </c>
      <c r="K58" s="247">
        <f>D58*EOQ!$O$9</f>
        <v>987.14427</v>
      </c>
      <c r="L58" s="247">
        <f>D58*EOQ!$Q$9</f>
        <v>852.40533</v>
      </c>
      <c r="M58" s="247">
        <f>D58*EOQ!$S$9</f>
        <v>752.76306</v>
      </c>
      <c r="N58" s="247">
        <f>D58*EOQ!$U$9</f>
        <v>11076.83178</v>
      </c>
      <c r="O58" s="247">
        <f>D58*EOQ!$W$9</f>
        <v>893.14974</v>
      </c>
      <c r="P58" s="247">
        <f>D58*EOQ!$Y$9</f>
        <v>691.44474</v>
      </c>
      <c r="Q58" s="247">
        <f t="shared" ref="Q58:Q66" si="62">AVERAGE(E58:P58)</f>
        <v>1698.270553</v>
      </c>
      <c r="T58" s="391">
        <f t="shared" ref="T58:AE58" si="61">E58/$D58</f>
        <v>0.1455</v>
      </c>
      <c r="U58" s="391">
        <f t="shared" si="61"/>
        <v>0.3492455297</v>
      </c>
      <c r="V58" s="391">
        <f t="shared" si="61"/>
        <v>0.1664</v>
      </c>
      <c r="W58" s="391">
        <f t="shared" si="61"/>
        <v>0.1829</v>
      </c>
      <c r="X58" s="391">
        <f t="shared" si="61"/>
        <v>0.2252</v>
      </c>
      <c r="Y58" s="391">
        <f t="shared" si="61"/>
        <v>0.2013</v>
      </c>
      <c r="Z58" s="391">
        <f t="shared" si="61"/>
        <v>0.2447</v>
      </c>
      <c r="AA58" s="391">
        <f t="shared" si="61"/>
        <v>0.2113</v>
      </c>
      <c r="AB58" s="391">
        <f t="shared" si="61"/>
        <v>0.1866</v>
      </c>
      <c r="AC58" s="391">
        <f t="shared" si="61"/>
        <v>2.7458</v>
      </c>
      <c r="AD58" s="391">
        <f t="shared" si="61"/>
        <v>0.2214</v>
      </c>
      <c r="AE58" s="391">
        <f t="shared" si="61"/>
        <v>0.1714</v>
      </c>
    </row>
    <row r="59">
      <c r="A59" s="155">
        <v>-33.42627012</v>
      </c>
      <c r="B59" s="155">
        <v>-70.54486003</v>
      </c>
      <c r="C59" s="155" t="s">
        <v>24</v>
      </c>
      <c r="D59" s="247">
        <f t="array" ref="D59">XLOOKUP(C59,'HouseHolds per "comuna"'!$B$2:$B$40,'HouseHolds per "comuna"'!$C$2:$C$40)*0.15</f>
        <v>16000.8</v>
      </c>
      <c r="E59" s="247">
        <f>D59*EOQ!$C$9</f>
        <v>2328.1164</v>
      </c>
      <c r="F59" s="247">
        <f>D59*EOQ!$F$9</f>
        <v>5588.207871</v>
      </c>
      <c r="G59" s="247">
        <f>D59*EOQ!$G$9</f>
        <v>2662.53312</v>
      </c>
      <c r="H59" s="247">
        <f>D59*EOQ!$I$9</f>
        <v>2926.54632</v>
      </c>
      <c r="I59" s="247">
        <f>D59*EOQ!$K$9</f>
        <v>3603.38016</v>
      </c>
      <c r="J59" s="247">
        <f>D59*EOQ!$M$9</f>
        <v>3220.96104</v>
      </c>
      <c r="K59" s="247">
        <f>D59*EOQ!$O$9</f>
        <v>3915.39576</v>
      </c>
      <c r="L59" s="247">
        <f>D59*EOQ!$Q$9</f>
        <v>3380.96904</v>
      </c>
      <c r="M59" s="247">
        <f>D59*EOQ!$S$9</f>
        <v>2985.74928</v>
      </c>
      <c r="N59" s="247">
        <f>D59*EOQ!$U$9</f>
        <v>43934.99664</v>
      </c>
      <c r="O59" s="247">
        <f>D59*EOQ!$W$9</f>
        <v>3542.57712</v>
      </c>
      <c r="P59" s="247">
        <f>D59*EOQ!$Y$9</f>
        <v>2742.53712</v>
      </c>
      <c r="Q59" s="247">
        <f t="shared" si="62"/>
        <v>6735.997489</v>
      </c>
      <c r="T59" s="391">
        <f t="shared" ref="T59:AE59" si="63">E59/$D59</f>
        <v>0.1455</v>
      </c>
      <c r="U59" s="391">
        <f t="shared" si="63"/>
        <v>0.3492455297</v>
      </c>
      <c r="V59" s="391">
        <f t="shared" si="63"/>
        <v>0.1664</v>
      </c>
      <c r="W59" s="391">
        <f t="shared" si="63"/>
        <v>0.1829</v>
      </c>
      <c r="X59" s="391">
        <f t="shared" si="63"/>
        <v>0.2252</v>
      </c>
      <c r="Y59" s="391">
        <f t="shared" si="63"/>
        <v>0.2013</v>
      </c>
      <c r="Z59" s="391">
        <f t="shared" si="63"/>
        <v>0.2447</v>
      </c>
      <c r="AA59" s="391">
        <f t="shared" si="63"/>
        <v>0.2113</v>
      </c>
      <c r="AB59" s="391">
        <f t="shared" si="63"/>
        <v>0.1866</v>
      </c>
      <c r="AC59" s="391">
        <f t="shared" si="63"/>
        <v>2.7458</v>
      </c>
      <c r="AD59" s="391">
        <f t="shared" si="63"/>
        <v>0.2214</v>
      </c>
      <c r="AE59" s="391">
        <f t="shared" si="63"/>
        <v>0.1714</v>
      </c>
    </row>
    <row r="60">
      <c r="A60" s="155">
        <v>-33.43795143</v>
      </c>
      <c r="B60" s="155">
        <v>-70.61132569</v>
      </c>
      <c r="C60" s="155" t="s">
        <v>26</v>
      </c>
      <c r="D60" s="247">
        <f t="array" ref="D60">XLOOKUP(C60,'HouseHolds per "comuna"'!$B$2:$B$40,'HouseHolds per "comuna"'!$C$2:$C$40)*0.15</f>
        <v>9332.25</v>
      </c>
      <c r="E60" s="247">
        <f>D60*EOQ!$C$9</f>
        <v>1357.842375</v>
      </c>
      <c r="F60" s="247">
        <f>D60*EOQ!$F$9</f>
        <v>3259.246594</v>
      </c>
      <c r="G60" s="247">
        <f>D60*EOQ!$G$9</f>
        <v>1552.8864</v>
      </c>
      <c r="H60" s="247">
        <f>D60*EOQ!$I$9</f>
        <v>1706.868525</v>
      </c>
      <c r="I60" s="247">
        <f>D60*EOQ!$K$9</f>
        <v>2101.6227</v>
      </c>
      <c r="J60" s="247">
        <f>D60*EOQ!$M$9</f>
        <v>1878.581925</v>
      </c>
      <c r="K60" s="247">
        <f>D60*EOQ!$O$9</f>
        <v>2283.601575</v>
      </c>
      <c r="L60" s="247">
        <f>D60*EOQ!$Q$9</f>
        <v>1971.904425</v>
      </c>
      <c r="M60" s="247">
        <f>D60*EOQ!$S$9</f>
        <v>1741.39785</v>
      </c>
      <c r="N60" s="247">
        <f>D60*EOQ!$U$9</f>
        <v>25624.49205</v>
      </c>
      <c r="O60" s="247">
        <f>D60*EOQ!$W$9</f>
        <v>2066.16015</v>
      </c>
      <c r="P60" s="247">
        <f>D60*EOQ!$Y$9</f>
        <v>1599.54765</v>
      </c>
      <c r="Q60" s="247">
        <f t="shared" si="62"/>
        <v>3928.679352</v>
      </c>
      <c r="T60" s="391">
        <f t="shared" ref="T60:AE60" si="64">E60/$D60</f>
        <v>0.1455</v>
      </c>
      <c r="U60" s="391">
        <f t="shared" si="64"/>
        <v>0.3492455297</v>
      </c>
      <c r="V60" s="391">
        <f t="shared" si="64"/>
        <v>0.1664</v>
      </c>
      <c r="W60" s="391">
        <f t="shared" si="64"/>
        <v>0.1829</v>
      </c>
      <c r="X60" s="391">
        <f t="shared" si="64"/>
        <v>0.2252</v>
      </c>
      <c r="Y60" s="391">
        <f t="shared" si="64"/>
        <v>0.2013</v>
      </c>
      <c r="Z60" s="391">
        <f t="shared" si="64"/>
        <v>0.2447</v>
      </c>
      <c r="AA60" s="391">
        <f t="shared" si="64"/>
        <v>0.2113</v>
      </c>
      <c r="AB60" s="391">
        <f t="shared" si="64"/>
        <v>0.1866</v>
      </c>
      <c r="AC60" s="391">
        <f t="shared" si="64"/>
        <v>2.7458</v>
      </c>
      <c r="AD60" s="391">
        <f t="shared" si="64"/>
        <v>0.2214</v>
      </c>
      <c r="AE60" s="391">
        <f t="shared" si="64"/>
        <v>0.1714</v>
      </c>
    </row>
    <row r="61">
      <c r="A61" s="155">
        <v>-33.38144958</v>
      </c>
      <c r="B61" s="155">
        <v>-70.56353561</v>
      </c>
      <c r="C61" s="155" t="s">
        <v>28</v>
      </c>
      <c r="D61" s="247">
        <f t="array" ref="D61">XLOOKUP(C61,'HouseHolds per "comuna"'!$B$2:$B$40,'HouseHolds per "comuna"'!$C$2:$C$40)*0.15</f>
        <v>4222.35</v>
      </c>
      <c r="E61" s="247">
        <f>D61*EOQ!$C$9</f>
        <v>614.351925</v>
      </c>
      <c r="F61" s="247">
        <f>D61*EOQ!$F$9</f>
        <v>1474.636862</v>
      </c>
      <c r="G61" s="247">
        <f>D61*EOQ!$G$9</f>
        <v>702.59904</v>
      </c>
      <c r="H61" s="247">
        <f>D61*EOQ!$I$9</f>
        <v>772.267815</v>
      </c>
      <c r="I61" s="247">
        <f>D61*EOQ!$K$9</f>
        <v>950.87322</v>
      </c>
      <c r="J61" s="247">
        <f>D61*EOQ!$M$9</f>
        <v>849.959055</v>
      </c>
      <c r="K61" s="247">
        <f>D61*EOQ!$O$9</f>
        <v>1033.209045</v>
      </c>
      <c r="L61" s="247">
        <f>D61*EOQ!$Q$9</f>
        <v>892.182555</v>
      </c>
      <c r="M61" s="247">
        <f>D61*EOQ!$S$9</f>
        <v>787.89051</v>
      </c>
      <c r="N61" s="247">
        <f>D61*EOQ!$U$9</f>
        <v>11593.72863</v>
      </c>
      <c r="O61" s="247">
        <f>D61*EOQ!$W$9</f>
        <v>934.82829</v>
      </c>
      <c r="P61" s="247">
        <f>D61*EOQ!$Y$9</f>
        <v>723.71079</v>
      </c>
      <c r="Q61" s="247">
        <f t="shared" si="62"/>
        <v>1777.519811</v>
      </c>
      <c r="T61" s="391">
        <f t="shared" ref="T61:AE61" si="65">E61/$D61</f>
        <v>0.1455</v>
      </c>
      <c r="U61" s="391">
        <f t="shared" si="65"/>
        <v>0.3492455297</v>
      </c>
      <c r="V61" s="391">
        <f t="shared" si="65"/>
        <v>0.1664</v>
      </c>
      <c r="W61" s="391">
        <f t="shared" si="65"/>
        <v>0.1829</v>
      </c>
      <c r="X61" s="391">
        <f t="shared" si="65"/>
        <v>0.2252</v>
      </c>
      <c r="Y61" s="391">
        <f t="shared" si="65"/>
        <v>0.2013</v>
      </c>
      <c r="Z61" s="391">
        <f t="shared" si="65"/>
        <v>0.2447</v>
      </c>
      <c r="AA61" s="391">
        <f t="shared" si="65"/>
        <v>0.2113</v>
      </c>
      <c r="AB61" s="391">
        <f t="shared" si="65"/>
        <v>0.1866</v>
      </c>
      <c r="AC61" s="391">
        <f t="shared" si="65"/>
        <v>2.7458</v>
      </c>
      <c r="AD61" s="391">
        <f t="shared" si="65"/>
        <v>0.2214</v>
      </c>
      <c r="AE61" s="391">
        <f t="shared" si="65"/>
        <v>0.1714</v>
      </c>
    </row>
    <row r="62">
      <c r="A62" s="155">
        <v>-33.42043054552</v>
      </c>
      <c r="B62" s="155">
        <v>-70.733744571828</v>
      </c>
      <c r="C62" s="155" t="s">
        <v>30</v>
      </c>
      <c r="D62" s="247">
        <f t="array" ref="D62">XLOOKUP(C62,'HouseHolds per "comuna"'!$B$2:$B$40,'HouseHolds per "comuna"'!$C$2:$C$40)*0.15</f>
        <v>5797.65</v>
      </c>
      <c r="E62" s="247">
        <f>D62*EOQ!$C$9</f>
        <v>843.558075</v>
      </c>
      <c r="F62" s="247">
        <f>D62*EOQ!$F$9</f>
        <v>2024.803345</v>
      </c>
      <c r="G62" s="247">
        <f>D62*EOQ!$G$9</f>
        <v>964.72896</v>
      </c>
      <c r="H62" s="247">
        <f>D62*EOQ!$I$9</f>
        <v>1060.390185</v>
      </c>
      <c r="I62" s="247">
        <f>D62*EOQ!$K$9</f>
        <v>1305.63078</v>
      </c>
      <c r="J62" s="247">
        <f>D62*EOQ!$M$9</f>
        <v>1167.066945</v>
      </c>
      <c r="K62" s="247">
        <f>D62*EOQ!$O$9</f>
        <v>1418.684955</v>
      </c>
      <c r="L62" s="247">
        <f>D62*EOQ!$Q$9</f>
        <v>1225.043445</v>
      </c>
      <c r="M62" s="247">
        <f>D62*EOQ!$S$9</f>
        <v>1081.84149</v>
      </c>
      <c r="N62" s="247">
        <f>D62*EOQ!$U$9</f>
        <v>15919.18737</v>
      </c>
      <c r="O62" s="247">
        <f>D62*EOQ!$W$9</f>
        <v>1283.59971</v>
      </c>
      <c r="P62" s="247">
        <f>D62*EOQ!$Y$9</f>
        <v>993.71721</v>
      </c>
      <c r="Q62" s="247">
        <f t="shared" si="62"/>
        <v>2440.687706</v>
      </c>
      <c r="T62" s="391">
        <f t="shared" ref="T62:AE62" si="66">E62/$D62</f>
        <v>0.1455</v>
      </c>
      <c r="U62" s="391">
        <f t="shared" si="66"/>
        <v>0.3492455297</v>
      </c>
      <c r="V62" s="391">
        <f t="shared" si="66"/>
        <v>0.1664</v>
      </c>
      <c r="W62" s="391">
        <f t="shared" si="66"/>
        <v>0.1829</v>
      </c>
      <c r="X62" s="391">
        <f t="shared" si="66"/>
        <v>0.2252</v>
      </c>
      <c r="Y62" s="391">
        <f t="shared" si="66"/>
        <v>0.2013</v>
      </c>
      <c r="Z62" s="391">
        <f t="shared" si="66"/>
        <v>0.2447</v>
      </c>
      <c r="AA62" s="391">
        <f t="shared" si="66"/>
        <v>0.2113</v>
      </c>
      <c r="AB62" s="391">
        <f t="shared" si="66"/>
        <v>0.1866</v>
      </c>
      <c r="AC62" s="391">
        <f t="shared" si="66"/>
        <v>2.7458</v>
      </c>
      <c r="AD62" s="391">
        <f t="shared" si="66"/>
        <v>0.2214</v>
      </c>
      <c r="AE62" s="391">
        <f t="shared" si="66"/>
        <v>0.1714</v>
      </c>
    </row>
    <row r="63">
      <c r="A63" s="155">
        <v>-33.4799485636684</v>
      </c>
      <c r="B63" s="155">
        <v>-70.6611965188523</v>
      </c>
      <c r="C63" s="155" t="s">
        <v>32</v>
      </c>
      <c r="D63" s="247">
        <f t="array" ref="D63">XLOOKUP(C63,'HouseHolds per "comuna"'!$B$2:$B$40,'HouseHolds per "comuna"'!$C$2:$C$40)*0.15</f>
        <v>4488.15</v>
      </c>
      <c r="E63" s="247">
        <f>D63*EOQ!$C$9</f>
        <v>653.025825</v>
      </c>
      <c r="F63" s="247">
        <f>D63*EOQ!$F$9</f>
        <v>1567.466324</v>
      </c>
      <c r="G63" s="247">
        <f>D63*EOQ!$G$9</f>
        <v>746.82816</v>
      </c>
      <c r="H63" s="247">
        <f>D63*EOQ!$I$9</f>
        <v>820.882635</v>
      </c>
      <c r="I63" s="247">
        <f>D63*EOQ!$K$9</f>
        <v>1010.73138</v>
      </c>
      <c r="J63" s="247">
        <f>D63*EOQ!$M$9</f>
        <v>903.464595</v>
      </c>
      <c r="K63" s="247">
        <f>D63*EOQ!$O$9</f>
        <v>1098.250305</v>
      </c>
      <c r="L63" s="247">
        <f>D63*EOQ!$Q$9</f>
        <v>948.346095</v>
      </c>
      <c r="M63" s="247">
        <f>D63*EOQ!$S$9</f>
        <v>837.48879</v>
      </c>
      <c r="N63" s="247">
        <f>D63*EOQ!$U$9</f>
        <v>12323.56227</v>
      </c>
      <c r="O63" s="247">
        <f>D63*EOQ!$W$9</f>
        <v>993.67641</v>
      </c>
      <c r="P63" s="247">
        <f>D63*EOQ!$Y$9</f>
        <v>769.26891</v>
      </c>
      <c r="Q63" s="247">
        <f t="shared" si="62"/>
        <v>1889.415975</v>
      </c>
      <c r="T63" s="391">
        <f t="shared" ref="T63:AE63" si="67">E63/$D63</f>
        <v>0.1455</v>
      </c>
      <c r="U63" s="391">
        <f t="shared" si="67"/>
        <v>0.3492455297</v>
      </c>
      <c r="V63" s="391">
        <f t="shared" si="67"/>
        <v>0.1664</v>
      </c>
      <c r="W63" s="391">
        <f t="shared" si="67"/>
        <v>0.1829</v>
      </c>
      <c r="X63" s="391">
        <f t="shared" si="67"/>
        <v>0.2252</v>
      </c>
      <c r="Y63" s="391">
        <f t="shared" si="67"/>
        <v>0.2013</v>
      </c>
      <c r="Z63" s="391">
        <f t="shared" si="67"/>
        <v>0.2447</v>
      </c>
      <c r="AA63" s="391">
        <f t="shared" si="67"/>
        <v>0.2113</v>
      </c>
      <c r="AB63" s="391">
        <f t="shared" si="67"/>
        <v>0.1866</v>
      </c>
      <c r="AC63" s="391">
        <f t="shared" si="67"/>
        <v>2.7458</v>
      </c>
      <c r="AD63" s="391">
        <f t="shared" si="67"/>
        <v>0.2214</v>
      </c>
      <c r="AE63" s="391">
        <f t="shared" si="67"/>
        <v>0.1714</v>
      </c>
    </row>
    <row r="64">
      <c r="A64" s="155">
        <v>-33.5669161134897</v>
      </c>
      <c r="B64" s="155">
        <v>-70.6821206157262</v>
      </c>
      <c r="C64" s="155" t="s">
        <v>34</v>
      </c>
      <c r="D64" s="247">
        <f t="array" ref="D64">XLOOKUP(C64,'HouseHolds per "comuna"'!$B$2:$B$40,'HouseHolds per "comuna"'!$C$2:$C$40)*0.15</f>
        <v>7107.6</v>
      </c>
      <c r="E64" s="247">
        <f>D64*EOQ!$C$9</f>
        <v>1034.1558</v>
      </c>
      <c r="F64" s="247">
        <f>D64*EOQ!$F$9</f>
        <v>2482.297527</v>
      </c>
      <c r="G64" s="247">
        <f>D64*EOQ!$G$9</f>
        <v>1182.70464</v>
      </c>
      <c r="H64" s="247">
        <f>D64*EOQ!$I$9</f>
        <v>1299.98004</v>
      </c>
      <c r="I64" s="247">
        <f>D64*EOQ!$K$9</f>
        <v>1600.63152</v>
      </c>
      <c r="J64" s="247">
        <f>D64*EOQ!$M$9</f>
        <v>1430.75988</v>
      </c>
      <c r="K64" s="247">
        <f>D64*EOQ!$O$9</f>
        <v>1739.22972</v>
      </c>
      <c r="L64" s="247">
        <f>D64*EOQ!$Q$9</f>
        <v>1501.83588</v>
      </c>
      <c r="M64" s="247">
        <f>D64*EOQ!$S$9</f>
        <v>1326.27816</v>
      </c>
      <c r="N64" s="247">
        <f>D64*EOQ!$U$9</f>
        <v>19516.04808</v>
      </c>
      <c r="O64" s="247">
        <f>D64*EOQ!$W$9</f>
        <v>1573.62264</v>
      </c>
      <c r="P64" s="247">
        <f>D64*EOQ!$Y$9</f>
        <v>1218.24264</v>
      </c>
      <c r="Q64" s="247">
        <f t="shared" si="62"/>
        <v>2992.148877</v>
      </c>
      <c r="T64" s="391">
        <f t="shared" ref="T64:AE64" si="68">E64/$D64</f>
        <v>0.1455</v>
      </c>
      <c r="U64" s="391">
        <f t="shared" si="68"/>
        <v>0.3492455297</v>
      </c>
      <c r="V64" s="391">
        <f t="shared" si="68"/>
        <v>0.1664</v>
      </c>
      <c r="W64" s="391">
        <f t="shared" si="68"/>
        <v>0.1829</v>
      </c>
      <c r="X64" s="391">
        <f t="shared" si="68"/>
        <v>0.2252</v>
      </c>
      <c r="Y64" s="391">
        <f t="shared" si="68"/>
        <v>0.2013</v>
      </c>
      <c r="Z64" s="391">
        <f t="shared" si="68"/>
        <v>0.2447</v>
      </c>
      <c r="AA64" s="391">
        <f t="shared" si="68"/>
        <v>0.2113</v>
      </c>
      <c r="AB64" s="391">
        <f t="shared" si="68"/>
        <v>0.1866</v>
      </c>
      <c r="AC64" s="391">
        <f t="shared" si="68"/>
        <v>2.7458</v>
      </c>
      <c r="AD64" s="391">
        <f t="shared" si="68"/>
        <v>0.2214</v>
      </c>
      <c r="AE64" s="391">
        <f t="shared" si="68"/>
        <v>0.1714</v>
      </c>
    </row>
    <row r="65">
      <c r="A65" s="155">
        <v>-33.5225565127023</v>
      </c>
      <c r="B65" s="155">
        <v>-70.7721740162419</v>
      </c>
      <c r="C65" s="155" t="s">
        <v>36</v>
      </c>
      <c r="D65" s="247">
        <f t="array" ref="D65">XLOOKUP(C65,'HouseHolds per "comuna"'!$B$2:$B$40,'HouseHolds per "comuna"'!$C$2:$C$40)*0.15</f>
        <v>23308.65</v>
      </c>
      <c r="E65" s="247">
        <f>D65*EOQ!$C$9</f>
        <v>3391.408575</v>
      </c>
      <c r="F65" s="247">
        <f>D65*EOQ!$F$9</f>
        <v>8140.441815</v>
      </c>
      <c r="G65" s="247">
        <f>D65*EOQ!$G$9</f>
        <v>3878.55936</v>
      </c>
      <c r="H65" s="247">
        <f>D65*EOQ!$I$9</f>
        <v>4263.152085</v>
      </c>
      <c r="I65" s="247">
        <f>D65*EOQ!$K$9</f>
        <v>5249.10798</v>
      </c>
      <c r="J65" s="247">
        <f>D65*EOQ!$M$9</f>
        <v>4692.031245</v>
      </c>
      <c r="K65" s="247">
        <f>D65*EOQ!$O$9</f>
        <v>5703.626655</v>
      </c>
      <c r="L65" s="247">
        <f>D65*EOQ!$Q$9</f>
        <v>4925.117745</v>
      </c>
      <c r="M65" s="247">
        <f>D65*EOQ!$S$9</f>
        <v>4349.39409</v>
      </c>
      <c r="N65" s="247">
        <f>D65*EOQ!$U$9</f>
        <v>64000.89117</v>
      </c>
      <c r="O65" s="247">
        <f>D65*EOQ!$W$9</f>
        <v>5160.53511</v>
      </c>
      <c r="P65" s="247">
        <f>D65*EOQ!$Y$9</f>
        <v>3995.10261</v>
      </c>
      <c r="Q65" s="247">
        <f t="shared" si="62"/>
        <v>9812.44737</v>
      </c>
      <c r="T65" s="391">
        <f t="shared" ref="T65:AE65" si="69">E65/$D65</f>
        <v>0.1455</v>
      </c>
      <c r="U65" s="391">
        <f t="shared" si="69"/>
        <v>0.3492455297</v>
      </c>
      <c r="V65" s="391">
        <f t="shared" si="69"/>
        <v>0.1664</v>
      </c>
      <c r="W65" s="391">
        <f t="shared" si="69"/>
        <v>0.1829</v>
      </c>
      <c r="X65" s="391">
        <f t="shared" si="69"/>
        <v>0.2252</v>
      </c>
      <c r="Y65" s="391">
        <f t="shared" si="69"/>
        <v>0.2013</v>
      </c>
      <c r="Z65" s="391">
        <f t="shared" si="69"/>
        <v>0.2447</v>
      </c>
      <c r="AA65" s="391">
        <f t="shared" si="69"/>
        <v>0.2113</v>
      </c>
      <c r="AB65" s="391">
        <f t="shared" si="69"/>
        <v>0.1866</v>
      </c>
      <c r="AC65" s="391">
        <f t="shared" si="69"/>
        <v>2.7458</v>
      </c>
      <c r="AD65" s="391">
        <f t="shared" si="69"/>
        <v>0.2214</v>
      </c>
      <c r="AE65" s="391">
        <f t="shared" si="69"/>
        <v>0.1714</v>
      </c>
    </row>
    <row r="66">
      <c r="A66" s="155">
        <v>-33.5389061820572</v>
      </c>
      <c r="B66" s="155">
        <v>-70.5892347989387</v>
      </c>
      <c r="C66" s="155" t="s">
        <v>38</v>
      </c>
      <c r="D66" s="247">
        <f t="array" ref="D66">XLOOKUP(C66,'HouseHolds per "comuna"'!$B$2:$B$40,'HouseHolds per "comuna"'!$C$2:$C$40)*0.15</f>
        <v>17274.15</v>
      </c>
      <c r="E66" s="247">
        <f>D66*EOQ!$C$9</f>
        <v>2513.388825</v>
      </c>
      <c r="F66" s="247">
        <f>D66*EOQ!$F$9</f>
        <v>6032.919666</v>
      </c>
      <c r="G66" s="247">
        <f>D66*EOQ!$G$9</f>
        <v>2874.41856</v>
      </c>
      <c r="H66" s="247">
        <f>D66*EOQ!$I$9</f>
        <v>3159.442035</v>
      </c>
      <c r="I66" s="247">
        <f>D66*EOQ!$K$9</f>
        <v>3890.13858</v>
      </c>
      <c r="J66" s="247">
        <f>D66*EOQ!$M$9</f>
        <v>3477.286395</v>
      </c>
      <c r="K66" s="247">
        <f>D66*EOQ!$O$9</f>
        <v>4226.984505</v>
      </c>
      <c r="L66" s="247">
        <f>D66*EOQ!$Q$9</f>
        <v>3650.027895</v>
      </c>
      <c r="M66" s="247">
        <f>D66*EOQ!$S$9</f>
        <v>3223.35639</v>
      </c>
      <c r="N66" s="247">
        <f>D66*EOQ!$U$9</f>
        <v>47431.36107</v>
      </c>
      <c r="O66" s="247">
        <f>D66*EOQ!$W$9</f>
        <v>3824.49681</v>
      </c>
      <c r="P66" s="247">
        <f>D66*EOQ!$Y$9</f>
        <v>2960.78931</v>
      </c>
      <c r="Q66" s="247">
        <f t="shared" si="62"/>
        <v>7272.050837</v>
      </c>
      <c r="T66" s="391">
        <f t="shared" ref="T66:AE66" si="70">E66/$D66</f>
        <v>0.1455</v>
      </c>
      <c r="U66" s="391">
        <f t="shared" si="70"/>
        <v>0.3492455297</v>
      </c>
      <c r="V66" s="391">
        <f t="shared" si="70"/>
        <v>0.1664</v>
      </c>
      <c r="W66" s="391">
        <f t="shared" si="70"/>
        <v>0.1829</v>
      </c>
      <c r="X66" s="391">
        <f t="shared" si="70"/>
        <v>0.2252</v>
      </c>
      <c r="Y66" s="391">
        <f t="shared" si="70"/>
        <v>0.2013</v>
      </c>
      <c r="Z66" s="391">
        <f t="shared" si="70"/>
        <v>0.2447</v>
      </c>
      <c r="AA66" s="391">
        <f t="shared" si="70"/>
        <v>0.2113</v>
      </c>
      <c r="AB66" s="391">
        <f t="shared" si="70"/>
        <v>0.1866</v>
      </c>
      <c r="AC66" s="391">
        <f t="shared" si="70"/>
        <v>2.7458</v>
      </c>
      <c r="AD66" s="391">
        <f t="shared" si="70"/>
        <v>0.2214</v>
      </c>
      <c r="AE66" s="391">
        <f t="shared" si="70"/>
        <v>0.1714</v>
      </c>
    </row>
    <row r="67">
      <c r="A67" s="386"/>
      <c r="B67" s="386"/>
      <c r="C67" s="386"/>
      <c r="D67" s="247"/>
      <c r="E67" s="247">
        <f t="shared" ref="E67:Q67" si="71">SUM(E58:E66)</f>
        <v>13322.80935</v>
      </c>
      <c r="F67" s="247">
        <f t="shared" si="71"/>
        <v>31978.9114</v>
      </c>
      <c r="G67" s="247">
        <f t="shared" si="71"/>
        <v>15236.53248</v>
      </c>
      <c r="H67" s="247">
        <f t="shared" si="71"/>
        <v>16747.36653</v>
      </c>
      <c r="I67" s="247">
        <f t="shared" si="71"/>
        <v>20620.59564</v>
      </c>
      <c r="J67" s="247">
        <f t="shared" si="71"/>
        <v>18432.17541</v>
      </c>
      <c r="K67" s="247">
        <f t="shared" si="71"/>
        <v>22406.12679</v>
      </c>
      <c r="L67" s="247">
        <f t="shared" si="71"/>
        <v>19347.83241</v>
      </c>
      <c r="M67" s="247">
        <f t="shared" si="71"/>
        <v>17086.15962</v>
      </c>
      <c r="N67" s="247">
        <f t="shared" si="71"/>
        <v>251421.0991</v>
      </c>
      <c r="O67" s="247">
        <f t="shared" si="71"/>
        <v>20272.64598</v>
      </c>
      <c r="P67" s="247">
        <f t="shared" si="71"/>
        <v>15694.36098</v>
      </c>
      <c r="Q67" s="247">
        <f t="shared" si="71"/>
        <v>38547.21797</v>
      </c>
      <c r="R67" s="247">
        <f>MAX(E67:P67)</f>
        <v>251421.0991</v>
      </c>
      <c r="T67" s="391">
        <f t="shared" ref="T67:AE67" si="72">SUM(T58:T66)</f>
        <v>1.3095</v>
      </c>
      <c r="U67" s="391">
        <f t="shared" si="72"/>
        <v>3.143209767</v>
      </c>
      <c r="V67" s="391">
        <f t="shared" si="72"/>
        <v>1.4976</v>
      </c>
      <c r="W67" s="391">
        <f t="shared" si="72"/>
        <v>1.6461</v>
      </c>
      <c r="X67" s="391">
        <f t="shared" si="72"/>
        <v>2.0268</v>
      </c>
      <c r="Y67" s="391">
        <f t="shared" si="72"/>
        <v>1.8117</v>
      </c>
      <c r="Z67" s="391">
        <f t="shared" si="72"/>
        <v>2.2023</v>
      </c>
      <c r="AA67" s="391">
        <f t="shared" si="72"/>
        <v>1.9017</v>
      </c>
      <c r="AB67" s="391">
        <f t="shared" si="72"/>
        <v>1.6794</v>
      </c>
      <c r="AC67" s="391">
        <f t="shared" si="72"/>
        <v>24.7122</v>
      </c>
      <c r="AD67" s="391">
        <f t="shared" si="72"/>
        <v>1.9926</v>
      </c>
      <c r="AE67" s="391">
        <f t="shared" si="72"/>
        <v>1.5426</v>
      </c>
    </row>
    <row r="68">
      <c r="A68" s="386"/>
      <c r="B68" s="386"/>
      <c r="C68" s="386" t="s">
        <v>33</v>
      </c>
      <c r="D68" s="247"/>
      <c r="E68" s="247"/>
      <c r="F68" s="247"/>
      <c r="G68" s="247"/>
      <c r="H68" s="247"/>
      <c r="I68" s="247"/>
      <c r="J68" s="247"/>
      <c r="K68" s="247"/>
      <c r="L68" s="247"/>
      <c r="M68" s="247"/>
      <c r="N68" s="247"/>
      <c r="O68" s="247"/>
      <c r="P68" s="247"/>
      <c r="T68" s="391"/>
      <c r="U68" s="391"/>
      <c r="V68" s="391"/>
      <c r="W68" s="391"/>
      <c r="X68" s="391"/>
      <c r="Y68" s="391"/>
      <c r="Z68" s="391"/>
      <c r="AA68" s="391"/>
      <c r="AB68" s="391"/>
      <c r="AC68" s="391"/>
      <c r="AD68" s="391"/>
      <c r="AE68" s="391"/>
    </row>
    <row r="69">
      <c r="A69" s="155">
        <v>-33.34335643</v>
      </c>
      <c r="B69" s="155">
        <v>-70.52466882</v>
      </c>
      <c r="C69" s="155" t="s">
        <v>22</v>
      </c>
      <c r="D69" s="247">
        <f t="array" ref="D69">XLOOKUP(C69,'HouseHolds per "comuna"'!$B$2:$B$40,'HouseHolds per "comuna"'!$C$2:$C$40)*0.15</f>
        <v>4034.1</v>
      </c>
      <c r="E69" s="247">
        <f>D69*EOQ!$C$10</f>
        <v>0.40341</v>
      </c>
      <c r="F69" s="247">
        <f>D69*EOQ!$F$10</f>
        <v>0</v>
      </c>
      <c r="G69" s="247">
        <f>D69*EOQ!$G$10</f>
        <v>0</v>
      </c>
      <c r="H69" s="247">
        <f>D69*EOQ!$I$10</f>
        <v>1.21023</v>
      </c>
      <c r="I69" s="247">
        <f>D69*EOQ!$K$10</f>
        <v>0.40341</v>
      </c>
      <c r="J69" s="247">
        <f>D69*EOQ!$M$10</f>
        <v>0</v>
      </c>
      <c r="K69" s="247">
        <f>D69*EOQ!$O$10</f>
        <v>0</v>
      </c>
      <c r="L69" s="247">
        <f>D69*EOQ!$Q$10</f>
        <v>3.22728</v>
      </c>
      <c r="M69" s="247">
        <f>D69*EOQ!$S$10</f>
        <v>63.33537</v>
      </c>
      <c r="N69" s="247">
        <f>D69*EOQ!$U$10</f>
        <v>296.50635</v>
      </c>
      <c r="O69" s="247">
        <f>D69*EOQ!$W$10</f>
        <v>251.72784</v>
      </c>
      <c r="P69" s="247">
        <f>D69*EOQ!$Y$10</f>
        <v>75.43767</v>
      </c>
      <c r="Q69" s="247">
        <f t="shared" ref="Q69:Q77" si="74">AVERAGE(E69:P69)</f>
        <v>57.68763</v>
      </c>
      <c r="T69" s="391">
        <f t="shared" ref="T69:AE69" si="73">E69/$D69</f>
        <v>0.0001</v>
      </c>
      <c r="U69" s="391">
        <f t="shared" si="73"/>
        <v>0</v>
      </c>
      <c r="V69" s="391">
        <f t="shared" si="73"/>
        <v>0</v>
      </c>
      <c r="W69" s="391">
        <f t="shared" si="73"/>
        <v>0.0003</v>
      </c>
      <c r="X69" s="391">
        <f t="shared" si="73"/>
        <v>0.0001</v>
      </c>
      <c r="Y69" s="391">
        <f t="shared" si="73"/>
        <v>0</v>
      </c>
      <c r="Z69" s="391">
        <f t="shared" si="73"/>
        <v>0</v>
      </c>
      <c r="AA69" s="391">
        <f t="shared" si="73"/>
        <v>0.0008</v>
      </c>
      <c r="AB69" s="391">
        <f t="shared" si="73"/>
        <v>0.0157</v>
      </c>
      <c r="AC69" s="391">
        <f t="shared" si="73"/>
        <v>0.0735</v>
      </c>
      <c r="AD69" s="391">
        <f t="shared" si="73"/>
        <v>0.0624</v>
      </c>
      <c r="AE69" s="391">
        <f t="shared" si="73"/>
        <v>0.0187</v>
      </c>
    </row>
    <row r="70">
      <c r="A70" s="155">
        <v>-33.42627012</v>
      </c>
      <c r="B70" s="155">
        <v>-70.54486003</v>
      </c>
      <c r="C70" s="155" t="s">
        <v>24</v>
      </c>
      <c r="D70" s="247">
        <f t="array" ref="D70">XLOOKUP(C70,'HouseHolds per "comuna"'!$B$2:$B$40,'HouseHolds per "comuna"'!$C$2:$C$40)*0.15</f>
        <v>16000.8</v>
      </c>
      <c r="E70" s="247">
        <f>D70*EOQ!$C$10</f>
        <v>1.60008</v>
      </c>
      <c r="F70" s="247">
        <f>D70*EOQ!$F$10</f>
        <v>0</v>
      </c>
      <c r="G70" s="247">
        <f>D70*EOQ!$G$10</f>
        <v>0</v>
      </c>
      <c r="H70" s="247">
        <f>D70*EOQ!$I$10</f>
        <v>4.80024</v>
      </c>
      <c r="I70" s="247">
        <f>D70*EOQ!$K$10</f>
        <v>1.60008</v>
      </c>
      <c r="J70" s="247">
        <f>D70*EOQ!$M$10</f>
        <v>0</v>
      </c>
      <c r="K70" s="247">
        <f>D70*EOQ!$O$10</f>
        <v>0</v>
      </c>
      <c r="L70" s="247">
        <f>D70*EOQ!$Q$10</f>
        <v>12.80064</v>
      </c>
      <c r="M70" s="247">
        <f>D70*EOQ!$S$10</f>
        <v>251.21256</v>
      </c>
      <c r="N70" s="247">
        <f>D70*EOQ!$U$10</f>
        <v>1176.0588</v>
      </c>
      <c r="O70" s="247">
        <f>D70*EOQ!$W$10</f>
        <v>998.44992</v>
      </c>
      <c r="P70" s="247">
        <f>D70*EOQ!$Y$10</f>
        <v>299.21496</v>
      </c>
      <c r="Q70" s="247">
        <f t="shared" si="74"/>
        <v>228.81144</v>
      </c>
      <c r="T70" s="391">
        <f t="shared" ref="T70:AE70" si="75">E70/$D70</f>
        <v>0.0001</v>
      </c>
      <c r="U70" s="391">
        <f t="shared" si="75"/>
        <v>0</v>
      </c>
      <c r="V70" s="391">
        <f t="shared" si="75"/>
        <v>0</v>
      </c>
      <c r="W70" s="391">
        <f t="shared" si="75"/>
        <v>0.0003</v>
      </c>
      <c r="X70" s="391">
        <f t="shared" si="75"/>
        <v>0.0001</v>
      </c>
      <c r="Y70" s="391">
        <f t="shared" si="75"/>
        <v>0</v>
      </c>
      <c r="Z70" s="391">
        <f t="shared" si="75"/>
        <v>0</v>
      </c>
      <c r="AA70" s="391">
        <f t="shared" si="75"/>
        <v>0.0008</v>
      </c>
      <c r="AB70" s="391">
        <f t="shared" si="75"/>
        <v>0.0157</v>
      </c>
      <c r="AC70" s="391">
        <f t="shared" si="75"/>
        <v>0.0735</v>
      </c>
      <c r="AD70" s="391">
        <f t="shared" si="75"/>
        <v>0.0624</v>
      </c>
      <c r="AE70" s="391">
        <f t="shared" si="75"/>
        <v>0.0187</v>
      </c>
    </row>
    <row r="71">
      <c r="A71" s="155">
        <v>-33.43795143</v>
      </c>
      <c r="B71" s="155">
        <v>-70.61132569</v>
      </c>
      <c r="C71" s="155" t="s">
        <v>26</v>
      </c>
      <c r="D71" s="247">
        <f t="array" ref="D71">XLOOKUP(C71,'HouseHolds per "comuna"'!$B$2:$B$40,'HouseHolds per "comuna"'!$C$2:$C$40)*0.15</f>
        <v>9332.25</v>
      </c>
      <c r="E71" s="247">
        <f>D71*EOQ!$C$10</f>
        <v>0.933225</v>
      </c>
      <c r="F71" s="247">
        <f>D71*EOQ!$F$10</f>
        <v>0</v>
      </c>
      <c r="G71" s="247">
        <f>D71*EOQ!$G$10</f>
        <v>0</v>
      </c>
      <c r="H71" s="247">
        <f>D71*EOQ!$I$10</f>
        <v>2.799675</v>
      </c>
      <c r="I71" s="247">
        <f>D71*EOQ!$K$10</f>
        <v>0.933225</v>
      </c>
      <c r="J71" s="247">
        <f>D71*EOQ!$M$10</f>
        <v>0</v>
      </c>
      <c r="K71" s="247">
        <f>D71*EOQ!$O$10</f>
        <v>0</v>
      </c>
      <c r="L71" s="247">
        <f>D71*EOQ!$Q$10</f>
        <v>7.4658</v>
      </c>
      <c r="M71" s="247">
        <f>D71*EOQ!$S$10</f>
        <v>146.516325</v>
      </c>
      <c r="N71" s="247">
        <f>D71*EOQ!$U$10</f>
        <v>685.920375</v>
      </c>
      <c r="O71" s="247">
        <f>D71*EOQ!$W$10</f>
        <v>582.3324</v>
      </c>
      <c r="P71" s="247">
        <f>D71*EOQ!$Y$10</f>
        <v>174.513075</v>
      </c>
      <c r="Q71" s="247">
        <f t="shared" si="74"/>
        <v>133.451175</v>
      </c>
      <c r="T71" s="391">
        <f t="shared" ref="T71:AE71" si="76">E71/$D71</f>
        <v>0.0001</v>
      </c>
      <c r="U71" s="391">
        <f t="shared" si="76"/>
        <v>0</v>
      </c>
      <c r="V71" s="391">
        <f t="shared" si="76"/>
        <v>0</v>
      </c>
      <c r="W71" s="391">
        <f t="shared" si="76"/>
        <v>0.0003</v>
      </c>
      <c r="X71" s="391">
        <f t="shared" si="76"/>
        <v>0.0001</v>
      </c>
      <c r="Y71" s="391">
        <f t="shared" si="76"/>
        <v>0</v>
      </c>
      <c r="Z71" s="391">
        <f t="shared" si="76"/>
        <v>0</v>
      </c>
      <c r="AA71" s="391">
        <f t="shared" si="76"/>
        <v>0.0008</v>
      </c>
      <c r="AB71" s="391">
        <f t="shared" si="76"/>
        <v>0.0157</v>
      </c>
      <c r="AC71" s="391">
        <f t="shared" si="76"/>
        <v>0.0735</v>
      </c>
      <c r="AD71" s="391">
        <f t="shared" si="76"/>
        <v>0.0624</v>
      </c>
      <c r="AE71" s="391">
        <f t="shared" si="76"/>
        <v>0.0187</v>
      </c>
    </row>
    <row r="72">
      <c r="A72" s="155">
        <v>-33.38144958</v>
      </c>
      <c r="B72" s="155">
        <v>-70.56353561</v>
      </c>
      <c r="C72" s="155" t="s">
        <v>28</v>
      </c>
      <c r="D72" s="247">
        <f t="array" ref="D72">XLOOKUP(C72,'HouseHolds per "comuna"'!$B$2:$B$40,'HouseHolds per "comuna"'!$C$2:$C$40)*0.15</f>
        <v>4222.35</v>
      </c>
      <c r="E72" s="247">
        <f>D72*EOQ!$C$10</f>
        <v>0.422235</v>
      </c>
      <c r="F72" s="247">
        <f>D72*EOQ!$F$10</f>
        <v>0</v>
      </c>
      <c r="G72" s="247">
        <f>D72*EOQ!$G$10</f>
        <v>0</v>
      </c>
      <c r="H72" s="247">
        <f>D72*EOQ!$I$10</f>
        <v>1.266705</v>
      </c>
      <c r="I72" s="247">
        <f>D72*EOQ!$K$10</f>
        <v>0.422235</v>
      </c>
      <c r="J72" s="247">
        <f>D72*EOQ!$M$10</f>
        <v>0</v>
      </c>
      <c r="K72" s="247">
        <f>D72*EOQ!$O$10</f>
        <v>0</v>
      </c>
      <c r="L72" s="247">
        <f>D72*EOQ!$Q$10</f>
        <v>3.37788</v>
      </c>
      <c r="M72" s="247">
        <f>D72*EOQ!$S$10</f>
        <v>66.290895</v>
      </c>
      <c r="N72" s="247">
        <f>D72*EOQ!$U$10</f>
        <v>310.342725</v>
      </c>
      <c r="O72" s="247">
        <f>D72*EOQ!$W$10</f>
        <v>263.47464</v>
      </c>
      <c r="P72" s="247">
        <f>D72*EOQ!$Y$10</f>
        <v>78.957945</v>
      </c>
      <c r="Q72" s="247">
        <f t="shared" si="74"/>
        <v>60.379605</v>
      </c>
      <c r="T72" s="391">
        <f t="shared" ref="T72:AE72" si="77">E72/$D72</f>
        <v>0.0001</v>
      </c>
      <c r="U72" s="391">
        <f t="shared" si="77"/>
        <v>0</v>
      </c>
      <c r="V72" s="391">
        <f t="shared" si="77"/>
        <v>0</v>
      </c>
      <c r="W72" s="391">
        <f t="shared" si="77"/>
        <v>0.0003</v>
      </c>
      <c r="X72" s="391">
        <f t="shared" si="77"/>
        <v>0.0001</v>
      </c>
      <c r="Y72" s="391">
        <f t="shared" si="77"/>
        <v>0</v>
      </c>
      <c r="Z72" s="391">
        <f t="shared" si="77"/>
        <v>0</v>
      </c>
      <c r="AA72" s="391">
        <f t="shared" si="77"/>
        <v>0.0008</v>
      </c>
      <c r="AB72" s="391">
        <f t="shared" si="77"/>
        <v>0.0157</v>
      </c>
      <c r="AC72" s="391">
        <f t="shared" si="77"/>
        <v>0.0735</v>
      </c>
      <c r="AD72" s="391">
        <f t="shared" si="77"/>
        <v>0.0624</v>
      </c>
      <c r="AE72" s="391">
        <f t="shared" si="77"/>
        <v>0.0187</v>
      </c>
    </row>
    <row r="73">
      <c r="A73" s="155">
        <v>-33.42043054552</v>
      </c>
      <c r="B73" s="155">
        <v>-70.733744571828</v>
      </c>
      <c r="C73" s="155" t="s">
        <v>30</v>
      </c>
      <c r="D73" s="247">
        <f t="array" ref="D73">XLOOKUP(C73,'HouseHolds per "comuna"'!$B$2:$B$40,'HouseHolds per "comuna"'!$C$2:$C$40)*0.15</f>
        <v>5797.65</v>
      </c>
      <c r="E73" s="247">
        <f>D73*EOQ!$C$10</f>
        <v>0.579765</v>
      </c>
      <c r="F73" s="247">
        <f>D73*EOQ!$F$10</f>
        <v>0</v>
      </c>
      <c r="G73" s="247">
        <f>D73*EOQ!$G$10</f>
        <v>0</v>
      </c>
      <c r="H73" s="247">
        <f>D73*EOQ!$I$10</f>
        <v>1.739295</v>
      </c>
      <c r="I73" s="247">
        <f>D73*EOQ!$K$10</f>
        <v>0.579765</v>
      </c>
      <c r="J73" s="247">
        <f>D73*EOQ!$M$10</f>
        <v>0</v>
      </c>
      <c r="K73" s="247">
        <f>D73*EOQ!$O$10</f>
        <v>0</v>
      </c>
      <c r="L73" s="247">
        <f>D73*EOQ!$Q$10</f>
        <v>4.63812</v>
      </c>
      <c r="M73" s="247">
        <f>D73*EOQ!$S$10</f>
        <v>91.023105</v>
      </c>
      <c r="N73" s="247">
        <f>D73*EOQ!$U$10</f>
        <v>426.127275</v>
      </c>
      <c r="O73" s="247">
        <f>D73*EOQ!$W$10</f>
        <v>361.77336</v>
      </c>
      <c r="P73" s="247">
        <f>D73*EOQ!$Y$10</f>
        <v>108.416055</v>
      </c>
      <c r="Q73" s="247">
        <f t="shared" si="74"/>
        <v>82.906395</v>
      </c>
      <c r="T73" s="391">
        <f t="shared" ref="T73:AE73" si="78">E73/$D73</f>
        <v>0.0001</v>
      </c>
      <c r="U73" s="391">
        <f t="shared" si="78"/>
        <v>0</v>
      </c>
      <c r="V73" s="391">
        <f t="shared" si="78"/>
        <v>0</v>
      </c>
      <c r="W73" s="391">
        <f t="shared" si="78"/>
        <v>0.0003</v>
      </c>
      <c r="X73" s="391">
        <f t="shared" si="78"/>
        <v>0.0001</v>
      </c>
      <c r="Y73" s="391">
        <f t="shared" si="78"/>
        <v>0</v>
      </c>
      <c r="Z73" s="391">
        <f t="shared" si="78"/>
        <v>0</v>
      </c>
      <c r="AA73" s="391">
        <f t="shared" si="78"/>
        <v>0.0008</v>
      </c>
      <c r="AB73" s="391">
        <f t="shared" si="78"/>
        <v>0.0157</v>
      </c>
      <c r="AC73" s="391">
        <f t="shared" si="78"/>
        <v>0.0735</v>
      </c>
      <c r="AD73" s="391">
        <f t="shared" si="78"/>
        <v>0.0624</v>
      </c>
      <c r="AE73" s="391">
        <f t="shared" si="78"/>
        <v>0.0187</v>
      </c>
    </row>
    <row r="74">
      <c r="A74" s="155">
        <v>-33.4799485636684</v>
      </c>
      <c r="B74" s="155">
        <v>-70.6611965188523</v>
      </c>
      <c r="C74" s="155" t="s">
        <v>32</v>
      </c>
      <c r="D74" s="247">
        <f t="array" ref="D74">XLOOKUP(C74,'HouseHolds per "comuna"'!$B$2:$B$40,'HouseHolds per "comuna"'!$C$2:$C$40)*0.15</f>
        <v>4488.15</v>
      </c>
      <c r="E74" s="247">
        <f>D74*EOQ!$C$10</f>
        <v>0.448815</v>
      </c>
      <c r="F74" s="247">
        <f>D74*EOQ!$F$10</f>
        <v>0</v>
      </c>
      <c r="G74" s="247">
        <f>D74*EOQ!$G$10</f>
        <v>0</v>
      </c>
      <c r="H74" s="247">
        <f>D74*EOQ!$I$10</f>
        <v>1.346445</v>
      </c>
      <c r="I74" s="247">
        <f>D74*EOQ!$K$10</f>
        <v>0.448815</v>
      </c>
      <c r="J74" s="247">
        <f>D74*EOQ!$M$10</f>
        <v>0</v>
      </c>
      <c r="K74" s="247">
        <f>D74*EOQ!$O$10</f>
        <v>0</v>
      </c>
      <c r="L74" s="247">
        <f>D74*EOQ!$Q$10</f>
        <v>3.59052</v>
      </c>
      <c r="M74" s="247">
        <f>D74*EOQ!$S$10</f>
        <v>70.463955</v>
      </c>
      <c r="N74" s="247">
        <f>D74*EOQ!$U$10</f>
        <v>329.879025</v>
      </c>
      <c r="O74" s="247">
        <f>D74*EOQ!$W$10</f>
        <v>280.06056</v>
      </c>
      <c r="P74" s="247">
        <f>D74*EOQ!$Y$10</f>
        <v>83.928405</v>
      </c>
      <c r="Q74" s="247">
        <f t="shared" si="74"/>
        <v>64.180545</v>
      </c>
      <c r="T74" s="391">
        <f t="shared" ref="T74:AE74" si="79">E74/$D74</f>
        <v>0.0001</v>
      </c>
      <c r="U74" s="391">
        <f t="shared" si="79"/>
        <v>0</v>
      </c>
      <c r="V74" s="391">
        <f t="shared" si="79"/>
        <v>0</v>
      </c>
      <c r="W74" s="391">
        <f t="shared" si="79"/>
        <v>0.0003</v>
      </c>
      <c r="X74" s="391">
        <f t="shared" si="79"/>
        <v>0.0001</v>
      </c>
      <c r="Y74" s="391">
        <f t="shared" si="79"/>
        <v>0</v>
      </c>
      <c r="Z74" s="391">
        <f t="shared" si="79"/>
        <v>0</v>
      </c>
      <c r="AA74" s="391">
        <f t="shared" si="79"/>
        <v>0.0008</v>
      </c>
      <c r="AB74" s="391">
        <f t="shared" si="79"/>
        <v>0.0157</v>
      </c>
      <c r="AC74" s="391">
        <f t="shared" si="79"/>
        <v>0.0735</v>
      </c>
      <c r="AD74" s="391">
        <f t="shared" si="79"/>
        <v>0.0624</v>
      </c>
      <c r="AE74" s="391">
        <f t="shared" si="79"/>
        <v>0.0187</v>
      </c>
    </row>
    <row r="75">
      <c r="A75" s="155">
        <v>-33.5669161134897</v>
      </c>
      <c r="B75" s="155">
        <v>-70.6821206157262</v>
      </c>
      <c r="C75" s="155" t="s">
        <v>34</v>
      </c>
      <c r="D75" s="247">
        <f t="array" ref="D75">XLOOKUP(C75,'HouseHolds per "comuna"'!$B$2:$B$40,'HouseHolds per "comuna"'!$C$2:$C$40)*0.15</f>
        <v>7107.6</v>
      </c>
      <c r="E75" s="247">
        <f>D75*EOQ!$C$10</f>
        <v>0.71076</v>
      </c>
      <c r="F75" s="247">
        <f>D75*EOQ!$F$10</f>
        <v>0</v>
      </c>
      <c r="G75" s="247">
        <f>D75*EOQ!$G$10</f>
        <v>0</v>
      </c>
      <c r="H75" s="247">
        <f>D75*EOQ!$I$10</f>
        <v>2.13228</v>
      </c>
      <c r="I75" s="247">
        <f>D75*EOQ!$K$10</f>
        <v>0.71076</v>
      </c>
      <c r="J75" s="247">
        <f>D75*EOQ!$M$10</f>
        <v>0</v>
      </c>
      <c r="K75" s="247">
        <f>D75*EOQ!$O$10</f>
        <v>0</v>
      </c>
      <c r="L75" s="247">
        <f>D75*EOQ!$Q$10</f>
        <v>5.68608</v>
      </c>
      <c r="M75" s="247">
        <f>D75*EOQ!$S$10</f>
        <v>111.58932</v>
      </c>
      <c r="N75" s="247">
        <f>D75*EOQ!$U$10</f>
        <v>522.4086</v>
      </c>
      <c r="O75" s="247">
        <f>D75*EOQ!$W$10</f>
        <v>443.51424</v>
      </c>
      <c r="P75" s="247">
        <f>D75*EOQ!$Y$10</f>
        <v>132.91212</v>
      </c>
      <c r="Q75" s="247">
        <f t="shared" si="74"/>
        <v>101.63868</v>
      </c>
      <c r="T75" s="391">
        <f t="shared" ref="T75:AE75" si="80">E75/$D75</f>
        <v>0.0001</v>
      </c>
      <c r="U75" s="391">
        <f t="shared" si="80"/>
        <v>0</v>
      </c>
      <c r="V75" s="391">
        <f t="shared" si="80"/>
        <v>0</v>
      </c>
      <c r="W75" s="391">
        <f t="shared" si="80"/>
        <v>0.0003</v>
      </c>
      <c r="X75" s="391">
        <f t="shared" si="80"/>
        <v>0.0001</v>
      </c>
      <c r="Y75" s="391">
        <f t="shared" si="80"/>
        <v>0</v>
      </c>
      <c r="Z75" s="391">
        <f t="shared" si="80"/>
        <v>0</v>
      </c>
      <c r="AA75" s="391">
        <f t="shared" si="80"/>
        <v>0.0008</v>
      </c>
      <c r="AB75" s="391">
        <f t="shared" si="80"/>
        <v>0.0157</v>
      </c>
      <c r="AC75" s="391">
        <f t="shared" si="80"/>
        <v>0.0735</v>
      </c>
      <c r="AD75" s="391">
        <f t="shared" si="80"/>
        <v>0.0624</v>
      </c>
      <c r="AE75" s="391">
        <f t="shared" si="80"/>
        <v>0.0187</v>
      </c>
    </row>
    <row r="76">
      <c r="A76" s="155">
        <v>-33.5225565127023</v>
      </c>
      <c r="B76" s="155">
        <v>-70.7721740162419</v>
      </c>
      <c r="C76" s="155" t="s">
        <v>36</v>
      </c>
      <c r="D76" s="247">
        <f t="array" ref="D76">XLOOKUP(C76,'HouseHolds per "comuna"'!$B$2:$B$40,'HouseHolds per "comuna"'!$C$2:$C$40)*0.15</f>
        <v>23308.65</v>
      </c>
      <c r="E76" s="247">
        <f>D76*EOQ!$C$10</f>
        <v>2.330865</v>
      </c>
      <c r="F76" s="247">
        <f>D76*EOQ!$F$10</f>
        <v>0</v>
      </c>
      <c r="G76" s="247">
        <f>D76*EOQ!$G$10</f>
        <v>0</v>
      </c>
      <c r="H76" s="247">
        <f>D76*EOQ!$I$10</f>
        <v>6.992595</v>
      </c>
      <c r="I76" s="247">
        <f>D76*EOQ!$K$10</f>
        <v>2.330865</v>
      </c>
      <c r="J76" s="247">
        <f>D76*EOQ!$M$10</f>
        <v>0</v>
      </c>
      <c r="K76" s="247">
        <f>D76*EOQ!$O$10</f>
        <v>0</v>
      </c>
      <c r="L76" s="247">
        <f>D76*EOQ!$Q$10</f>
        <v>18.64692</v>
      </c>
      <c r="M76" s="247">
        <f>D76*EOQ!$S$10</f>
        <v>365.945805</v>
      </c>
      <c r="N76" s="247">
        <f>D76*EOQ!$U$10</f>
        <v>1713.185775</v>
      </c>
      <c r="O76" s="247">
        <f>D76*EOQ!$W$10</f>
        <v>1454.45976</v>
      </c>
      <c r="P76" s="247">
        <f>D76*EOQ!$Y$10</f>
        <v>435.871755</v>
      </c>
      <c r="Q76" s="247">
        <f t="shared" si="74"/>
        <v>333.313695</v>
      </c>
      <c r="T76" s="391">
        <f t="shared" ref="T76:AE76" si="81">E76/$D76</f>
        <v>0.0001</v>
      </c>
      <c r="U76" s="391">
        <f t="shared" si="81"/>
        <v>0</v>
      </c>
      <c r="V76" s="391">
        <f t="shared" si="81"/>
        <v>0</v>
      </c>
      <c r="W76" s="391">
        <f t="shared" si="81"/>
        <v>0.0003</v>
      </c>
      <c r="X76" s="391">
        <f t="shared" si="81"/>
        <v>0.0001</v>
      </c>
      <c r="Y76" s="391">
        <f t="shared" si="81"/>
        <v>0</v>
      </c>
      <c r="Z76" s="391">
        <f t="shared" si="81"/>
        <v>0</v>
      </c>
      <c r="AA76" s="391">
        <f t="shared" si="81"/>
        <v>0.0008</v>
      </c>
      <c r="AB76" s="391">
        <f t="shared" si="81"/>
        <v>0.0157</v>
      </c>
      <c r="AC76" s="391">
        <f t="shared" si="81"/>
        <v>0.0735</v>
      </c>
      <c r="AD76" s="391">
        <f t="shared" si="81"/>
        <v>0.0624</v>
      </c>
      <c r="AE76" s="391">
        <f t="shared" si="81"/>
        <v>0.0187</v>
      </c>
    </row>
    <row r="77">
      <c r="A77" s="155">
        <v>-33.5389061820572</v>
      </c>
      <c r="B77" s="155">
        <v>-70.5892347989387</v>
      </c>
      <c r="C77" s="155" t="s">
        <v>38</v>
      </c>
      <c r="D77" s="247">
        <f t="array" ref="D77">XLOOKUP(C77,'HouseHolds per "comuna"'!$B$2:$B$40,'HouseHolds per "comuna"'!$C$2:$C$40)*0.15</f>
        <v>17274.15</v>
      </c>
      <c r="E77" s="247">
        <f>D77*EOQ!$C$10</f>
        <v>1.727415</v>
      </c>
      <c r="F77" s="247">
        <f>D77*EOQ!$F$10</f>
        <v>0</v>
      </c>
      <c r="G77" s="247">
        <f>D77*EOQ!$G$10</f>
        <v>0</v>
      </c>
      <c r="H77" s="247">
        <f>D77*EOQ!$I$10</f>
        <v>5.182245</v>
      </c>
      <c r="I77" s="247">
        <f>D77*EOQ!$K$10</f>
        <v>1.727415</v>
      </c>
      <c r="J77" s="247">
        <f>D77*EOQ!$M$10</f>
        <v>0</v>
      </c>
      <c r="K77" s="247">
        <f>D77*EOQ!$O$10</f>
        <v>0</v>
      </c>
      <c r="L77" s="247">
        <f>D77*EOQ!$Q$10</f>
        <v>13.81932</v>
      </c>
      <c r="M77" s="247">
        <f>D77*EOQ!$S$10</f>
        <v>271.204155</v>
      </c>
      <c r="N77" s="247">
        <f>D77*EOQ!$U$10</f>
        <v>1269.650025</v>
      </c>
      <c r="O77" s="247">
        <f>D77*EOQ!$W$10</f>
        <v>1077.90696</v>
      </c>
      <c r="P77" s="247">
        <f>D77*EOQ!$Y$10</f>
        <v>323.026605</v>
      </c>
      <c r="Q77" s="247">
        <f t="shared" si="74"/>
        <v>247.020345</v>
      </c>
      <c r="T77" s="391">
        <f t="shared" ref="T77:AE77" si="82">E77/$D77</f>
        <v>0.0001</v>
      </c>
      <c r="U77" s="391">
        <f t="shared" si="82"/>
        <v>0</v>
      </c>
      <c r="V77" s="391">
        <f t="shared" si="82"/>
        <v>0</v>
      </c>
      <c r="W77" s="391">
        <f t="shared" si="82"/>
        <v>0.0003</v>
      </c>
      <c r="X77" s="391">
        <f t="shared" si="82"/>
        <v>0.0001</v>
      </c>
      <c r="Y77" s="391">
        <f t="shared" si="82"/>
        <v>0</v>
      </c>
      <c r="Z77" s="391">
        <f t="shared" si="82"/>
        <v>0</v>
      </c>
      <c r="AA77" s="391">
        <f t="shared" si="82"/>
        <v>0.0008</v>
      </c>
      <c r="AB77" s="391">
        <f t="shared" si="82"/>
        <v>0.0157</v>
      </c>
      <c r="AC77" s="391">
        <f t="shared" si="82"/>
        <v>0.0735</v>
      </c>
      <c r="AD77" s="391">
        <f t="shared" si="82"/>
        <v>0.0624</v>
      </c>
      <c r="AE77" s="391">
        <f t="shared" si="82"/>
        <v>0.0187</v>
      </c>
    </row>
    <row r="78">
      <c r="A78" s="386"/>
      <c r="B78" s="386"/>
      <c r="C78" s="386"/>
      <c r="D78" s="247"/>
      <c r="E78" s="247">
        <f t="shared" ref="E78:Q78" si="83">SUM(E69:E77)</f>
        <v>9.15657</v>
      </c>
      <c r="F78" s="247">
        <f t="shared" si="83"/>
        <v>0</v>
      </c>
      <c r="G78" s="247">
        <f t="shared" si="83"/>
        <v>0</v>
      </c>
      <c r="H78" s="247">
        <f t="shared" si="83"/>
        <v>27.46971</v>
      </c>
      <c r="I78" s="247">
        <f t="shared" si="83"/>
        <v>9.15657</v>
      </c>
      <c r="J78" s="247">
        <f t="shared" si="83"/>
        <v>0</v>
      </c>
      <c r="K78" s="247">
        <f t="shared" si="83"/>
        <v>0</v>
      </c>
      <c r="L78" s="247">
        <f t="shared" si="83"/>
        <v>73.25256</v>
      </c>
      <c r="M78" s="247">
        <f t="shared" si="83"/>
        <v>1437.58149</v>
      </c>
      <c r="N78" s="247">
        <f t="shared" si="83"/>
        <v>6730.07895</v>
      </c>
      <c r="O78" s="247">
        <f t="shared" si="83"/>
        <v>5713.69968</v>
      </c>
      <c r="P78" s="247">
        <f t="shared" si="83"/>
        <v>1712.27859</v>
      </c>
      <c r="Q78" s="247">
        <f t="shared" si="83"/>
        <v>1309.38951</v>
      </c>
      <c r="R78" s="247">
        <f>MAX(E78:P78)</f>
        <v>6730.07895</v>
      </c>
      <c r="T78" s="391">
        <f t="shared" ref="T78:AE78" si="84">SUM(T69:T77)</f>
        <v>0.0009</v>
      </c>
      <c r="U78" s="391">
        <f t="shared" si="84"/>
        <v>0</v>
      </c>
      <c r="V78" s="391">
        <f t="shared" si="84"/>
        <v>0</v>
      </c>
      <c r="W78" s="391">
        <f t="shared" si="84"/>
        <v>0.0027</v>
      </c>
      <c r="X78" s="391">
        <f t="shared" si="84"/>
        <v>0.0009</v>
      </c>
      <c r="Y78" s="391">
        <f t="shared" si="84"/>
        <v>0</v>
      </c>
      <c r="Z78" s="391">
        <f t="shared" si="84"/>
        <v>0</v>
      </c>
      <c r="AA78" s="391">
        <f t="shared" si="84"/>
        <v>0.0072</v>
      </c>
      <c r="AB78" s="391">
        <f t="shared" si="84"/>
        <v>0.1413</v>
      </c>
      <c r="AC78" s="391">
        <f t="shared" si="84"/>
        <v>0.6615</v>
      </c>
      <c r="AD78" s="391">
        <f t="shared" si="84"/>
        <v>0.5616</v>
      </c>
      <c r="AE78" s="391">
        <f t="shared" si="84"/>
        <v>0.1683</v>
      </c>
    </row>
    <row r="79">
      <c r="A79" s="386"/>
      <c r="B79" s="386"/>
      <c r="C79" s="386" t="s">
        <v>35</v>
      </c>
      <c r="D79" s="247"/>
      <c r="E79" s="247"/>
      <c r="F79" s="247"/>
      <c r="G79" s="247"/>
      <c r="H79" s="247"/>
      <c r="I79" s="247"/>
      <c r="J79" s="247"/>
      <c r="K79" s="247"/>
      <c r="L79" s="247"/>
      <c r="M79" s="247"/>
      <c r="N79" s="247"/>
      <c r="O79" s="247"/>
      <c r="P79" s="247"/>
      <c r="T79" s="391"/>
      <c r="U79" s="391"/>
      <c r="V79" s="391"/>
      <c r="W79" s="391"/>
      <c r="X79" s="391"/>
      <c r="Y79" s="391"/>
      <c r="Z79" s="391"/>
      <c r="AA79" s="391"/>
      <c r="AB79" s="391"/>
      <c r="AC79" s="391"/>
      <c r="AD79" s="391"/>
      <c r="AE79" s="391"/>
    </row>
    <row r="80">
      <c r="A80" s="155">
        <v>-33.34335643</v>
      </c>
      <c r="B80" s="155">
        <v>-70.52466882</v>
      </c>
      <c r="C80" s="155" t="s">
        <v>22</v>
      </c>
      <c r="D80" s="247">
        <f t="array" ref="D80">XLOOKUP(C80,'HouseHolds per "comuna"'!$B$2:$B$40,'HouseHolds per "comuna"'!$C$2:$C$40)*0.15</f>
        <v>4034.1</v>
      </c>
      <c r="E80" s="247">
        <f>D80*EOQ!$C$11</f>
        <v>4679.15259</v>
      </c>
      <c r="F80" s="247">
        <f>D80*EOQ!$F$11</f>
        <v>4302.968089</v>
      </c>
      <c r="G80" s="247">
        <f>D80*EOQ!$G$11</f>
        <v>5709.05832</v>
      </c>
      <c r="H80" s="247">
        <f>D80*EOQ!$I$11</f>
        <v>5167.6821</v>
      </c>
      <c r="I80" s="247">
        <f>D80*EOQ!$K$11</f>
        <v>5547.69432</v>
      </c>
      <c r="J80" s="247">
        <f>D80*EOQ!$M$11</f>
        <v>5620.71153</v>
      </c>
      <c r="K80" s="247">
        <f>D80*EOQ!$O$11</f>
        <v>5247.15387</v>
      </c>
      <c r="L80" s="247">
        <f>D80*EOQ!$Q$11</f>
        <v>5206.40946</v>
      </c>
      <c r="M80" s="247">
        <f>D80*EOQ!$S$11</f>
        <v>4026.83862</v>
      </c>
      <c r="N80" s="247">
        <f>D80*EOQ!$U$11</f>
        <v>3799.71879</v>
      </c>
      <c r="O80" s="247">
        <f>D80*EOQ!$W$11</f>
        <v>4129.70817</v>
      </c>
      <c r="P80" s="247">
        <f>D80*EOQ!$Y$11</f>
        <v>3786.00285</v>
      </c>
      <c r="Q80" s="247">
        <f t="shared" ref="Q80:Q88" si="86">AVERAGE(E80:P80)</f>
        <v>4768.591559</v>
      </c>
      <c r="T80" s="391">
        <f t="shared" ref="T80:AE80" si="85">E80/$D80</f>
        <v>1.1599</v>
      </c>
      <c r="U80" s="391">
        <f t="shared" si="85"/>
        <v>1.066648841</v>
      </c>
      <c r="V80" s="391">
        <f t="shared" si="85"/>
        <v>1.4152</v>
      </c>
      <c r="W80" s="391">
        <f t="shared" si="85"/>
        <v>1.281</v>
      </c>
      <c r="X80" s="391">
        <f t="shared" si="85"/>
        <v>1.3752</v>
      </c>
      <c r="Y80" s="391">
        <f t="shared" si="85"/>
        <v>1.3933</v>
      </c>
      <c r="Z80" s="391">
        <f t="shared" si="85"/>
        <v>1.3007</v>
      </c>
      <c r="AA80" s="391">
        <f t="shared" si="85"/>
        <v>1.2906</v>
      </c>
      <c r="AB80" s="391">
        <f t="shared" si="85"/>
        <v>0.9982</v>
      </c>
      <c r="AC80" s="391">
        <f t="shared" si="85"/>
        <v>0.9419</v>
      </c>
      <c r="AD80" s="391">
        <f t="shared" si="85"/>
        <v>1.0237</v>
      </c>
      <c r="AE80" s="391">
        <f t="shared" si="85"/>
        <v>0.9385</v>
      </c>
    </row>
    <row r="81">
      <c r="A81" s="155">
        <v>-33.42627012</v>
      </c>
      <c r="B81" s="155">
        <v>-70.54486003</v>
      </c>
      <c r="C81" s="155" t="s">
        <v>24</v>
      </c>
      <c r="D81" s="247">
        <f t="array" ref="D81">XLOOKUP(C81,'HouseHolds per "comuna"'!$B$2:$B$40,'HouseHolds per "comuna"'!$C$2:$C$40)*0.15</f>
        <v>16000.8</v>
      </c>
      <c r="E81" s="247">
        <f>D81*EOQ!$C$11</f>
        <v>18559.32792</v>
      </c>
      <c r="F81" s="247">
        <f>D81*EOQ!$F$11</f>
        <v>17067.23478</v>
      </c>
      <c r="G81" s="247">
        <f>D81*EOQ!$G$11</f>
        <v>22644.33216</v>
      </c>
      <c r="H81" s="247">
        <f>D81*EOQ!$I$11</f>
        <v>20497.0248</v>
      </c>
      <c r="I81" s="247">
        <f>D81*EOQ!$K$11</f>
        <v>22004.30016</v>
      </c>
      <c r="J81" s="247">
        <f>D81*EOQ!$M$11</f>
        <v>22293.91464</v>
      </c>
      <c r="K81" s="247">
        <f>D81*EOQ!$O$11</f>
        <v>20812.24056</v>
      </c>
      <c r="L81" s="247">
        <f>D81*EOQ!$Q$11</f>
        <v>20650.63248</v>
      </c>
      <c r="M81" s="247">
        <f>D81*EOQ!$S$11</f>
        <v>15971.99856</v>
      </c>
      <c r="N81" s="247">
        <f>D81*EOQ!$U$11</f>
        <v>15071.15352</v>
      </c>
      <c r="O81" s="247">
        <f>D81*EOQ!$W$11</f>
        <v>16380.01896</v>
      </c>
      <c r="P81" s="247">
        <f>D81*EOQ!$Y$11</f>
        <v>15016.7508</v>
      </c>
      <c r="Q81" s="247">
        <f t="shared" si="86"/>
        <v>18914.07744</v>
      </c>
      <c r="T81" s="391">
        <f t="shared" ref="T81:AE81" si="87">E81/$D81</f>
        <v>1.1599</v>
      </c>
      <c r="U81" s="391">
        <f t="shared" si="87"/>
        <v>1.066648841</v>
      </c>
      <c r="V81" s="391">
        <f t="shared" si="87"/>
        <v>1.4152</v>
      </c>
      <c r="W81" s="391">
        <f t="shared" si="87"/>
        <v>1.281</v>
      </c>
      <c r="X81" s="391">
        <f t="shared" si="87"/>
        <v>1.3752</v>
      </c>
      <c r="Y81" s="391">
        <f t="shared" si="87"/>
        <v>1.3933</v>
      </c>
      <c r="Z81" s="391">
        <f t="shared" si="87"/>
        <v>1.3007</v>
      </c>
      <c r="AA81" s="391">
        <f t="shared" si="87"/>
        <v>1.2906</v>
      </c>
      <c r="AB81" s="391">
        <f t="shared" si="87"/>
        <v>0.9982</v>
      </c>
      <c r="AC81" s="391">
        <f t="shared" si="87"/>
        <v>0.9419</v>
      </c>
      <c r="AD81" s="391">
        <f t="shared" si="87"/>
        <v>1.0237</v>
      </c>
      <c r="AE81" s="391">
        <f t="shared" si="87"/>
        <v>0.9385</v>
      </c>
    </row>
    <row r="82">
      <c r="A82" s="155">
        <v>-33.43795143</v>
      </c>
      <c r="B82" s="155">
        <v>-70.61132569</v>
      </c>
      <c r="C82" s="155" t="s">
        <v>26</v>
      </c>
      <c r="D82" s="247">
        <f t="array" ref="D82">XLOOKUP(C82,'HouseHolds per "comuna"'!$B$2:$B$40,'HouseHolds per "comuna"'!$C$2:$C$40)*0.15</f>
        <v>9332.25</v>
      </c>
      <c r="E82" s="247">
        <f>D82*EOQ!$C$11</f>
        <v>10824.47678</v>
      </c>
      <c r="F82" s="247">
        <f>D82*EOQ!$F$11</f>
        <v>9954.233646</v>
      </c>
      <c r="G82" s="247">
        <f>D82*EOQ!$G$11</f>
        <v>13207.0002</v>
      </c>
      <c r="H82" s="247">
        <f>D82*EOQ!$I$11</f>
        <v>11954.61225</v>
      </c>
      <c r="I82" s="247">
        <f>D82*EOQ!$K$11</f>
        <v>12833.7102</v>
      </c>
      <c r="J82" s="247">
        <f>D82*EOQ!$M$11</f>
        <v>13002.62393</v>
      </c>
      <c r="K82" s="247">
        <f>D82*EOQ!$O$11</f>
        <v>12138.45758</v>
      </c>
      <c r="L82" s="247">
        <f>D82*EOQ!$Q$11</f>
        <v>12044.20185</v>
      </c>
      <c r="M82" s="247">
        <f>D82*EOQ!$S$11</f>
        <v>9315.45195</v>
      </c>
      <c r="N82" s="247">
        <f>D82*EOQ!$U$11</f>
        <v>8790.046275</v>
      </c>
      <c r="O82" s="247">
        <f>D82*EOQ!$W$11</f>
        <v>9553.424325</v>
      </c>
      <c r="P82" s="247">
        <f>D82*EOQ!$Y$11</f>
        <v>8758.316625</v>
      </c>
      <c r="Q82" s="247">
        <f t="shared" si="86"/>
        <v>11031.37963</v>
      </c>
      <c r="T82" s="391">
        <f t="shared" ref="T82:AE82" si="88">E82/$D82</f>
        <v>1.1599</v>
      </c>
      <c r="U82" s="391">
        <f t="shared" si="88"/>
        <v>1.066648841</v>
      </c>
      <c r="V82" s="391">
        <f t="shared" si="88"/>
        <v>1.4152</v>
      </c>
      <c r="W82" s="391">
        <f t="shared" si="88"/>
        <v>1.281</v>
      </c>
      <c r="X82" s="391">
        <f t="shared" si="88"/>
        <v>1.3752</v>
      </c>
      <c r="Y82" s="391">
        <f t="shared" si="88"/>
        <v>1.3933</v>
      </c>
      <c r="Z82" s="391">
        <f t="shared" si="88"/>
        <v>1.3007</v>
      </c>
      <c r="AA82" s="391">
        <f t="shared" si="88"/>
        <v>1.2906</v>
      </c>
      <c r="AB82" s="391">
        <f t="shared" si="88"/>
        <v>0.9982</v>
      </c>
      <c r="AC82" s="391">
        <f t="shared" si="88"/>
        <v>0.9419</v>
      </c>
      <c r="AD82" s="391">
        <f t="shared" si="88"/>
        <v>1.0237</v>
      </c>
      <c r="AE82" s="391">
        <f t="shared" si="88"/>
        <v>0.9385</v>
      </c>
    </row>
    <row r="83">
      <c r="A83" s="155">
        <v>-33.38144958</v>
      </c>
      <c r="B83" s="155">
        <v>-70.56353561</v>
      </c>
      <c r="C83" s="155" t="s">
        <v>28</v>
      </c>
      <c r="D83" s="247">
        <f t="array" ref="D83">XLOOKUP(C83,'HouseHolds per "comuna"'!$B$2:$B$40,'HouseHolds per "comuna"'!$C$2:$C$40)*0.15</f>
        <v>4222.35</v>
      </c>
      <c r="E83" s="247">
        <f>D83*EOQ!$C$11</f>
        <v>4897.503765</v>
      </c>
      <c r="F83" s="247">
        <f>D83*EOQ!$F$11</f>
        <v>4503.764734</v>
      </c>
      <c r="G83" s="247">
        <f>D83*EOQ!$G$11</f>
        <v>5975.46972</v>
      </c>
      <c r="H83" s="247">
        <f>D83*EOQ!$I$11</f>
        <v>5408.83035</v>
      </c>
      <c r="I83" s="247">
        <f>D83*EOQ!$K$11</f>
        <v>5806.57572</v>
      </c>
      <c r="J83" s="247">
        <f>D83*EOQ!$M$11</f>
        <v>5883.000255</v>
      </c>
      <c r="K83" s="247">
        <f>D83*EOQ!$O$11</f>
        <v>5492.010645</v>
      </c>
      <c r="L83" s="247">
        <f>D83*EOQ!$Q$11</f>
        <v>5449.36491</v>
      </c>
      <c r="M83" s="247">
        <f>D83*EOQ!$S$11</f>
        <v>4214.74977</v>
      </c>
      <c r="N83" s="247">
        <f>D83*EOQ!$U$11</f>
        <v>3977.031465</v>
      </c>
      <c r="O83" s="247">
        <f>D83*EOQ!$W$11</f>
        <v>4322.419695</v>
      </c>
      <c r="P83" s="247">
        <f>D83*EOQ!$Y$11</f>
        <v>3962.675475</v>
      </c>
      <c r="Q83" s="247">
        <f t="shared" si="86"/>
        <v>4991.116375</v>
      </c>
      <c r="T83" s="391">
        <f t="shared" ref="T83:AE83" si="89">E83/$D83</f>
        <v>1.1599</v>
      </c>
      <c r="U83" s="391">
        <f t="shared" si="89"/>
        <v>1.066648841</v>
      </c>
      <c r="V83" s="391">
        <f t="shared" si="89"/>
        <v>1.4152</v>
      </c>
      <c r="W83" s="391">
        <f t="shared" si="89"/>
        <v>1.281</v>
      </c>
      <c r="X83" s="391">
        <f t="shared" si="89"/>
        <v>1.3752</v>
      </c>
      <c r="Y83" s="391">
        <f t="shared" si="89"/>
        <v>1.3933</v>
      </c>
      <c r="Z83" s="391">
        <f t="shared" si="89"/>
        <v>1.3007</v>
      </c>
      <c r="AA83" s="391">
        <f t="shared" si="89"/>
        <v>1.2906</v>
      </c>
      <c r="AB83" s="391">
        <f t="shared" si="89"/>
        <v>0.9982</v>
      </c>
      <c r="AC83" s="391">
        <f t="shared" si="89"/>
        <v>0.9419</v>
      </c>
      <c r="AD83" s="391">
        <f t="shared" si="89"/>
        <v>1.0237</v>
      </c>
      <c r="AE83" s="391">
        <f t="shared" si="89"/>
        <v>0.9385</v>
      </c>
    </row>
    <row r="84">
      <c r="A84" s="155">
        <v>-33.42043054552</v>
      </c>
      <c r="B84" s="155">
        <v>-70.733744571828</v>
      </c>
      <c r="C84" s="155" t="s">
        <v>30</v>
      </c>
      <c r="D84" s="247">
        <f t="array" ref="D84">XLOOKUP(C84,'HouseHolds per "comuna"'!$B$2:$B$40,'HouseHolds per "comuna"'!$C$2:$C$40)*0.15</f>
        <v>5797.65</v>
      </c>
      <c r="E84" s="247">
        <f>D84*EOQ!$C$11</f>
        <v>6724.694235</v>
      </c>
      <c r="F84" s="247">
        <f>D84*EOQ!$F$11</f>
        <v>6184.056653</v>
      </c>
      <c r="G84" s="247">
        <f>D84*EOQ!$G$11</f>
        <v>8204.83428</v>
      </c>
      <c r="H84" s="247">
        <f>D84*EOQ!$I$11</f>
        <v>7426.78965</v>
      </c>
      <c r="I84" s="247">
        <f>D84*EOQ!$K$11</f>
        <v>7972.92828</v>
      </c>
      <c r="J84" s="247">
        <f>D84*EOQ!$M$11</f>
        <v>8077.865745</v>
      </c>
      <c r="K84" s="247">
        <f>D84*EOQ!$O$11</f>
        <v>7541.003355</v>
      </c>
      <c r="L84" s="247">
        <f>D84*EOQ!$Q$11</f>
        <v>7482.44709</v>
      </c>
      <c r="M84" s="247">
        <f>D84*EOQ!$S$11</f>
        <v>5787.21423</v>
      </c>
      <c r="N84" s="247">
        <f>D84*EOQ!$U$11</f>
        <v>5460.806535</v>
      </c>
      <c r="O84" s="247">
        <f>D84*EOQ!$W$11</f>
        <v>5935.054305</v>
      </c>
      <c r="P84" s="247">
        <f>D84*EOQ!$Y$11</f>
        <v>5441.094525</v>
      </c>
      <c r="Q84" s="247">
        <f t="shared" si="86"/>
        <v>6853.232407</v>
      </c>
      <c r="T84" s="391">
        <f t="shared" ref="T84:AE84" si="90">E84/$D84</f>
        <v>1.1599</v>
      </c>
      <c r="U84" s="391">
        <f t="shared" si="90"/>
        <v>1.066648841</v>
      </c>
      <c r="V84" s="391">
        <f t="shared" si="90"/>
        <v>1.4152</v>
      </c>
      <c r="W84" s="391">
        <f t="shared" si="90"/>
        <v>1.281</v>
      </c>
      <c r="X84" s="391">
        <f t="shared" si="90"/>
        <v>1.3752</v>
      </c>
      <c r="Y84" s="391">
        <f t="shared" si="90"/>
        <v>1.3933</v>
      </c>
      <c r="Z84" s="391">
        <f t="shared" si="90"/>
        <v>1.3007</v>
      </c>
      <c r="AA84" s="391">
        <f t="shared" si="90"/>
        <v>1.2906</v>
      </c>
      <c r="AB84" s="391">
        <f t="shared" si="90"/>
        <v>0.9982</v>
      </c>
      <c r="AC84" s="391">
        <f t="shared" si="90"/>
        <v>0.9419</v>
      </c>
      <c r="AD84" s="391">
        <f t="shared" si="90"/>
        <v>1.0237</v>
      </c>
      <c r="AE84" s="391">
        <f t="shared" si="90"/>
        <v>0.9385</v>
      </c>
    </row>
    <row r="85">
      <c r="A85" s="155">
        <v>-33.4799485636684</v>
      </c>
      <c r="B85" s="155">
        <v>-70.6611965188523</v>
      </c>
      <c r="C85" s="155" t="s">
        <v>32</v>
      </c>
      <c r="D85" s="247">
        <f t="array" ref="D85">XLOOKUP(C85,'HouseHolds per "comuna"'!$B$2:$B$40,'HouseHolds per "comuna"'!$C$2:$C$40)*0.15</f>
        <v>4488.15</v>
      </c>
      <c r="E85" s="247">
        <f>D85*EOQ!$C$11</f>
        <v>5205.805185</v>
      </c>
      <c r="F85" s="247">
        <f>D85*EOQ!$F$11</f>
        <v>4787.279996</v>
      </c>
      <c r="G85" s="247">
        <f>D85*EOQ!$G$11</f>
        <v>6351.62988</v>
      </c>
      <c r="H85" s="247">
        <f>D85*EOQ!$I$11</f>
        <v>5749.32015</v>
      </c>
      <c r="I85" s="247">
        <f>D85*EOQ!$K$11</f>
        <v>6172.10388</v>
      </c>
      <c r="J85" s="247">
        <f>D85*EOQ!$M$11</f>
        <v>6253.339395</v>
      </c>
      <c r="K85" s="247">
        <f>D85*EOQ!$O$11</f>
        <v>5837.736705</v>
      </c>
      <c r="L85" s="247">
        <f>D85*EOQ!$Q$11</f>
        <v>5792.40639</v>
      </c>
      <c r="M85" s="247">
        <f>D85*EOQ!$S$11</f>
        <v>4480.07133</v>
      </c>
      <c r="N85" s="247">
        <f>D85*EOQ!$U$11</f>
        <v>4227.388485</v>
      </c>
      <c r="O85" s="247">
        <f>D85*EOQ!$W$11</f>
        <v>4594.519155</v>
      </c>
      <c r="P85" s="247">
        <f>D85*EOQ!$Y$11</f>
        <v>4212.128775</v>
      </c>
      <c r="Q85" s="247">
        <f t="shared" si="86"/>
        <v>5305.310777</v>
      </c>
      <c r="T85" s="391">
        <f t="shared" ref="T85:AE85" si="91">E85/$D85</f>
        <v>1.1599</v>
      </c>
      <c r="U85" s="391">
        <f t="shared" si="91"/>
        <v>1.066648841</v>
      </c>
      <c r="V85" s="391">
        <f t="shared" si="91"/>
        <v>1.4152</v>
      </c>
      <c r="W85" s="391">
        <f t="shared" si="91"/>
        <v>1.281</v>
      </c>
      <c r="X85" s="391">
        <f t="shared" si="91"/>
        <v>1.3752</v>
      </c>
      <c r="Y85" s="391">
        <f t="shared" si="91"/>
        <v>1.3933</v>
      </c>
      <c r="Z85" s="391">
        <f t="shared" si="91"/>
        <v>1.3007</v>
      </c>
      <c r="AA85" s="391">
        <f t="shared" si="91"/>
        <v>1.2906</v>
      </c>
      <c r="AB85" s="391">
        <f t="shared" si="91"/>
        <v>0.9982</v>
      </c>
      <c r="AC85" s="391">
        <f t="shared" si="91"/>
        <v>0.9419</v>
      </c>
      <c r="AD85" s="391">
        <f t="shared" si="91"/>
        <v>1.0237</v>
      </c>
      <c r="AE85" s="391">
        <f t="shared" si="91"/>
        <v>0.9385</v>
      </c>
    </row>
    <row r="86">
      <c r="A86" s="155">
        <v>-33.5669161134897</v>
      </c>
      <c r="B86" s="155">
        <v>-70.6821206157262</v>
      </c>
      <c r="C86" s="155" t="s">
        <v>34</v>
      </c>
      <c r="D86" s="247">
        <f t="array" ref="D86">XLOOKUP(C86,'HouseHolds per "comuna"'!$B$2:$B$40,'HouseHolds per "comuna"'!$C$2:$C$40)*0.15</f>
        <v>7107.6</v>
      </c>
      <c r="E86" s="247">
        <f>D86*EOQ!$C$11</f>
        <v>8244.10524</v>
      </c>
      <c r="F86" s="247">
        <f>D86*EOQ!$F$11</f>
        <v>7581.313302</v>
      </c>
      <c r="G86" s="247">
        <f>D86*EOQ!$G$11</f>
        <v>10058.67552</v>
      </c>
      <c r="H86" s="247">
        <f>D86*EOQ!$I$11</f>
        <v>9104.8356</v>
      </c>
      <c r="I86" s="247">
        <f>D86*EOQ!$K$11</f>
        <v>9774.37152</v>
      </c>
      <c r="J86" s="247">
        <f>D86*EOQ!$M$11</f>
        <v>9903.01908</v>
      </c>
      <c r="K86" s="247">
        <f>D86*EOQ!$O$11</f>
        <v>9244.85532</v>
      </c>
      <c r="L86" s="247">
        <f>D86*EOQ!$Q$11</f>
        <v>9173.06856</v>
      </c>
      <c r="M86" s="247">
        <f>D86*EOQ!$S$11</f>
        <v>7094.80632</v>
      </c>
      <c r="N86" s="247">
        <f>D86*EOQ!$U$11</f>
        <v>6694.64844</v>
      </c>
      <c r="O86" s="247">
        <f>D86*EOQ!$W$11</f>
        <v>7276.05012</v>
      </c>
      <c r="P86" s="247">
        <f>D86*EOQ!$Y$11</f>
        <v>6670.4826</v>
      </c>
      <c r="Q86" s="247">
        <f t="shared" si="86"/>
        <v>8401.685969</v>
      </c>
      <c r="T86" s="391">
        <f t="shared" ref="T86:AE86" si="92">E86/$D86</f>
        <v>1.1599</v>
      </c>
      <c r="U86" s="391">
        <f t="shared" si="92"/>
        <v>1.066648841</v>
      </c>
      <c r="V86" s="391">
        <f t="shared" si="92"/>
        <v>1.4152</v>
      </c>
      <c r="W86" s="391">
        <f t="shared" si="92"/>
        <v>1.281</v>
      </c>
      <c r="X86" s="391">
        <f t="shared" si="92"/>
        <v>1.3752</v>
      </c>
      <c r="Y86" s="391">
        <f t="shared" si="92"/>
        <v>1.3933</v>
      </c>
      <c r="Z86" s="391">
        <f t="shared" si="92"/>
        <v>1.3007</v>
      </c>
      <c r="AA86" s="391">
        <f t="shared" si="92"/>
        <v>1.2906</v>
      </c>
      <c r="AB86" s="391">
        <f t="shared" si="92"/>
        <v>0.9982</v>
      </c>
      <c r="AC86" s="391">
        <f t="shared" si="92"/>
        <v>0.9419</v>
      </c>
      <c r="AD86" s="391">
        <f t="shared" si="92"/>
        <v>1.0237</v>
      </c>
      <c r="AE86" s="391">
        <f t="shared" si="92"/>
        <v>0.9385</v>
      </c>
    </row>
    <row r="87">
      <c r="A87" s="155">
        <v>-33.5225565127023</v>
      </c>
      <c r="B87" s="155">
        <v>-70.7721740162419</v>
      </c>
      <c r="C87" s="155" t="s">
        <v>36</v>
      </c>
      <c r="D87" s="247">
        <f t="array" ref="D87">XLOOKUP(C87,'HouseHolds per "comuna"'!$B$2:$B$40,'HouseHolds per "comuna"'!$C$2:$C$40)*0.15</f>
        <v>23308.65</v>
      </c>
      <c r="E87" s="247">
        <f>D87*EOQ!$C$11</f>
        <v>27035.70314</v>
      </c>
      <c r="F87" s="247">
        <f>D87*EOQ!$F$11</f>
        <v>24862.14451</v>
      </c>
      <c r="G87" s="247">
        <f>D87*EOQ!$G$11</f>
        <v>32986.40148</v>
      </c>
      <c r="H87" s="247">
        <f>D87*EOQ!$I$11</f>
        <v>29858.38065</v>
      </c>
      <c r="I87" s="247">
        <f>D87*EOQ!$K$11</f>
        <v>32054.05548</v>
      </c>
      <c r="J87" s="247">
        <f>D87*EOQ!$M$11</f>
        <v>32475.94205</v>
      </c>
      <c r="K87" s="247">
        <f>D87*EOQ!$O$11</f>
        <v>30317.56106</v>
      </c>
      <c r="L87" s="247">
        <f>D87*EOQ!$Q$11</f>
        <v>30082.14369</v>
      </c>
      <c r="M87" s="247">
        <f>D87*EOQ!$S$11</f>
        <v>23266.69443</v>
      </c>
      <c r="N87" s="247">
        <f>D87*EOQ!$U$11</f>
        <v>21954.41744</v>
      </c>
      <c r="O87" s="247">
        <f>D87*EOQ!$W$11</f>
        <v>23861.06501</v>
      </c>
      <c r="P87" s="247">
        <f>D87*EOQ!$Y$11</f>
        <v>21875.16803</v>
      </c>
      <c r="Q87" s="247">
        <f t="shared" si="86"/>
        <v>27552.47308</v>
      </c>
      <c r="T87" s="391">
        <f t="shared" ref="T87:AE87" si="93">E87/$D87</f>
        <v>1.1599</v>
      </c>
      <c r="U87" s="391">
        <f t="shared" si="93"/>
        <v>1.066648841</v>
      </c>
      <c r="V87" s="391">
        <f t="shared" si="93"/>
        <v>1.4152</v>
      </c>
      <c r="W87" s="391">
        <f t="shared" si="93"/>
        <v>1.281</v>
      </c>
      <c r="X87" s="391">
        <f t="shared" si="93"/>
        <v>1.3752</v>
      </c>
      <c r="Y87" s="391">
        <f t="shared" si="93"/>
        <v>1.3933</v>
      </c>
      <c r="Z87" s="391">
        <f t="shared" si="93"/>
        <v>1.3007</v>
      </c>
      <c r="AA87" s="391">
        <f t="shared" si="93"/>
        <v>1.2906</v>
      </c>
      <c r="AB87" s="391">
        <f t="shared" si="93"/>
        <v>0.9982</v>
      </c>
      <c r="AC87" s="391">
        <f t="shared" si="93"/>
        <v>0.9419</v>
      </c>
      <c r="AD87" s="391">
        <f t="shared" si="93"/>
        <v>1.0237</v>
      </c>
      <c r="AE87" s="391">
        <f t="shared" si="93"/>
        <v>0.9385</v>
      </c>
    </row>
    <row r="88">
      <c r="A88" s="155">
        <v>-33.5389061820572</v>
      </c>
      <c r="B88" s="155">
        <v>-70.5892347989387</v>
      </c>
      <c r="C88" s="155" t="s">
        <v>38</v>
      </c>
      <c r="D88" s="247">
        <f t="array" ref="D88">XLOOKUP(C88,'HouseHolds per "comuna"'!$B$2:$B$40,'HouseHolds per "comuna"'!$C$2:$C$40)*0.15</f>
        <v>17274.15</v>
      </c>
      <c r="E88" s="247">
        <f>D88*EOQ!$C$11</f>
        <v>20036.28659</v>
      </c>
      <c r="F88" s="247">
        <f>D88*EOQ!$F$11</f>
        <v>18425.45208</v>
      </c>
      <c r="G88" s="247">
        <f>D88*EOQ!$G$11</f>
        <v>24446.37708</v>
      </c>
      <c r="H88" s="247">
        <f>D88*EOQ!$I$11</f>
        <v>22128.18615</v>
      </c>
      <c r="I88" s="247">
        <f>D88*EOQ!$K$11</f>
        <v>23755.41108</v>
      </c>
      <c r="J88" s="247">
        <f>D88*EOQ!$M$11</f>
        <v>24068.0732</v>
      </c>
      <c r="K88" s="247">
        <f>D88*EOQ!$O$11</f>
        <v>22468.48691</v>
      </c>
      <c r="L88" s="247">
        <f>D88*EOQ!$Q$11</f>
        <v>22294.01799</v>
      </c>
      <c r="M88" s="247">
        <f>D88*EOQ!$S$11</f>
        <v>17243.05653</v>
      </c>
      <c r="N88" s="247">
        <f>D88*EOQ!$U$11</f>
        <v>16270.52189</v>
      </c>
      <c r="O88" s="247">
        <f>D88*EOQ!$W$11</f>
        <v>17683.54736</v>
      </c>
      <c r="P88" s="247">
        <f>D88*EOQ!$Y$11</f>
        <v>16211.78978</v>
      </c>
      <c r="Q88" s="247">
        <f t="shared" si="86"/>
        <v>20419.26722</v>
      </c>
      <c r="T88" s="391">
        <f t="shared" ref="T88:AE88" si="94">E88/$D88</f>
        <v>1.1599</v>
      </c>
      <c r="U88" s="391">
        <f t="shared" si="94"/>
        <v>1.066648841</v>
      </c>
      <c r="V88" s="391">
        <f t="shared" si="94"/>
        <v>1.4152</v>
      </c>
      <c r="W88" s="391">
        <f t="shared" si="94"/>
        <v>1.281</v>
      </c>
      <c r="X88" s="391">
        <f t="shared" si="94"/>
        <v>1.3752</v>
      </c>
      <c r="Y88" s="391">
        <f t="shared" si="94"/>
        <v>1.3933</v>
      </c>
      <c r="Z88" s="391">
        <f t="shared" si="94"/>
        <v>1.3007</v>
      </c>
      <c r="AA88" s="391">
        <f t="shared" si="94"/>
        <v>1.2906</v>
      </c>
      <c r="AB88" s="391">
        <f t="shared" si="94"/>
        <v>0.9982</v>
      </c>
      <c r="AC88" s="391">
        <f t="shared" si="94"/>
        <v>0.9419</v>
      </c>
      <c r="AD88" s="391">
        <f t="shared" si="94"/>
        <v>1.0237</v>
      </c>
      <c r="AE88" s="391">
        <f t="shared" si="94"/>
        <v>0.9385</v>
      </c>
    </row>
    <row r="89">
      <c r="E89" s="247">
        <f t="shared" ref="E89:Q89" si="95">SUM(E80:E88)</f>
        <v>106207.0554</v>
      </c>
      <c r="F89" s="247">
        <f t="shared" si="95"/>
        <v>97668.44778</v>
      </c>
      <c r="G89" s="247">
        <f t="shared" si="95"/>
        <v>129583.7786</v>
      </c>
      <c r="H89" s="247">
        <f t="shared" si="95"/>
        <v>117295.6617</v>
      </c>
      <c r="I89" s="247">
        <f t="shared" si="95"/>
        <v>125921.1506</v>
      </c>
      <c r="J89" s="247">
        <f t="shared" si="95"/>
        <v>127578.4898</v>
      </c>
      <c r="K89" s="247">
        <f t="shared" si="95"/>
        <v>119099.506</v>
      </c>
      <c r="L89" s="247">
        <f t="shared" si="95"/>
        <v>118174.6924</v>
      </c>
      <c r="M89" s="247">
        <f t="shared" si="95"/>
        <v>91400.88174</v>
      </c>
      <c r="N89" s="247">
        <f t="shared" si="95"/>
        <v>86245.73283</v>
      </c>
      <c r="O89" s="247">
        <f t="shared" si="95"/>
        <v>93735.80709</v>
      </c>
      <c r="P89" s="247">
        <f t="shared" si="95"/>
        <v>85934.40945</v>
      </c>
      <c r="Q89" s="247">
        <f t="shared" si="95"/>
        <v>108237.1345</v>
      </c>
      <c r="R89" s="247">
        <f>MAX(E89:P89)</f>
        <v>129583.7786</v>
      </c>
      <c r="T89" s="391"/>
      <c r="U89" s="391"/>
      <c r="V89" s="391"/>
      <c r="W89" s="391"/>
      <c r="X89" s="391"/>
      <c r="Y89" s="391"/>
      <c r="Z89" s="391"/>
      <c r="AA89" s="391"/>
      <c r="AB89" s="391"/>
      <c r="AC89" s="391"/>
      <c r="AD89" s="391"/>
      <c r="AE89" s="391"/>
    </row>
    <row r="91">
      <c r="B91" s="390"/>
    </row>
  </sheetData>
  <mergeCells count="2">
    <mergeCell ref="E1:P1"/>
    <mergeCell ref="T1:AE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57"/>
    <col customWidth="1" min="2" max="2" width="18.57"/>
    <col customWidth="1" min="3" max="3" width="18.43"/>
    <col customWidth="1" min="4" max="4" width="13.57"/>
    <col customWidth="1" min="5" max="5" width="14.14"/>
    <col customWidth="1" min="6" max="7" width="18.29"/>
    <col customWidth="1" min="8" max="8" width="13.43"/>
    <col customWidth="1" min="9" max="9" width="13.86"/>
    <col customWidth="1" min="10" max="10" width="16.14"/>
    <col customWidth="1" min="11" max="11" width="16.0"/>
    <col customWidth="1" min="12" max="12" width="11.14"/>
    <col customWidth="1" min="13" max="13" width="11.57"/>
    <col customWidth="1" min="14" max="15" width="17.29"/>
    <col customWidth="1" min="16" max="16" width="12.29"/>
    <col customWidth="1" min="17" max="17" width="12.86"/>
    <col customWidth="1" min="18" max="19" width="15.14"/>
    <col customWidth="1" min="20" max="20" width="10.14"/>
    <col customWidth="1" min="21" max="21" width="10.71"/>
    <col customWidth="1" min="22" max="23" width="15.14"/>
    <col customWidth="1" min="24" max="24" width="10.14"/>
    <col customWidth="1" min="25" max="25" width="10.71"/>
    <col customWidth="1" min="26" max="27" width="24.29"/>
    <col customWidth="1" min="28" max="28" width="19.29"/>
    <col customWidth="1" min="29" max="29" width="19.86"/>
    <col customWidth="1" min="30" max="30" width="15.57"/>
    <col customWidth="1" min="31" max="31" width="15.43"/>
    <col customWidth="1" min="32" max="32" width="10.57"/>
    <col customWidth="1" min="33" max="33" width="11.14"/>
  </cols>
  <sheetData>
    <row r="1" ht="14.25" customHeight="1">
      <c r="A1" s="392" t="s">
        <v>435</v>
      </c>
      <c r="B1" s="393" t="s">
        <v>436</v>
      </c>
      <c r="C1" s="393" t="s">
        <v>437</v>
      </c>
      <c r="D1" s="393" t="s">
        <v>438</v>
      </c>
      <c r="E1" s="393" t="s">
        <v>439</v>
      </c>
      <c r="F1" s="393" t="s">
        <v>440</v>
      </c>
      <c r="G1" s="393" t="s">
        <v>441</v>
      </c>
      <c r="H1" s="393" t="s">
        <v>442</v>
      </c>
      <c r="I1" s="393" t="s">
        <v>443</v>
      </c>
      <c r="J1" s="393" t="s">
        <v>444</v>
      </c>
      <c r="K1" s="393" t="s">
        <v>445</v>
      </c>
      <c r="L1" s="393" t="s">
        <v>446</v>
      </c>
      <c r="M1" s="393" t="s">
        <v>447</v>
      </c>
      <c r="N1" s="393" t="s">
        <v>448</v>
      </c>
      <c r="O1" s="393" t="s">
        <v>449</v>
      </c>
      <c r="P1" s="393" t="s">
        <v>450</v>
      </c>
      <c r="Q1" s="393" t="s">
        <v>451</v>
      </c>
      <c r="R1" s="393" t="s">
        <v>452</v>
      </c>
      <c r="S1" s="393" t="s">
        <v>453</v>
      </c>
      <c r="T1" s="393" t="s">
        <v>454</v>
      </c>
      <c r="U1" s="393" t="s">
        <v>455</v>
      </c>
      <c r="V1" s="393" t="s">
        <v>456</v>
      </c>
      <c r="W1" s="393" t="s">
        <v>457</v>
      </c>
      <c r="X1" s="393" t="s">
        <v>458</v>
      </c>
      <c r="Y1" s="393" t="s">
        <v>459</v>
      </c>
      <c r="Z1" s="393" t="s">
        <v>460</v>
      </c>
      <c r="AA1" s="393" t="s">
        <v>461</v>
      </c>
      <c r="AB1" s="393" t="s">
        <v>462</v>
      </c>
      <c r="AC1" s="393" t="s">
        <v>463</v>
      </c>
      <c r="AD1" s="393" t="s">
        <v>464</v>
      </c>
      <c r="AE1" s="393" t="s">
        <v>465</v>
      </c>
      <c r="AF1" s="393" t="s">
        <v>466</v>
      </c>
      <c r="AG1" s="393" t="s">
        <v>467</v>
      </c>
    </row>
    <row r="2" ht="14.25" customHeight="1">
      <c r="A2" s="394" t="s">
        <v>83</v>
      </c>
      <c r="B2" s="395">
        <v>0.3157</v>
      </c>
      <c r="C2" s="395">
        <v>0.5548274596665166</v>
      </c>
      <c r="D2" s="395">
        <v>0.3048237212971674</v>
      </c>
      <c r="E2" s="395">
        <v>0.3265762787028325</v>
      </c>
      <c r="F2" s="395">
        <v>1.0E-4</v>
      </c>
      <c r="G2" s="395">
        <v>0.009999499987499378</v>
      </c>
      <c r="H2" s="395">
        <v>-9.602012636213577E-5</v>
      </c>
      <c r="I2" s="395">
        <v>2.960201263621358E-4</v>
      </c>
      <c r="J2" s="395">
        <v>1.0587</v>
      </c>
      <c r="K2" s="395">
        <v>1.034627619001155</v>
      </c>
      <c r="L2" s="395">
        <v>1.038418202223321</v>
      </c>
      <c r="M2" s="395">
        <v>1.078981797776678</v>
      </c>
      <c r="N2" s="395">
        <v>0.7683</v>
      </c>
      <c r="O2" s="395">
        <v>0.8887154268943461</v>
      </c>
      <c r="P2" s="395">
        <v>0.7508785178761349</v>
      </c>
      <c r="Q2" s="395">
        <v>0.7857214821238651</v>
      </c>
      <c r="R2" s="395">
        <v>2.6223</v>
      </c>
      <c r="S2" s="395">
        <v>1.623958961919913</v>
      </c>
      <c r="T2" s="395">
        <v>2.590465544145166</v>
      </c>
      <c r="U2" s="395">
        <v>2.654134455854834</v>
      </c>
      <c r="V2" s="395">
        <v>6.5171</v>
      </c>
      <c r="W2" s="395">
        <v>2.539666826573911</v>
      </c>
      <c r="X2" s="395">
        <v>6.467314929457964</v>
      </c>
      <c r="Y2" s="395">
        <v>6.566885070542036</v>
      </c>
      <c r="Z2" s="395">
        <v>1.1599</v>
      </c>
      <c r="AA2" s="395">
        <v>1.084496191786767</v>
      </c>
      <c r="AB2" s="395">
        <v>1.138640628949542</v>
      </c>
      <c r="AC2" s="395">
        <v>1.181159371050458</v>
      </c>
      <c r="AD2" s="395">
        <v>0.1455</v>
      </c>
      <c r="AE2" s="395">
        <v>0.3827920453718964</v>
      </c>
      <c r="AF2" s="395">
        <v>0.1379961302867121</v>
      </c>
      <c r="AG2" s="395">
        <v>0.1530038697132879</v>
      </c>
    </row>
    <row r="3" ht="14.25" customHeight="1">
      <c r="A3" s="394" t="s">
        <v>84</v>
      </c>
      <c r="B3" s="395">
        <v>0.2478</v>
      </c>
      <c r="C3" s="395">
        <v>0.4939586622380459</v>
      </c>
      <c r="D3" s="395">
        <v>0.238116931895533</v>
      </c>
      <c r="E3" s="395">
        <v>0.257483068104467</v>
      </c>
      <c r="F3" s="395">
        <v>0.0</v>
      </c>
      <c r="G3" s="395">
        <v>0.0</v>
      </c>
      <c r="H3" s="396"/>
      <c r="I3" s="396"/>
      <c r="J3" s="395">
        <v>0.7933</v>
      </c>
      <c r="K3" s="395">
        <v>0.8909405760206457</v>
      </c>
      <c r="L3" s="395">
        <v>0.7758348982938101</v>
      </c>
      <c r="M3" s="395">
        <v>0.8107651017061899</v>
      </c>
      <c r="N3" s="395">
        <v>0.5571</v>
      </c>
      <c r="O3" s="395">
        <v>0.7532194832849187</v>
      </c>
      <c r="P3" s="395">
        <v>0.5423346438845434</v>
      </c>
      <c r="Q3" s="395">
        <v>0.5718653561154566</v>
      </c>
      <c r="R3" s="395">
        <v>2.3516</v>
      </c>
      <c r="S3" s="395">
        <v>1.536221806901594</v>
      </c>
      <c r="T3" s="395">
        <v>2.321485454964191</v>
      </c>
      <c r="U3" s="395">
        <v>2.381714545035809</v>
      </c>
      <c r="V3" s="395">
        <v>5.087</v>
      </c>
      <c r="W3" s="395">
        <v>2.262041334724014</v>
      </c>
      <c r="X3" s="395">
        <v>5.04265721997867</v>
      </c>
      <c r="Y3" s="395">
        <v>5.131342780021329</v>
      </c>
      <c r="Z3" s="395">
        <v>1.1355</v>
      </c>
      <c r="AA3" s="395">
        <v>1.066648840996886</v>
      </c>
      <c r="AB3" s="395">
        <v>1.11459049043876</v>
      </c>
      <c r="AC3" s="395">
        <v>1.15640950956124</v>
      </c>
      <c r="AD3" s="395">
        <v>0.1234</v>
      </c>
      <c r="AE3" s="395">
        <v>0.3492455296779045</v>
      </c>
      <c r="AF3" s="395">
        <v>0.116553742392674</v>
      </c>
      <c r="AG3" s="395">
        <v>0.130246257607326</v>
      </c>
    </row>
    <row r="4" ht="14.25" customHeight="1">
      <c r="A4" s="394" t="s">
        <v>85</v>
      </c>
      <c r="B4" s="395">
        <v>0.3647</v>
      </c>
      <c r="C4" s="395">
        <v>0.61114148116455</v>
      </c>
      <c r="D4" s="395">
        <v>0.3527197979386192</v>
      </c>
      <c r="E4" s="395">
        <v>0.3766802020613809</v>
      </c>
      <c r="F4" s="395">
        <v>0.0</v>
      </c>
      <c r="G4" s="395">
        <v>0.0</v>
      </c>
      <c r="H4" s="396"/>
      <c r="I4" s="396"/>
      <c r="J4" s="395">
        <v>1.0358</v>
      </c>
      <c r="K4" s="395">
        <v>1.027384231921047</v>
      </c>
      <c r="L4" s="395">
        <v>1.015660194288176</v>
      </c>
      <c r="M4" s="395">
        <v>1.055939805711825</v>
      </c>
      <c r="N4" s="395">
        <v>0.7882</v>
      </c>
      <c r="O4" s="395">
        <v>0.8859688256366586</v>
      </c>
      <c r="P4" s="395">
        <v>0.7708323594808424</v>
      </c>
      <c r="Q4" s="395">
        <v>0.8055676405191576</v>
      </c>
      <c r="R4" s="395">
        <v>3.0929</v>
      </c>
      <c r="S4" s="395">
        <v>1.758200668296995</v>
      </c>
      <c r="T4" s="395">
        <v>3.058434004940206</v>
      </c>
      <c r="U4" s="395">
        <v>3.127365995059795</v>
      </c>
      <c r="V4" s="395">
        <v>5.3105</v>
      </c>
      <c r="W4" s="395">
        <v>2.299541204240533</v>
      </c>
      <c r="X4" s="395">
        <v>5.265422110306148</v>
      </c>
      <c r="Y4" s="395">
        <v>5.355577889693852</v>
      </c>
      <c r="Z4" s="395">
        <v>1.4152</v>
      </c>
      <c r="AA4" s="395">
        <v>1.192228568689746</v>
      </c>
      <c r="AB4" s="395">
        <v>1.39182875193967</v>
      </c>
      <c r="AC4" s="395">
        <v>1.43857124806033</v>
      </c>
      <c r="AD4" s="395">
        <v>0.1664</v>
      </c>
      <c r="AE4" s="395">
        <v>0.4102572851272723</v>
      </c>
      <c r="AF4" s="395">
        <v>0.1583577293892527</v>
      </c>
      <c r="AG4" s="395">
        <v>0.1744422706107473</v>
      </c>
    </row>
    <row r="5" ht="14.25" customHeight="1">
      <c r="A5" s="394" t="s">
        <v>86</v>
      </c>
      <c r="B5" s="395">
        <v>0.3975</v>
      </c>
      <c r="C5" s="395">
        <v>0.6318969457118779</v>
      </c>
      <c r="D5" s="395">
        <v>0.3851129287163222</v>
      </c>
      <c r="E5" s="395">
        <v>0.4098870712836778</v>
      </c>
      <c r="F5" s="395">
        <v>3.0E-4</v>
      </c>
      <c r="G5" s="395">
        <v>0.01731790980459247</v>
      </c>
      <c r="H5" s="395">
        <v>-3.948286138987292E-5</v>
      </c>
      <c r="I5" s="395">
        <v>6.394828613898729E-4</v>
      </c>
      <c r="J5" s="395">
        <v>1.1135</v>
      </c>
      <c r="K5" s="395">
        <v>1.064620941931916</v>
      </c>
      <c r="L5" s="395">
        <v>1.092630243329551</v>
      </c>
      <c r="M5" s="395">
        <v>1.134369756670449</v>
      </c>
      <c r="N5" s="395">
        <v>0.6777</v>
      </c>
      <c r="O5" s="395">
        <v>0.8251198155419611</v>
      </c>
      <c r="P5" s="395">
        <v>0.6615251821882461</v>
      </c>
      <c r="Q5" s="395">
        <v>0.6938748178117539</v>
      </c>
      <c r="R5" s="395">
        <v>2.9467</v>
      </c>
      <c r="S5" s="395">
        <v>1.716933053441514</v>
      </c>
      <c r="T5" s="395">
        <v>2.913042973697518</v>
      </c>
      <c r="U5" s="395">
        <v>2.980357026302482</v>
      </c>
      <c r="V5" s="395">
        <v>4.7078</v>
      </c>
      <c r="W5" s="395">
        <v>2.176515370954223</v>
      </c>
      <c r="X5" s="395">
        <v>4.665133784831548</v>
      </c>
      <c r="Y5" s="395">
        <v>4.750466215168451</v>
      </c>
      <c r="Z5" s="395">
        <v>1.281</v>
      </c>
      <c r="AA5" s="395">
        <v>1.124028024561666</v>
      </c>
      <c r="AB5" s="395">
        <v>1.258965686715875</v>
      </c>
      <c r="AC5" s="395">
        <v>1.303034313284124</v>
      </c>
      <c r="AD5" s="395">
        <v>0.1829</v>
      </c>
      <c r="AE5" s="395">
        <v>0.4254968742540889</v>
      </c>
      <c r="AF5" s="395">
        <v>0.1745589878331668</v>
      </c>
      <c r="AG5" s="395">
        <v>0.1912410121668332</v>
      </c>
    </row>
    <row r="6" ht="14.25" customHeight="1">
      <c r="A6" s="394" t="s">
        <v>87</v>
      </c>
      <c r="B6" s="395">
        <v>0.4685</v>
      </c>
      <c r="C6" s="395">
        <v>0.6802997501101996</v>
      </c>
      <c r="D6" s="395">
        <v>0.4551640888897007</v>
      </c>
      <c r="E6" s="395">
        <v>0.4818359111102993</v>
      </c>
      <c r="F6" s="395">
        <v>1.0E-4</v>
      </c>
      <c r="G6" s="395">
        <v>0.009999499987499378</v>
      </c>
      <c r="H6" s="395">
        <v>-9.602012636213577E-5</v>
      </c>
      <c r="I6" s="395">
        <v>2.960201263621358E-4</v>
      </c>
      <c r="J6" s="395">
        <v>1.2078</v>
      </c>
      <c r="K6" s="395">
        <v>1.105178338549937</v>
      </c>
      <c r="L6" s="395">
        <v>1.186135196975241</v>
      </c>
      <c r="M6" s="395">
        <v>1.229464803024759</v>
      </c>
      <c r="N6" s="395">
        <v>0.6993</v>
      </c>
      <c r="O6" s="395">
        <v>0.838259810559948</v>
      </c>
      <c r="P6" s="395">
        <v>0.6828675989603804</v>
      </c>
      <c r="Q6" s="395">
        <v>0.7157324010396197</v>
      </c>
      <c r="R6" s="395">
        <v>3.4112</v>
      </c>
      <c r="S6" s="395">
        <v>1.826558118429304</v>
      </c>
      <c r="T6" s="395">
        <v>3.375393994336727</v>
      </c>
      <c r="U6" s="395">
        <v>3.447006005663273</v>
      </c>
      <c r="V6" s="395">
        <v>4.4974</v>
      </c>
      <c r="W6" s="395">
        <v>2.121318750211764</v>
      </c>
      <c r="X6" s="395">
        <v>4.455815803791118</v>
      </c>
      <c r="Y6" s="395">
        <v>4.538984196208881</v>
      </c>
      <c r="Z6" s="395">
        <v>1.3752</v>
      </c>
      <c r="AA6" s="395">
        <v>1.168513996492982</v>
      </c>
      <c r="AB6" s="395">
        <v>1.352293628527944</v>
      </c>
      <c r="AC6" s="395">
        <v>1.398106371472056</v>
      </c>
      <c r="AD6" s="395">
        <v>0.2252</v>
      </c>
      <c r="AE6" s="395">
        <v>0.4759043601397239</v>
      </c>
      <c r="AF6" s="395">
        <v>0.2158708502497625</v>
      </c>
      <c r="AG6" s="395">
        <v>0.2345291497502376</v>
      </c>
    </row>
    <row r="7" ht="14.25" customHeight="1">
      <c r="A7" s="394" t="s">
        <v>88</v>
      </c>
      <c r="B7" s="395">
        <v>0.4514</v>
      </c>
      <c r="C7" s="395">
        <v>0.6766373031395772</v>
      </c>
      <c r="D7" s="395">
        <v>0.4381358838113342</v>
      </c>
      <c r="E7" s="395">
        <v>0.4646641161886659</v>
      </c>
      <c r="F7" s="395">
        <v>0.0</v>
      </c>
      <c r="G7" s="395">
        <v>0.0</v>
      </c>
      <c r="H7" s="396"/>
      <c r="I7" s="396"/>
      <c r="J7" s="395">
        <v>1.1376</v>
      </c>
      <c r="K7" s="395">
        <v>1.067083052062959</v>
      </c>
      <c r="L7" s="395">
        <v>1.116681978602354</v>
      </c>
      <c r="M7" s="395">
        <v>1.158518021397646</v>
      </c>
      <c r="N7" s="395">
        <v>0.603</v>
      </c>
      <c r="O7" s="395">
        <v>0.7763961617627949</v>
      </c>
      <c r="P7" s="395">
        <v>0.5877803116229735</v>
      </c>
      <c r="Q7" s="395">
        <v>0.6182196883770265</v>
      </c>
      <c r="R7" s="395">
        <v>2.8245</v>
      </c>
      <c r="S7" s="395">
        <v>1.680624809408691</v>
      </c>
      <c r="T7" s="395">
        <v>2.79155472394425</v>
      </c>
      <c r="U7" s="395">
        <v>2.85744527605575</v>
      </c>
      <c r="V7" s="395">
        <v>3.8482</v>
      </c>
      <c r="W7" s="395">
        <v>1.992424844253855</v>
      </c>
      <c r="X7" s="395">
        <v>3.809142510102911</v>
      </c>
      <c r="Y7" s="395">
        <v>3.887257489897089</v>
      </c>
      <c r="Z7" s="395">
        <v>1.3933</v>
      </c>
      <c r="AA7" s="395">
        <v>1.194242483752776</v>
      </c>
      <c r="AB7" s="395">
        <v>1.369889273177169</v>
      </c>
      <c r="AC7" s="395">
        <v>1.416710726822831</v>
      </c>
      <c r="AD7" s="395">
        <v>0.2013</v>
      </c>
      <c r="AE7" s="395">
        <v>0.4440476438401628</v>
      </c>
      <c r="AF7" s="395">
        <v>0.1925953372303444</v>
      </c>
      <c r="AG7" s="395">
        <v>0.2100046627696556</v>
      </c>
    </row>
    <row r="8" ht="14.25" customHeight="1">
      <c r="A8" s="394" t="s">
        <v>89</v>
      </c>
      <c r="B8" s="395">
        <v>0.4704</v>
      </c>
      <c r="C8" s="395">
        <v>0.6918987209122445</v>
      </c>
      <c r="D8" s="395">
        <v>0.4568367143484606</v>
      </c>
      <c r="E8" s="395">
        <v>0.4839632856515393</v>
      </c>
      <c r="F8" s="395">
        <v>0.0</v>
      </c>
      <c r="G8" s="395">
        <v>0.0</v>
      </c>
      <c r="H8" s="396"/>
      <c r="I8" s="396"/>
      <c r="J8" s="395">
        <v>1.1432</v>
      </c>
      <c r="K8" s="395">
        <v>1.067095946951351</v>
      </c>
      <c r="L8" s="395">
        <v>1.122281725823949</v>
      </c>
      <c r="M8" s="395">
        <v>1.164118274176051</v>
      </c>
      <c r="N8" s="395">
        <v>0.6071</v>
      </c>
      <c r="O8" s="395">
        <v>0.7825149135959008</v>
      </c>
      <c r="P8" s="395">
        <v>0.5917603657747807</v>
      </c>
      <c r="Q8" s="395">
        <v>0.6224396342252192</v>
      </c>
      <c r="R8" s="395">
        <v>2.3023</v>
      </c>
      <c r="S8" s="395">
        <v>1.508414634641285</v>
      </c>
      <c r="T8" s="395">
        <v>2.272730558762087</v>
      </c>
      <c r="U8" s="395">
        <v>2.331869441237913</v>
      </c>
      <c r="V8" s="395">
        <v>3.9442</v>
      </c>
      <c r="W8" s="395">
        <v>2.010295092766234</v>
      </c>
      <c r="X8" s="395">
        <v>3.904792199749803</v>
      </c>
      <c r="Y8" s="395">
        <v>3.983607800250196</v>
      </c>
      <c r="Z8" s="395">
        <v>1.3007</v>
      </c>
      <c r="AA8" s="395">
        <v>1.126978043264375</v>
      </c>
      <c r="AB8" s="395">
        <v>1.278607857520456</v>
      </c>
      <c r="AC8" s="395">
        <v>1.322792142479544</v>
      </c>
      <c r="AD8" s="395">
        <v>0.2447</v>
      </c>
      <c r="AE8" s="395">
        <v>0.4966104207525251</v>
      </c>
      <c r="AF8" s="395">
        <v>0.2349649494924389</v>
      </c>
      <c r="AG8" s="395">
        <v>0.2544350505075612</v>
      </c>
    </row>
    <row r="9" ht="14.25" customHeight="1">
      <c r="A9" s="394" t="s">
        <v>90</v>
      </c>
      <c r="B9" s="395">
        <v>0.4154</v>
      </c>
      <c r="C9" s="395">
        <v>0.6386257432957116</v>
      </c>
      <c r="D9" s="395">
        <v>0.402881024145664</v>
      </c>
      <c r="E9" s="395">
        <v>0.427918975854336</v>
      </c>
      <c r="F9" s="395">
        <v>8.0E-4</v>
      </c>
      <c r="G9" s="395">
        <v>0.02827295527531567</v>
      </c>
      <c r="H9" s="395">
        <v>2.457654610103838E-4</v>
      </c>
      <c r="I9" s="395">
        <v>0.001354234538989616</v>
      </c>
      <c r="J9" s="395">
        <v>1.1827</v>
      </c>
      <c r="K9" s="395">
        <v>1.081721179417321</v>
      </c>
      <c r="L9" s="395">
        <v>1.161495027497069</v>
      </c>
      <c r="M9" s="395">
        <v>1.203904972502931</v>
      </c>
      <c r="N9" s="395">
        <v>0.6382</v>
      </c>
      <c r="O9" s="395">
        <v>0.7990624255963986</v>
      </c>
      <c r="P9" s="395">
        <v>0.6225359850160057</v>
      </c>
      <c r="Q9" s="395">
        <v>0.6538640149839943</v>
      </c>
      <c r="R9" s="395">
        <v>3.5505</v>
      </c>
      <c r="S9" s="395">
        <v>1.914954242273167</v>
      </c>
      <c r="T9" s="395">
        <v>3.512961165756553</v>
      </c>
      <c r="U9" s="395">
        <v>3.588038834243447</v>
      </c>
      <c r="V9" s="395">
        <v>3.9548</v>
      </c>
      <c r="W9" s="395">
        <v>1.99302708461275</v>
      </c>
      <c r="X9" s="395">
        <v>3.915730704389485</v>
      </c>
      <c r="Y9" s="395">
        <v>3.993869295610515</v>
      </c>
      <c r="Z9" s="395">
        <v>1.2906</v>
      </c>
      <c r="AA9" s="395">
        <v>1.124967395083075</v>
      </c>
      <c r="AB9" s="395">
        <v>1.268547272242298</v>
      </c>
      <c r="AC9" s="395">
        <v>1.312652727757702</v>
      </c>
      <c r="AD9" s="395">
        <v>0.2113</v>
      </c>
      <c r="AE9" s="395">
        <v>0.4639529178699062</v>
      </c>
      <c r="AF9" s="395">
        <v>0.2022051342866511</v>
      </c>
      <c r="AG9" s="395">
        <v>0.2203948657133489</v>
      </c>
    </row>
    <row r="10" ht="14.25" customHeight="1">
      <c r="A10" s="394" t="s">
        <v>91</v>
      </c>
      <c r="B10" s="395">
        <v>0.3579</v>
      </c>
      <c r="C10" s="395">
        <v>0.6029988308446378</v>
      </c>
      <c r="D10" s="395">
        <v>0.3460794182542977</v>
      </c>
      <c r="E10" s="395">
        <v>0.3697205817457023</v>
      </c>
      <c r="F10" s="395">
        <v>0.0157</v>
      </c>
      <c r="G10" s="395">
        <v>0.1259107223392829</v>
      </c>
      <c r="H10" s="395">
        <v>0.01323177301523592</v>
      </c>
      <c r="I10" s="395">
        <v>0.01816822698476408</v>
      </c>
      <c r="J10" s="395">
        <v>0.9257</v>
      </c>
      <c r="K10" s="395">
        <v>0.9635245248565291</v>
      </c>
      <c r="L10" s="395">
        <v>0.9068120356666328</v>
      </c>
      <c r="M10" s="395">
        <v>0.9445879643333671</v>
      </c>
      <c r="N10" s="395">
        <v>0.5522</v>
      </c>
      <c r="O10" s="395">
        <v>0.7485153037847656</v>
      </c>
      <c r="P10" s="395">
        <v>0.5375268598814635</v>
      </c>
      <c r="Q10" s="395">
        <v>0.5668731401185365</v>
      </c>
      <c r="R10" s="395">
        <v>2.8716</v>
      </c>
      <c r="S10" s="395">
        <v>1.716308084231966</v>
      </c>
      <c r="T10" s="395">
        <v>2.83795522496444</v>
      </c>
      <c r="U10" s="395">
        <v>2.90524477503556</v>
      </c>
      <c r="V10" s="395">
        <v>3.3699</v>
      </c>
      <c r="W10" s="395">
        <v>1.821613018728182</v>
      </c>
      <c r="X10" s="395">
        <v>3.334190933090615</v>
      </c>
      <c r="Y10" s="395">
        <v>3.405609066909385</v>
      </c>
      <c r="Z10" s="395">
        <v>0.9982</v>
      </c>
      <c r="AA10" s="395">
        <v>0.9865073542554055</v>
      </c>
      <c r="AB10" s="395">
        <v>0.9788615034271649</v>
      </c>
      <c r="AC10" s="395">
        <v>1.017538496572835</v>
      </c>
      <c r="AD10" s="395">
        <v>0.1866</v>
      </c>
      <c r="AE10" s="395">
        <v>0.4291624867110359</v>
      </c>
      <c r="AF10" s="395">
        <v>0.1781871308585277</v>
      </c>
      <c r="AG10" s="395">
        <v>0.1950128691414722</v>
      </c>
    </row>
    <row r="11" ht="14.25" customHeight="1">
      <c r="A11" s="394" t="s">
        <v>92</v>
      </c>
      <c r="B11" s="395">
        <v>0.48</v>
      </c>
      <c r="C11" s="395">
        <v>0.7011419257183242</v>
      </c>
      <c r="D11" s="395">
        <v>0.4662555198711024</v>
      </c>
      <c r="E11" s="395">
        <v>0.4937444801288976</v>
      </c>
      <c r="F11" s="395">
        <v>0.0735</v>
      </c>
      <c r="G11" s="395">
        <v>0.2714732951875746</v>
      </c>
      <c r="H11" s="395">
        <v>0.06817831094623349</v>
      </c>
      <c r="I11" s="395">
        <v>0.0788216890537665</v>
      </c>
      <c r="J11" s="395">
        <v>1.085</v>
      </c>
      <c r="K11" s="395">
        <v>1.031103777512234</v>
      </c>
      <c r="L11" s="395">
        <v>1.064787280062694</v>
      </c>
      <c r="M11" s="395">
        <v>1.105212719937306</v>
      </c>
      <c r="N11" s="395">
        <v>0.6312</v>
      </c>
      <c r="O11" s="395">
        <v>0.7943466245915569</v>
      </c>
      <c r="P11" s="395">
        <v>0.6156284288291987</v>
      </c>
      <c r="Q11" s="395">
        <v>0.6467715711708013</v>
      </c>
      <c r="R11" s="395">
        <v>2.7458</v>
      </c>
      <c r="S11" s="395">
        <v>1.660295865199935</v>
      </c>
      <c r="T11" s="395">
        <v>2.713253232091417</v>
      </c>
      <c r="U11" s="395">
        <v>2.778346767908583</v>
      </c>
      <c r="V11" s="395">
        <v>3.6064</v>
      </c>
      <c r="W11" s="395">
        <v>1.878584318043776</v>
      </c>
      <c r="X11" s="395">
        <v>3.569574125119734</v>
      </c>
      <c r="Y11" s="395">
        <v>3.643225874880265</v>
      </c>
      <c r="Z11" s="395">
        <v>0.9419</v>
      </c>
      <c r="AA11" s="395">
        <v>0.977099989765633</v>
      </c>
      <c r="AB11" s="395">
        <v>0.9227459159256224</v>
      </c>
      <c r="AC11" s="395">
        <v>0.9610540840743775</v>
      </c>
      <c r="AD11" s="395">
        <v>0.2163</v>
      </c>
      <c r="AE11" s="395">
        <v>0.4640197301839654</v>
      </c>
      <c r="AF11" s="395">
        <v>0.207203824565339</v>
      </c>
      <c r="AG11" s="395">
        <v>0.225396175434661</v>
      </c>
    </row>
    <row r="12" ht="14.25" customHeight="1">
      <c r="A12" s="394" t="s">
        <v>93</v>
      </c>
      <c r="B12" s="395">
        <v>0.4541</v>
      </c>
      <c r="C12" s="395">
        <v>0.6713368677497163</v>
      </c>
      <c r="D12" s="395">
        <v>0.4409397882081734</v>
      </c>
      <c r="E12" s="395">
        <v>0.4672602117918266</v>
      </c>
      <c r="F12" s="395">
        <v>0.0624</v>
      </c>
      <c r="G12" s="395">
        <v>0.2467918961392371</v>
      </c>
      <c r="H12" s="395">
        <v>0.05756214023432765</v>
      </c>
      <c r="I12" s="395">
        <v>0.06723785976567234</v>
      </c>
      <c r="J12" s="395">
        <v>1.1175</v>
      </c>
      <c r="K12" s="395">
        <v>1.054937794374626</v>
      </c>
      <c r="L12" s="395">
        <v>1.096820062001498</v>
      </c>
      <c r="M12" s="395">
        <v>1.138179937998502</v>
      </c>
      <c r="N12" s="395">
        <v>0.6008</v>
      </c>
      <c r="O12" s="395">
        <v>0.7690509475971017</v>
      </c>
      <c r="P12" s="395">
        <v>0.5857242998034542</v>
      </c>
      <c r="Q12" s="395">
        <v>0.6158757001965458</v>
      </c>
      <c r="R12" s="395">
        <v>2.784</v>
      </c>
      <c r="S12" s="395">
        <v>1.684560476800996</v>
      </c>
      <c r="T12" s="395">
        <v>2.750977573084655</v>
      </c>
      <c r="U12" s="395">
        <v>2.817022426915345</v>
      </c>
      <c r="V12" s="395">
        <v>4.4126</v>
      </c>
      <c r="W12" s="395">
        <v>2.085799904113527</v>
      </c>
      <c r="X12" s="395">
        <v>4.371712079475815</v>
      </c>
      <c r="Y12" s="395">
        <v>4.453487920524186</v>
      </c>
      <c r="Z12" s="395">
        <v>1.0237</v>
      </c>
      <c r="AA12" s="395">
        <v>0.9992688877374297</v>
      </c>
      <c r="AB12" s="395">
        <v>1.004111339178068</v>
      </c>
      <c r="AC12" s="395">
        <v>1.043288660821932</v>
      </c>
      <c r="AD12" s="395">
        <v>0.2214</v>
      </c>
      <c r="AE12" s="395">
        <v>0.4696616228733193</v>
      </c>
      <c r="AF12" s="395">
        <v>0.2121932265835128</v>
      </c>
      <c r="AG12" s="395">
        <v>0.2306067734164872</v>
      </c>
    </row>
    <row r="13" ht="14.25" customHeight="1">
      <c r="A13" s="394" t="s">
        <v>94</v>
      </c>
      <c r="B13" s="395">
        <v>0.3849</v>
      </c>
      <c r="C13" s="395">
        <v>0.6191542538011024</v>
      </c>
      <c r="D13" s="395">
        <v>0.3727627236142338</v>
      </c>
      <c r="E13" s="395">
        <v>0.3970372763857662</v>
      </c>
      <c r="F13" s="395">
        <v>0.0187</v>
      </c>
      <c r="G13" s="395">
        <v>0.1354633160674874</v>
      </c>
      <c r="H13" s="395">
        <v>0.01604451358906165</v>
      </c>
      <c r="I13" s="395">
        <v>0.02135548641093835</v>
      </c>
      <c r="J13" s="395">
        <v>0.9623</v>
      </c>
      <c r="K13" s="395">
        <v>0.9737960310044399</v>
      </c>
      <c r="L13" s="395">
        <v>0.9432106834054639</v>
      </c>
      <c r="M13" s="395">
        <v>0.9813893165945362</v>
      </c>
      <c r="N13" s="395">
        <v>0.5979</v>
      </c>
      <c r="O13" s="395">
        <v>0.780009993525724</v>
      </c>
      <c r="P13" s="395">
        <v>0.582609469704907</v>
      </c>
      <c r="Q13" s="395">
        <v>0.613190530295093</v>
      </c>
      <c r="R13" s="395">
        <v>3.2124</v>
      </c>
      <c r="S13" s="395">
        <v>1.782830962261986</v>
      </c>
      <c r="T13" s="395">
        <v>3.177451177464693</v>
      </c>
      <c r="U13" s="395">
        <v>3.247348822535308</v>
      </c>
      <c r="V13" s="395">
        <v>4.3404</v>
      </c>
      <c r="W13" s="395">
        <v>2.098124838993142</v>
      </c>
      <c r="X13" s="395">
        <v>4.299270473865981</v>
      </c>
      <c r="Y13" s="395">
        <v>4.381529526134019</v>
      </c>
      <c r="Z13" s="395">
        <v>0.9385</v>
      </c>
      <c r="AA13" s="395">
        <v>0.9708335336194358</v>
      </c>
      <c r="AB13" s="395">
        <v>0.9194687572204028</v>
      </c>
      <c r="AC13" s="395">
        <v>0.9575312427795972</v>
      </c>
      <c r="AD13" s="395">
        <v>0.1714</v>
      </c>
      <c r="AE13" s="395">
        <v>0.4154780860647165</v>
      </c>
      <c r="AF13" s="395">
        <v>0.1632553860660116</v>
      </c>
      <c r="AG13" s="395">
        <v>0.1795446139339884</v>
      </c>
    </row>
    <row r="14" ht="14.25" customHeight="1">
      <c r="A14" s="5"/>
      <c r="B14" s="5"/>
      <c r="C14" s="5"/>
      <c r="D14" s="5"/>
      <c r="E14" s="5"/>
      <c r="F14" s="5"/>
      <c r="G14" s="5"/>
      <c r="H14" s="5"/>
      <c r="I14" s="5"/>
      <c r="J14" s="5"/>
      <c r="K14" s="5"/>
      <c r="L14" s="5"/>
      <c r="M14" s="5"/>
      <c r="N14" s="5"/>
      <c r="O14" s="5"/>
      <c r="P14" s="5"/>
      <c r="Q14" s="5"/>
      <c r="R14" s="5"/>
      <c r="S14" s="5"/>
      <c r="T14" s="5"/>
      <c r="U14" s="5"/>
    </row>
    <row r="15" ht="14.25" customHeight="1">
      <c r="A15" s="5"/>
      <c r="B15" s="5"/>
      <c r="C15" s="5"/>
      <c r="D15" s="5"/>
      <c r="E15" s="5"/>
      <c r="F15" s="5"/>
      <c r="G15" s="5"/>
      <c r="H15" s="5"/>
      <c r="I15" s="5"/>
      <c r="J15" s="5"/>
      <c r="K15" s="5"/>
      <c r="L15" s="5"/>
      <c r="M15" s="5"/>
      <c r="N15" s="5"/>
      <c r="O15" s="5"/>
      <c r="P15" s="5"/>
      <c r="Q15" s="5"/>
      <c r="R15" s="5"/>
      <c r="S15" s="5"/>
      <c r="T15" s="5"/>
      <c r="U15" s="5"/>
    </row>
    <row r="16" ht="14.25" customHeight="1">
      <c r="A16" s="5"/>
      <c r="B16" s="5"/>
      <c r="C16" s="5"/>
      <c r="D16" s="5"/>
      <c r="E16" s="5"/>
      <c r="F16" s="5"/>
      <c r="G16" s="5"/>
      <c r="H16" s="5"/>
      <c r="I16" s="5"/>
      <c r="J16" s="5"/>
      <c r="K16" s="5"/>
      <c r="L16" s="5"/>
      <c r="M16" s="5"/>
      <c r="N16" s="5"/>
      <c r="O16" s="5"/>
      <c r="P16" s="5"/>
      <c r="Q16" s="5"/>
      <c r="R16" s="5"/>
      <c r="S16" s="5"/>
      <c r="T16" s="5"/>
      <c r="U16" s="5"/>
    </row>
    <row r="17" ht="14.25" customHeight="1">
      <c r="A17" s="5"/>
      <c r="B17" s="5"/>
      <c r="C17" s="5"/>
      <c r="D17" s="5"/>
      <c r="E17" s="5"/>
      <c r="F17" s="5"/>
      <c r="G17" s="5"/>
      <c r="H17" s="5"/>
      <c r="I17" s="5"/>
      <c r="J17" s="5"/>
      <c r="K17" s="5"/>
      <c r="L17" s="5"/>
      <c r="M17" s="5"/>
      <c r="N17" s="5"/>
      <c r="O17" s="5"/>
      <c r="P17" s="5"/>
      <c r="Q17" s="5"/>
      <c r="R17" s="5"/>
      <c r="S17" s="5"/>
      <c r="T17" s="5"/>
      <c r="U17" s="5"/>
    </row>
    <row r="18" ht="14.25" customHeight="1">
      <c r="A18" s="5"/>
      <c r="B18" s="5"/>
      <c r="C18" s="5"/>
      <c r="D18" s="5"/>
      <c r="E18" s="5"/>
      <c r="F18" s="5"/>
      <c r="G18" s="5"/>
      <c r="H18" s="5"/>
      <c r="I18" s="5"/>
      <c r="J18" s="5"/>
      <c r="K18" s="5"/>
      <c r="L18" s="5"/>
      <c r="M18" s="5"/>
      <c r="N18" s="5"/>
      <c r="O18" s="5"/>
      <c r="P18" s="5"/>
      <c r="Q18" s="5"/>
      <c r="R18" s="5"/>
      <c r="S18" s="5"/>
      <c r="T18" s="5"/>
      <c r="U18" s="5"/>
    </row>
    <row r="19" ht="14.25" customHeight="1">
      <c r="A19" s="5"/>
      <c r="B19" s="5"/>
      <c r="C19" s="5"/>
      <c r="D19" s="5"/>
      <c r="E19" s="5"/>
      <c r="F19" s="5"/>
      <c r="G19" s="5"/>
      <c r="H19" s="5"/>
      <c r="I19" s="5"/>
      <c r="J19" s="5"/>
      <c r="K19" s="5"/>
      <c r="L19" s="5"/>
      <c r="M19" s="5"/>
      <c r="N19" s="5"/>
      <c r="O19" s="5"/>
      <c r="P19" s="5"/>
      <c r="Q19" s="5"/>
      <c r="R19" s="5"/>
      <c r="S19" s="5"/>
      <c r="T19" s="5"/>
      <c r="U19" s="5"/>
    </row>
    <row r="20" ht="14.25" customHeight="1">
      <c r="A20" s="5"/>
      <c r="B20" s="5"/>
      <c r="C20" s="5"/>
      <c r="D20" s="5"/>
      <c r="E20" s="5"/>
      <c r="F20" s="5"/>
      <c r="G20" s="5"/>
      <c r="H20" s="5"/>
      <c r="I20" s="5"/>
      <c r="J20" s="5"/>
      <c r="K20" s="5"/>
      <c r="L20" s="5"/>
      <c r="M20" s="5"/>
      <c r="N20" s="5"/>
      <c r="O20" s="5"/>
      <c r="P20" s="5"/>
      <c r="Q20" s="5"/>
      <c r="R20" s="5"/>
      <c r="S20" s="5"/>
      <c r="T20" s="5"/>
      <c r="U20" s="5"/>
    </row>
    <row r="21" ht="14.25" customHeight="1">
      <c r="A21" s="5"/>
      <c r="B21" s="5"/>
      <c r="C21" s="5"/>
      <c r="D21" s="5"/>
      <c r="E21" s="5"/>
      <c r="F21" s="5"/>
      <c r="G21" s="5"/>
      <c r="H21" s="5"/>
      <c r="I21" s="5"/>
      <c r="J21" s="5"/>
      <c r="K21" s="5"/>
      <c r="L21" s="5"/>
      <c r="M21" s="5"/>
      <c r="N21" s="5"/>
      <c r="O21" s="5"/>
      <c r="P21" s="5"/>
      <c r="Q21" s="5"/>
      <c r="R21" s="5"/>
      <c r="S21" s="5"/>
      <c r="T21" s="5"/>
      <c r="U21" s="5"/>
    </row>
    <row r="22" ht="14.25" customHeight="1">
      <c r="A22" s="5"/>
      <c r="B22" s="5"/>
      <c r="C22" s="5"/>
      <c r="D22" s="5"/>
      <c r="E22" s="5"/>
      <c r="F22" s="5"/>
      <c r="G22" s="5"/>
      <c r="H22" s="5"/>
      <c r="I22" s="5"/>
      <c r="J22" s="5"/>
      <c r="K22" s="5"/>
      <c r="L22" s="5"/>
      <c r="M22" s="5"/>
      <c r="N22" s="5"/>
      <c r="O22" s="5"/>
      <c r="P22" s="5"/>
      <c r="Q22" s="5"/>
      <c r="R22" s="5"/>
      <c r="S22" s="5"/>
      <c r="T22" s="5"/>
      <c r="U22" s="5"/>
    </row>
    <row r="23" ht="14.25" customHeight="1">
      <c r="A23" s="5"/>
      <c r="B23" s="5"/>
      <c r="C23" s="5"/>
      <c r="D23" s="5"/>
      <c r="E23" s="5"/>
      <c r="F23" s="5"/>
      <c r="G23" s="5"/>
      <c r="H23" s="5"/>
      <c r="I23" s="5"/>
      <c r="J23" s="5"/>
      <c r="K23" s="5"/>
      <c r="L23" s="5"/>
      <c r="M23" s="5"/>
      <c r="N23" s="5"/>
      <c r="O23" s="5"/>
      <c r="P23" s="5"/>
      <c r="Q23" s="5"/>
      <c r="R23" s="5"/>
      <c r="S23" s="5"/>
      <c r="T23" s="5"/>
      <c r="U23" s="5"/>
    </row>
    <row r="24" ht="14.25" customHeight="1">
      <c r="A24" s="5"/>
      <c r="B24" s="5"/>
      <c r="C24" s="5"/>
      <c r="D24" s="5"/>
      <c r="E24" s="5"/>
      <c r="F24" s="5"/>
      <c r="G24" s="5"/>
      <c r="H24" s="5"/>
      <c r="I24" s="5"/>
      <c r="J24" s="5"/>
      <c r="K24" s="5"/>
      <c r="L24" s="5"/>
      <c r="M24" s="5"/>
      <c r="N24" s="5"/>
      <c r="O24" s="5"/>
      <c r="P24" s="5"/>
      <c r="Q24" s="5"/>
      <c r="R24" s="5"/>
      <c r="S24" s="5"/>
      <c r="T24" s="5"/>
      <c r="U24" s="5"/>
    </row>
    <row r="25" ht="14.25" customHeight="1">
      <c r="A25" s="5"/>
      <c r="B25" s="5"/>
      <c r="C25" s="5"/>
      <c r="D25" s="5"/>
      <c r="E25" s="5"/>
      <c r="F25" s="5"/>
      <c r="G25" s="5"/>
      <c r="H25" s="5"/>
      <c r="I25" s="5"/>
      <c r="J25" s="5"/>
      <c r="K25" s="5"/>
      <c r="L25" s="5"/>
      <c r="M25" s="5"/>
      <c r="N25" s="5"/>
      <c r="O25" s="5"/>
      <c r="P25" s="5"/>
      <c r="Q25" s="5"/>
      <c r="R25" s="5"/>
      <c r="S25" s="5"/>
      <c r="T25" s="5"/>
      <c r="U25" s="5"/>
    </row>
    <row r="26" ht="14.25" customHeight="1">
      <c r="A26" s="5"/>
      <c r="B26" s="5"/>
      <c r="C26" s="5"/>
      <c r="D26" s="5"/>
      <c r="E26" s="5"/>
      <c r="F26" s="5"/>
      <c r="G26" s="5"/>
      <c r="H26" s="5"/>
      <c r="I26" s="5"/>
      <c r="J26" s="5"/>
      <c r="K26" s="5"/>
      <c r="L26" s="5"/>
      <c r="M26" s="5"/>
      <c r="N26" s="5"/>
      <c r="O26" s="5"/>
      <c r="P26" s="5"/>
      <c r="Q26" s="5"/>
      <c r="R26" s="5"/>
      <c r="S26" s="5"/>
      <c r="T26" s="5"/>
      <c r="U26" s="5"/>
    </row>
    <row r="27" ht="14.25" customHeight="1">
      <c r="A27" s="5"/>
      <c r="B27" s="5"/>
      <c r="C27" s="5"/>
      <c r="D27" s="5"/>
      <c r="E27" s="5"/>
      <c r="F27" s="5"/>
      <c r="G27" s="5"/>
      <c r="H27" s="5"/>
      <c r="I27" s="5"/>
      <c r="J27" s="5"/>
      <c r="K27" s="5"/>
      <c r="L27" s="5"/>
      <c r="M27" s="5"/>
      <c r="N27" s="5"/>
      <c r="O27" s="5"/>
      <c r="P27" s="5"/>
      <c r="Q27" s="5"/>
      <c r="R27" s="5"/>
      <c r="S27" s="5"/>
      <c r="T27" s="5"/>
      <c r="U27" s="5"/>
    </row>
    <row r="28" ht="14.25" customHeight="1">
      <c r="A28" s="5"/>
      <c r="B28" s="5"/>
      <c r="C28" s="5"/>
      <c r="D28" s="5"/>
      <c r="E28" s="5"/>
      <c r="F28" s="5"/>
      <c r="G28" s="5"/>
      <c r="H28" s="5"/>
      <c r="I28" s="5"/>
      <c r="J28" s="5"/>
      <c r="K28" s="5"/>
      <c r="L28" s="5"/>
      <c r="M28" s="5"/>
      <c r="N28" s="5"/>
      <c r="O28" s="5"/>
      <c r="P28" s="5"/>
      <c r="Q28" s="5"/>
      <c r="R28" s="5"/>
      <c r="S28" s="5"/>
      <c r="T28" s="5"/>
      <c r="U28" s="5"/>
    </row>
    <row r="29" ht="14.25" customHeight="1">
      <c r="A29" s="5"/>
      <c r="B29" s="5"/>
      <c r="C29" s="5"/>
      <c r="D29" s="5"/>
      <c r="E29" s="5"/>
      <c r="F29" s="5"/>
      <c r="G29" s="5"/>
      <c r="H29" s="5"/>
      <c r="I29" s="5"/>
      <c r="J29" s="5"/>
      <c r="K29" s="5"/>
      <c r="L29" s="5"/>
      <c r="M29" s="5"/>
      <c r="N29" s="5"/>
      <c r="O29" s="5"/>
      <c r="P29" s="5"/>
      <c r="Q29" s="5"/>
      <c r="R29" s="5"/>
      <c r="S29" s="5"/>
      <c r="T29" s="5"/>
      <c r="U29" s="5"/>
    </row>
    <row r="30" ht="14.25" customHeight="1">
      <c r="A30" s="5"/>
      <c r="B30" s="5"/>
      <c r="C30" s="5"/>
      <c r="D30" s="5"/>
      <c r="E30" s="5"/>
      <c r="F30" s="5"/>
      <c r="G30" s="5"/>
      <c r="H30" s="5"/>
      <c r="I30" s="5"/>
      <c r="J30" s="5"/>
      <c r="K30" s="5"/>
      <c r="L30" s="5"/>
      <c r="M30" s="5"/>
      <c r="N30" s="5"/>
      <c r="O30" s="5"/>
      <c r="P30" s="5"/>
      <c r="Q30" s="5"/>
      <c r="R30" s="5"/>
      <c r="S30" s="5"/>
      <c r="T30" s="5"/>
      <c r="U30" s="5"/>
    </row>
    <row r="31" ht="14.25" customHeight="1">
      <c r="A31" s="5"/>
      <c r="B31" s="5"/>
      <c r="C31" s="5"/>
      <c r="D31" s="5"/>
      <c r="E31" s="5"/>
      <c r="F31" s="5"/>
      <c r="G31" s="5"/>
      <c r="H31" s="5"/>
      <c r="I31" s="5"/>
      <c r="J31" s="5"/>
      <c r="K31" s="5"/>
      <c r="L31" s="5"/>
      <c r="M31" s="5"/>
      <c r="N31" s="5"/>
      <c r="O31" s="5"/>
      <c r="P31" s="5"/>
      <c r="Q31" s="5"/>
      <c r="R31" s="5"/>
      <c r="S31" s="5"/>
      <c r="T31" s="5"/>
      <c r="U31" s="5"/>
    </row>
    <row r="32" ht="14.25" customHeight="1">
      <c r="A32" s="5"/>
      <c r="B32" s="5"/>
      <c r="C32" s="5"/>
      <c r="D32" s="5"/>
      <c r="E32" s="5"/>
      <c r="F32" s="5"/>
      <c r="G32" s="5"/>
      <c r="H32" s="5"/>
      <c r="I32" s="5"/>
      <c r="J32" s="5"/>
      <c r="K32" s="5"/>
      <c r="L32" s="5"/>
      <c r="M32" s="5"/>
      <c r="N32" s="5"/>
      <c r="O32" s="5"/>
      <c r="P32" s="5"/>
      <c r="Q32" s="5"/>
      <c r="R32" s="5"/>
      <c r="S32" s="5"/>
      <c r="T32" s="5"/>
      <c r="U32" s="5"/>
    </row>
    <row r="33" ht="14.25" customHeight="1">
      <c r="A33" s="5"/>
      <c r="B33" s="5"/>
      <c r="C33" s="5"/>
      <c r="D33" s="5"/>
      <c r="E33" s="5"/>
      <c r="F33" s="5"/>
      <c r="G33" s="5"/>
      <c r="H33" s="5"/>
      <c r="I33" s="5"/>
      <c r="J33" s="5"/>
      <c r="K33" s="5"/>
      <c r="L33" s="5"/>
      <c r="M33" s="5"/>
      <c r="N33" s="5"/>
      <c r="O33" s="5"/>
      <c r="P33" s="5"/>
      <c r="Q33" s="5"/>
      <c r="R33" s="5"/>
      <c r="S33" s="5"/>
      <c r="T33" s="5"/>
      <c r="U33" s="5"/>
    </row>
    <row r="34" ht="14.25" customHeight="1">
      <c r="A34" s="5"/>
      <c r="B34" s="5"/>
      <c r="C34" s="5"/>
      <c r="D34" s="5"/>
      <c r="E34" s="5"/>
      <c r="F34" s="5"/>
      <c r="G34" s="5"/>
      <c r="H34" s="5"/>
      <c r="I34" s="5"/>
      <c r="J34" s="5"/>
      <c r="K34" s="5"/>
      <c r="L34" s="5"/>
      <c r="M34" s="5"/>
      <c r="N34" s="5"/>
      <c r="O34" s="5"/>
      <c r="P34" s="5"/>
      <c r="Q34" s="5"/>
      <c r="R34" s="5"/>
      <c r="S34" s="5"/>
      <c r="T34" s="5"/>
      <c r="U34" s="5"/>
    </row>
    <row r="35" ht="14.25" customHeight="1">
      <c r="A35" s="5"/>
      <c r="B35" s="5"/>
      <c r="C35" s="5"/>
      <c r="D35" s="5"/>
      <c r="E35" s="5"/>
      <c r="F35" s="5"/>
      <c r="G35" s="5"/>
      <c r="H35" s="5"/>
      <c r="I35" s="5"/>
      <c r="J35" s="5"/>
      <c r="K35" s="5"/>
      <c r="L35" s="5"/>
      <c r="M35" s="5"/>
      <c r="N35" s="5"/>
      <c r="O35" s="5"/>
      <c r="P35" s="5"/>
      <c r="Q35" s="5"/>
      <c r="R35" s="5"/>
      <c r="S35" s="5"/>
      <c r="T35" s="5"/>
      <c r="U35" s="5"/>
    </row>
    <row r="36" ht="14.25" customHeight="1">
      <c r="A36" s="5"/>
      <c r="B36" s="5"/>
      <c r="C36" s="5"/>
      <c r="D36" s="5"/>
      <c r="E36" s="5"/>
      <c r="F36" s="5"/>
      <c r="G36" s="5"/>
      <c r="H36" s="5"/>
      <c r="I36" s="5"/>
      <c r="J36" s="5"/>
      <c r="K36" s="5"/>
      <c r="L36" s="5"/>
      <c r="M36" s="5"/>
      <c r="N36" s="5"/>
      <c r="O36" s="5"/>
      <c r="P36" s="5"/>
      <c r="Q36" s="5"/>
      <c r="R36" s="5"/>
      <c r="S36" s="5"/>
      <c r="T36" s="5"/>
      <c r="U36" s="5"/>
    </row>
    <row r="37" ht="14.25" customHeight="1">
      <c r="A37" s="5"/>
      <c r="B37" s="5"/>
      <c r="C37" s="5"/>
      <c r="D37" s="5"/>
      <c r="E37" s="5"/>
      <c r="F37" s="5"/>
      <c r="G37" s="5"/>
      <c r="H37" s="5"/>
      <c r="I37" s="5"/>
      <c r="J37" s="5"/>
      <c r="K37" s="5"/>
      <c r="L37" s="5"/>
      <c r="M37" s="5"/>
      <c r="N37" s="5"/>
      <c r="O37" s="5"/>
      <c r="P37" s="5"/>
      <c r="Q37" s="5"/>
      <c r="R37" s="5"/>
      <c r="S37" s="5"/>
      <c r="T37" s="5"/>
      <c r="U37" s="5"/>
    </row>
    <row r="38" ht="14.25" customHeight="1">
      <c r="A38" s="5"/>
      <c r="B38" s="5"/>
      <c r="C38" s="5"/>
      <c r="D38" s="5"/>
      <c r="E38" s="5"/>
      <c r="F38" s="5"/>
      <c r="G38" s="5"/>
      <c r="H38" s="5"/>
      <c r="I38" s="5"/>
      <c r="J38" s="5"/>
      <c r="K38" s="5"/>
      <c r="L38" s="5"/>
      <c r="M38" s="5"/>
      <c r="N38" s="5"/>
      <c r="O38" s="5"/>
      <c r="P38" s="5"/>
      <c r="Q38" s="5"/>
      <c r="R38" s="5"/>
      <c r="S38" s="5"/>
      <c r="T38" s="5"/>
      <c r="U38" s="5"/>
    </row>
    <row r="39" ht="14.25" customHeight="1">
      <c r="A39" s="5"/>
      <c r="B39" s="5"/>
      <c r="C39" s="5"/>
      <c r="D39" s="5"/>
      <c r="E39" s="5"/>
      <c r="F39" s="5"/>
      <c r="G39" s="5"/>
      <c r="H39" s="5"/>
      <c r="I39" s="5"/>
      <c r="J39" s="5"/>
      <c r="K39" s="5"/>
      <c r="L39" s="5"/>
      <c r="M39" s="5"/>
      <c r="N39" s="5"/>
      <c r="O39" s="5"/>
      <c r="P39" s="5"/>
      <c r="Q39" s="5"/>
      <c r="R39" s="5"/>
      <c r="S39" s="5"/>
      <c r="T39" s="5"/>
      <c r="U39" s="5"/>
    </row>
    <row r="40" ht="14.25" customHeight="1">
      <c r="A40" s="5"/>
      <c r="B40" s="5"/>
      <c r="C40" s="5"/>
      <c r="D40" s="5"/>
      <c r="E40" s="5"/>
      <c r="F40" s="5"/>
      <c r="G40" s="5"/>
      <c r="H40" s="5"/>
      <c r="I40" s="5"/>
      <c r="J40" s="5"/>
      <c r="K40" s="5"/>
      <c r="L40" s="5"/>
      <c r="M40" s="5"/>
      <c r="N40" s="5"/>
      <c r="O40" s="5"/>
      <c r="P40" s="5"/>
      <c r="Q40" s="5"/>
      <c r="R40" s="5"/>
      <c r="S40" s="5"/>
      <c r="T40" s="5"/>
      <c r="U40" s="5"/>
    </row>
    <row r="41" ht="14.25" customHeight="1">
      <c r="A41" s="5"/>
      <c r="B41" s="5"/>
      <c r="C41" s="5"/>
      <c r="D41" s="5"/>
      <c r="E41" s="5"/>
      <c r="F41" s="5"/>
      <c r="G41" s="5"/>
      <c r="H41" s="5"/>
      <c r="I41" s="5"/>
      <c r="J41" s="5"/>
      <c r="K41" s="5"/>
      <c r="L41" s="5"/>
      <c r="M41" s="5"/>
      <c r="N41" s="5"/>
      <c r="O41" s="5"/>
      <c r="P41" s="5"/>
      <c r="Q41" s="5"/>
      <c r="R41" s="5"/>
      <c r="S41" s="5"/>
      <c r="T41" s="5"/>
      <c r="U41" s="5"/>
    </row>
    <row r="42" ht="14.25" customHeight="1">
      <c r="A42" s="5"/>
      <c r="B42" s="5"/>
      <c r="C42" s="5"/>
      <c r="D42" s="5"/>
      <c r="E42" s="5"/>
      <c r="F42" s="5"/>
      <c r="G42" s="5"/>
      <c r="H42" s="5"/>
      <c r="I42" s="5"/>
      <c r="J42" s="5"/>
      <c r="K42" s="5"/>
      <c r="L42" s="5"/>
      <c r="M42" s="5"/>
      <c r="N42" s="5"/>
      <c r="O42" s="5"/>
      <c r="P42" s="5"/>
      <c r="Q42" s="5"/>
      <c r="R42" s="5"/>
      <c r="S42" s="5"/>
      <c r="T42" s="5"/>
      <c r="U42" s="5"/>
    </row>
    <row r="43" ht="14.25" customHeight="1">
      <c r="A43" s="5"/>
      <c r="B43" s="5"/>
      <c r="C43" s="5"/>
      <c r="D43" s="5"/>
      <c r="E43" s="5"/>
      <c r="F43" s="5"/>
      <c r="G43" s="5"/>
      <c r="H43" s="5"/>
      <c r="I43" s="5"/>
      <c r="J43" s="5"/>
      <c r="K43" s="5"/>
      <c r="L43" s="5"/>
      <c r="M43" s="5"/>
      <c r="N43" s="5"/>
      <c r="O43" s="5"/>
      <c r="P43" s="5"/>
      <c r="Q43" s="5"/>
      <c r="R43" s="5"/>
      <c r="S43" s="5"/>
      <c r="T43" s="5"/>
      <c r="U43" s="5"/>
    </row>
    <row r="44" ht="14.25" customHeight="1">
      <c r="A44" s="5"/>
      <c r="B44" s="5"/>
      <c r="C44" s="5"/>
      <c r="D44" s="5"/>
      <c r="E44" s="5"/>
      <c r="F44" s="5"/>
      <c r="G44" s="5"/>
      <c r="H44" s="5"/>
      <c r="I44" s="5"/>
      <c r="J44" s="5"/>
      <c r="K44" s="5"/>
      <c r="L44" s="5"/>
      <c r="M44" s="5"/>
      <c r="N44" s="5"/>
      <c r="O44" s="5"/>
      <c r="P44" s="5"/>
      <c r="Q44" s="5"/>
      <c r="R44" s="5"/>
      <c r="S44" s="5"/>
      <c r="T44" s="5"/>
      <c r="U44" s="5"/>
    </row>
    <row r="45" ht="14.25" customHeight="1">
      <c r="A45" s="5"/>
      <c r="B45" s="5"/>
      <c r="C45" s="5"/>
      <c r="D45" s="5"/>
      <c r="E45" s="5"/>
      <c r="F45" s="5"/>
      <c r="G45" s="5"/>
      <c r="H45" s="5"/>
      <c r="I45" s="5"/>
      <c r="J45" s="5"/>
      <c r="K45" s="5"/>
      <c r="L45" s="5"/>
      <c r="M45" s="5"/>
      <c r="N45" s="5"/>
      <c r="O45" s="5"/>
      <c r="P45" s="5"/>
      <c r="Q45" s="5"/>
      <c r="R45" s="5"/>
      <c r="S45" s="5"/>
      <c r="T45" s="5"/>
      <c r="U45" s="5"/>
    </row>
    <row r="46" ht="14.25" customHeight="1">
      <c r="A46" s="5"/>
      <c r="B46" s="5"/>
      <c r="C46" s="5"/>
      <c r="D46" s="5"/>
      <c r="E46" s="5"/>
      <c r="F46" s="5"/>
      <c r="G46" s="5"/>
      <c r="H46" s="5"/>
      <c r="I46" s="5"/>
      <c r="J46" s="5"/>
      <c r="K46" s="5"/>
      <c r="L46" s="5"/>
      <c r="M46" s="5"/>
      <c r="N46" s="5"/>
      <c r="O46" s="5"/>
      <c r="P46" s="5"/>
      <c r="Q46" s="5"/>
      <c r="R46" s="5"/>
      <c r="S46" s="5"/>
      <c r="T46" s="5"/>
      <c r="U46" s="5"/>
    </row>
    <row r="47" ht="14.25" customHeight="1">
      <c r="A47" s="5"/>
      <c r="B47" s="5"/>
      <c r="C47" s="5"/>
      <c r="D47" s="5"/>
      <c r="E47" s="5"/>
      <c r="F47" s="5"/>
      <c r="G47" s="5"/>
      <c r="H47" s="5"/>
      <c r="I47" s="5"/>
      <c r="J47" s="5"/>
      <c r="K47" s="5"/>
      <c r="L47" s="5"/>
      <c r="M47" s="5"/>
      <c r="N47" s="5"/>
      <c r="O47" s="5"/>
      <c r="P47" s="5"/>
      <c r="Q47" s="5"/>
      <c r="R47" s="5"/>
      <c r="S47" s="5"/>
      <c r="T47" s="5"/>
      <c r="U47" s="5"/>
    </row>
    <row r="48" ht="14.25" customHeight="1">
      <c r="A48" s="5"/>
      <c r="B48" s="5"/>
      <c r="C48" s="5"/>
      <c r="D48" s="5"/>
      <c r="E48" s="5"/>
      <c r="F48" s="5"/>
      <c r="G48" s="5"/>
      <c r="H48" s="5"/>
      <c r="I48" s="5"/>
      <c r="J48" s="5"/>
      <c r="K48" s="5"/>
      <c r="L48" s="5"/>
      <c r="M48" s="5"/>
      <c r="N48" s="5"/>
      <c r="O48" s="5"/>
      <c r="P48" s="5"/>
      <c r="Q48" s="5"/>
      <c r="R48" s="5"/>
      <c r="S48" s="5"/>
      <c r="T48" s="5"/>
      <c r="U48" s="5"/>
    </row>
    <row r="49" ht="14.25" customHeight="1">
      <c r="A49" s="5"/>
      <c r="B49" s="5"/>
      <c r="C49" s="5"/>
      <c r="D49" s="5"/>
      <c r="E49" s="5"/>
      <c r="F49" s="5"/>
      <c r="G49" s="5"/>
      <c r="H49" s="5"/>
      <c r="I49" s="5"/>
      <c r="J49" s="5"/>
      <c r="K49" s="5"/>
      <c r="L49" s="5"/>
      <c r="M49" s="5"/>
      <c r="N49" s="5"/>
      <c r="O49" s="5"/>
      <c r="P49" s="5"/>
      <c r="Q49" s="5"/>
      <c r="R49" s="5"/>
      <c r="S49" s="5"/>
      <c r="T49" s="5"/>
      <c r="U49" s="5"/>
    </row>
    <row r="50" ht="14.25" customHeight="1">
      <c r="A50" s="5"/>
      <c r="B50" s="5"/>
      <c r="C50" s="5"/>
      <c r="D50" s="5"/>
      <c r="E50" s="5"/>
      <c r="F50" s="5"/>
      <c r="G50" s="5"/>
      <c r="H50" s="5"/>
      <c r="I50" s="5"/>
      <c r="J50" s="5"/>
      <c r="K50" s="5"/>
      <c r="L50" s="5"/>
      <c r="M50" s="5"/>
      <c r="N50" s="5"/>
      <c r="O50" s="5"/>
      <c r="P50" s="5"/>
      <c r="Q50" s="5"/>
      <c r="R50" s="5"/>
      <c r="S50" s="5"/>
      <c r="T50" s="5"/>
      <c r="U50" s="5"/>
    </row>
    <row r="51" ht="14.25" customHeight="1">
      <c r="A51" s="5"/>
      <c r="B51" s="5"/>
      <c r="C51" s="5"/>
      <c r="D51" s="5"/>
      <c r="E51" s="5"/>
      <c r="F51" s="5"/>
      <c r="G51" s="5"/>
      <c r="H51" s="5"/>
      <c r="I51" s="5"/>
      <c r="J51" s="5"/>
      <c r="K51" s="5"/>
      <c r="L51" s="5"/>
      <c r="M51" s="5"/>
      <c r="N51" s="5"/>
      <c r="O51" s="5"/>
      <c r="P51" s="5"/>
      <c r="Q51" s="5"/>
      <c r="R51" s="5"/>
      <c r="S51" s="5"/>
      <c r="T51" s="5"/>
      <c r="U51" s="5"/>
    </row>
    <row r="52" ht="14.25" customHeight="1">
      <c r="A52" s="5"/>
      <c r="B52" s="5"/>
      <c r="C52" s="5"/>
      <c r="D52" s="5"/>
      <c r="E52" s="5"/>
      <c r="F52" s="5"/>
      <c r="G52" s="5"/>
      <c r="H52" s="5"/>
      <c r="I52" s="5"/>
      <c r="J52" s="5"/>
      <c r="K52" s="5"/>
      <c r="L52" s="5"/>
      <c r="M52" s="5"/>
      <c r="N52" s="5"/>
      <c r="O52" s="5"/>
      <c r="P52" s="5"/>
      <c r="Q52" s="5"/>
      <c r="R52" s="5"/>
      <c r="S52" s="5"/>
      <c r="T52" s="5"/>
      <c r="U52" s="5"/>
    </row>
    <row r="53" ht="14.25" customHeight="1">
      <c r="A53" s="5"/>
      <c r="B53" s="5"/>
      <c r="C53" s="5"/>
      <c r="D53" s="5"/>
      <c r="E53" s="5"/>
      <c r="F53" s="5"/>
      <c r="G53" s="5"/>
      <c r="H53" s="5"/>
      <c r="I53" s="5"/>
      <c r="J53" s="5"/>
      <c r="K53" s="5"/>
      <c r="L53" s="5"/>
      <c r="M53" s="5"/>
      <c r="N53" s="5"/>
      <c r="O53" s="5"/>
      <c r="P53" s="5"/>
      <c r="Q53" s="5"/>
      <c r="R53" s="5"/>
      <c r="S53" s="5"/>
      <c r="T53" s="5"/>
      <c r="U53" s="5"/>
    </row>
    <row r="54" ht="14.25" customHeight="1">
      <c r="A54" s="5"/>
      <c r="B54" s="5"/>
      <c r="C54" s="5"/>
      <c r="D54" s="5"/>
      <c r="E54" s="5"/>
      <c r="F54" s="5"/>
      <c r="G54" s="5"/>
      <c r="H54" s="5"/>
      <c r="I54" s="5"/>
      <c r="J54" s="5"/>
      <c r="K54" s="5"/>
      <c r="L54" s="5"/>
      <c r="M54" s="5"/>
      <c r="N54" s="5"/>
      <c r="O54" s="5"/>
      <c r="P54" s="5"/>
      <c r="Q54" s="5"/>
      <c r="R54" s="5"/>
      <c r="S54" s="5"/>
      <c r="T54" s="5"/>
      <c r="U54" s="5"/>
    </row>
    <row r="55" ht="14.25" customHeight="1">
      <c r="A55" s="5"/>
      <c r="B55" s="5"/>
      <c r="C55" s="5"/>
      <c r="D55" s="5"/>
      <c r="E55" s="5"/>
      <c r="F55" s="5"/>
      <c r="G55" s="5"/>
      <c r="H55" s="5"/>
      <c r="I55" s="5"/>
      <c r="J55" s="5"/>
      <c r="K55" s="5"/>
      <c r="L55" s="5"/>
      <c r="M55" s="5"/>
      <c r="N55" s="5"/>
      <c r="O55" s="5"/>
      <c r="P55" s="5"/>
      <c r="Q55" s="5"/>
      <c r="R55" s="5"/>
      <c r="S55" s="5"/>
      <c r="T55" s="5"/>
      <c r="U55" s="5"/>
    </row>
    <row r="56" ht="14.25" customHeight="1">
      <c r="A56" s="5"/>
      <c r="B56" s="5"/>
      <c r="C56" s="5"/>
      <c r="D56" s="5"/>
      <c r="E56" s="5"/>
      <c r="F56" s="5"/>
      <c r="G56" s="5"/>
      <c r="H56" s="5"/>
      <c r="I56" s="5"/>
      <c r="J56" s="5"/>
      <c r="K56" s="5"/>
      <c r="L56" s="5"/>
      <c r="M56" s="5"/>
      <c r="N56" s="5"/>
      <c r="O56" s="5"/>
      <c r="P56" s="5"/>
      <c r="Q56" s="5"/>
      <c r="R56" s="5"/>
      <c r="S56" s="5"/>
      <c r="T56" s="5"/>
      <c r="U56" s="5"/>
    </row>
    <row r="57" ht="14.25" customHeight="1">
      <c r="A57" s="5"/>
      <c r="B57" s="5"/>
      <c r="C57" s="5"/>
      <c r="D57" s="5"/>
      <c r="E57" s="5"/>
      <c r="F57" s="5"/>
      <c r="G57" s="5"/>
      <c r="H57" s="5"/>
      <c r="I57" s="5"/>
      <c r="J57" s="5"/>
      <c r="K57" s="5"/>
      <c r="L57" s="5"/>
      <c r="M57" s="5"/>
      <c r="N57" s="5"/>
      <c r="O57" s="5"/>
      <c r="P57" s="5"/>
      <c r="Q57" s="5"/>
      <c r="R57" s="5"/>
      <c r="S57" s="5"/>
      <c r="T57" s="5"/>
      <c r="U57" s="5"/>
    </row>
    <row r="58" ht="14.25" customHeight="1">
      <c r="A58" s="5"/>
      <c r="B58" s="5"/>
      <c r="C58" s="5"/>
      <c r="D58" s="5"/>
      <c r="E58" s="5"/>
      <c r="F58" s="5"/>
      <c r="G58" s="5"/>
      <c r="H58" s="5"/>
      <c r="I58" s="5"/>
      <c r="J58" s="5"/>
      <c r="K58" s="5"/>
      <c r="L58" s="5"/>
      <c r="M58" s="5"/>
      <c r="N58" s="5"/>
      <c r="O58" s="5"/>
      <c r="P58" s="5"/>
      <c r="Q58" s="5"/>
      <c r="R58" s="5"/>
      <c r="S58" s="5"/>
      <c r="T58" s="5"/>
      <c r="U58" s="5"/>
    </row>
    <row r="59" ht="14.25" customHeight="1">
      <c r="A59" s="5"/>
      <c r="B59" s="5"/>
      <c r="C59" s="5"/>
      <c r="D59" s="5"/>
      <c r="E59" s="5"/>
      <c r="F59" s="5"/>
      <c r="G59" s="5"/>
      <c r="H59" s="5"/>
      <c r="I59" s="5"/>
      <c r="J59" s="5"/>
      <c r="K59" s="5"/>
      <c r="L59" s="5"/>
      <c r="M59" s="5"/>
      <c r="N59" s="5"/>
      <c r="O59" s="5"/>
      <c r="P59" s="5"/>
      <c r="Q59" s="5"/>
      <c r="R59" s="5"/>
      <c r="S59" s="5"/>
      <c r="T59" s="5"/>
      <c r="U59" s="5"/>
    </row>
    <row r="60" ht="14.25" customHeight="1">
      <c r="A60" s="5"/>
      <c r="B60" s="5"/>
      <c r="C60" s="5"/>
      <c r="D60" s="5"/>
      <c r="E60" s="5"/>
      <c r="F60" s="5"/>
      <c r="G60" s="5"/>
      <c r="H60" s="5"/>
      <c r="I60" s="5"/>
      <c r="J60" s="5"/>
      <c r="K60" s="5"/>
      <c r="L60" s="5"/>
      <c r="M60" s="5"/>
      <c r="N60" s="5"/>
      <c r="O60" s="5"/>
      <c r="P60" s="5"/>
      <c r="Q60" s="5"/>
      <c r="R60" s="5"/>
      <c r="S60" s="5"/>
      <c r="T60" s="5"/>
      <c r="U60" s="5"/>
    </row>
    <row r="61" ht="14.25" customHeight="1">
      <c r="A61" s="5"/>
      <c r="B61" s="5"/>
      <c r="C61" s="5"/>
      <c r="D61" s="5"/>
      <c r="E61" s="5"/>
      <c r="F61" s="5"/>
      <c r="G61" s="5"/>
      <c r="H61" s="5"/>
      <c r="I61" s="5"/>
      <c r="J61" s="5"/>
      <c r="K61" s="5"/>
      <c r="L61" s="5"/>
      <c r="M61" s="5"/>
      <c r="N61" s="5"/>
      <c r="O61" s="5"/>
      <c r="P61" s="5"/>
      <c r="Q61" s="5"/>
      <c r="R61" s="5"/>
      <c r="S61" s="5"/>
      <c r="T61" s="5"/>
      <c r="U61" s="5"/>
    </row>
    <row r="62" ht="14.25" customHeight="1">
      <c r="A62" s="5"/>
      <c r="B62" s="5"/>
      <c r="C62" s="5"/>
      <c r="D62" s="5"/>
      <c r="E62" s="5"/>
      <c r="F62" s="5"/>
      <c r="G62" s="5"/>
      <c r="H62" s="5"/>
      <c r="I62" s="5"/>
      <c r="J62" s="5"/>
      <c r="K62" s="5"/>
      <c r="L62" s="5"/>
      <c r="M62" s="5"/>
      <c r="N62" s="5"/>
      <c r="O62" s="5"/>
      <c r="P62" s="5"/>
      <c r="Q62" s="5"/>
      <c r="R62" s="5"/>
      <c r="S62" s="5"/>
      <c r="T62" s="5"/>
      <c r="U62" s="5"/>
    </row>
    <row r="63" ht="14.25" customHeight="1">
      <c r="A63" s="5"/>
      <c r="B63" s="5"/>
      <c r="C63" s="5"/>
      <c r="D63" s="5"/>
      <c r="E63" s="5"/>
      <c r="F63" s="5"/>
      <c r="G63" s="5"/>
      <c r="H63" s="5"/>
      <c r="I63" s="5"/>
      <c r="J63" s="5"/>
      <c r="K63" s="5"/>
      <c r="L63" s="5"/>
      <c r="M63" s="5"/>
      <c r="N63" s="5"/>
      <c r="O63" s="5"/>
      <c r="P63" s="5"/>
      <c r="Q63" s="5"/>
      <c r="R63" s="5"/>
      <c r="S63" s="5"/>
      <c r="T63" s="5"/>
      <c r="U63" s="5"/>
    </row>
    <row r="64" ht="14.25" customHeight="1">
      <c r="A64" s="5"/>
      <c r="B64" s="5"/>
      <c r="C64" s="5"/>
      <c r="D64" s="5"/>
      <c r="E64" s="5"/>
      <c r="F64" s="5"/>
      <c r="G64" s="5"/>
      <c r="H64" s="5"/>
      <c r="I64" s="5"/>
      <c r="J64" s="5"/>
      <c r="K64" s="5"/>
      <c r="L64" s="5"/>
      <c r="M64" s="5"/>
      <c r="N64" s="5"/>
      <c r="O64" s="5"/>
      <c r="P64" s="5"/>
      <c r="Q64" s="5"/>
      <c r="R64" s="5"/>
      <c r="S64" s="5"/>
      <c r="T64" s="5"/>
      <c r="U64" s="5"/>
    </row>
    <row r="65" ht="14.25" customHeight="1">
      <c r="A65" s="5"/>
      <c r="B65" s="5"/>
      <c r="C65" s="5"/>
      <c r="D65" s="5"/>
      <c r="E65" s="5"/>
      <c r="F65" s="5"/>
      <c r="G65" s="5"/>
      <c r="H65" s="5"/>
      <c r="I65" s="5"/>
      <c r="J65" s="5"/>
      <c r="K65" s="5"/>
      <c r="L65" s="5"/>
      <c r="M65" s="5"/>
      <c r="N65" s="5"/>
      <c r="O65" s="5"/>
      <c r="P65" s="5"/>
      <c r="Q65" s="5"/>
      <c r="R65" s="5"/>
      <c r="S65" s="5"/>
      <c r="T65" s="5"/>
      <c r="U65" s="5"/>
    </row>
    <row r="66" ht="14.25" customHeight="1">
      <c r="A66" s="5"/>
      <c r="B66" s="5"/>
      <c r="C66" s="5"/>
      <c r="D66" s="5"/>
      <c r="E66" s="5"/>
      <c r="F66" s="5"/>
      <c r="G66" s="5"/>
      <c r="H66" s="5"/>
      <c r="I66" s="5"/>
      <c r="J66" s="5"/>
      <c r="K66" s="5"/>
      <c r="L66" s="5"/>
      <c r="M66" s="5"/>
      <c r="N66" s="5"/>
      <c r="O66" s="5"/>
      <c r="P66" s="5"/>
      <c r="Q66" s="5"/>
      <c r="R66" s="5"/>
      <c r="S66" s="5"/>
      <c r="T66" s="5"/>
      <c r="U66" s="5"/>
    </row>
    <row r="67" ht="14.25" customHeight="1">
      <c r="A67" s="5"/>
      <c r="B67" s="5"/>
      <c r="C67" s="5"/>
      <c r="D67" s="5"/>
      <c r="E67" s="5"/>
      <c r="F67" s="5"/>
      <c r="G67" s="5"/>
      <c r="H67" s="5"/>
      <c r="I67" s="5"/>
      <c r="J67" s="5"/>
      <c r="K67" s="5"/>
      <c r="L67" s="5"/>
      <c r="M67" s="5"/>
      <c r="N67" s="5"/>
      <c r="O67" s="5"/>
      <c r="P67" s="5"/>
      <c r="Q67" s="5"/>
      <c r="R67" s="5"/>
      <c r="S67" s="5"/>
      <c r="T67" s="5"/>
      <c r="U67" s="5"/>
    </row>
    <row r="68" ht="14.25" customHeight="1">
      <c r="A68" s="5"/>
      <c r="B68" s="5"/>
      <c r="C68" s="5"/>
      <c r="D68" s="5"/>
      <c r="E68" s="5"/>
      <c r="F68" s="5"/>
      <c r="G68" s="5"/>
      <c r="H68" s="5"/>
      <c r="I68" s="5"/>
      <c r="J68" s="5"/>
      <c r="K68" s="5"/>
      <c r="L68" s="5"/>
      <c r="M68" s="5"/>
      <c r="N68" s="5"/>
      <c r="O68" s="5"/>
      <c r="P68" s="5"/>
      <c r="Q68" s="5"/>
      <c r="R68" s="5"/>
      <c r="S68" s="5"/>
      <c r="T68" s="5"/>
      <c r="U68" s="5"/>
    </row>
    <row r="69" ht="14.25" customHeight="1">
      <c r="A69" s="5"/>
      <c r="B69" s="5"/>
      <c r="C69" s="5"/>
      <c r="D69" s="5"/>
      <c r="E69" s="5"/>
      <c r="F69" s="5"/>
      <c r="G69" s="5"/>
      <c r="H69" s="5"/>
      <c r="I69" s="5"/>
      <c r="J69" s="5"/>
      <c r="K69" s="5"/>
      <c r="L69" s="5"/>
      <c r="M69" s="5"/>
      <c r="N69" s="5"/>
      <c r="O69" s="5"/>
      <c r="P69" s="5"/>
      <c r="Q69" s="5"/>
      <c r="R69" s="5"/>
      <c r="S69" s="5"/>
      <c r="T69" s="5"/>
      <c r="U69" s="5"/>
    </row>
    <row r="70" ht="14.25" customHeight="1">
      <c r="A70" s="5"/>
      <c r="B70" s="5"/>
      <c r="C70" s="5"/>
      <c r="D70" s="5"/>
      <c r="E70" s="5"/>
      <c r="F70" s="5"/>
      <c r="G70" s="5"/>
      <c r="H70" s="5"/>
      <c r="I70" s="5"/>
      <c r="J70" s="5"/>
      <c r="K70" s="5"/>
      <c r="L70" s="5"/>
      <c r="M70" s="5"/>
      <c r="N70" s="5"/>
      <c r="O70" s="5"/>
      <c r="P70" s="5"/>
      <c r="Q70" s="5"/>
      <c r="R70" s="5"/>
      <c r="S70" s="5"/>
      <c r="T70" s="5"/>
      <c r="U70" s="5"/>
    </row>
    <row r="71" ht="14.25" customHeight="1">
      <c r="A71" s="5"/>
      <c r="B71" s="5"/>
      <c r="C71" s="5"/>
      <c r="D71" s="5"/>
      <c r="E71" s="5"/>
      <c r="F71" s="5"/>
      <c r="G71" s="5"/>
      <c r="H71" s="5"/>
      <c r="I71" s="5"/>
      <c r="J71" s="5"/>
      <c r="K71" s="5"/>
      <c r="L71" s="5"/>
      <c r="M71" s="5"/>
      <c r="N71" s="5"/>
      <c r="O71" s="5"/>
      <c r="P71" s="5"/>
      <c r="Q71" s="5"/>
      <c r="R71" s="5"/>
      <c r="S71" s="5"/>
      <c r="T71" s="5"/>
      <c r="U71" s="5"/>
    </row>
    <row r="72" ht="14.25" customHeight="1">
      <c r="A72" s="5"/>
      <c r="B72" s="5"/>
      <c r="C72" s="5"/>
      <c r="D72" s="5"/>
      <c r="E72" s="5"/>
      <c r="F72" s="5"/>
      <c r="G72" s="5"/>
      <c r="H72" s="5"/>
      <c r="I72" s="5"/>
      <c r="J72" s="5"/>
      <c r="K72" s="5"/>
      <c r="L72" s="5"/>
      <c r="M72" s="5"/>
      <c r="N72" s="5"/>
      <c r="O72" s="5"/>
      <c r="P72" s="5"/>
      <c r="Q72" s="5"/>
      <c r="R72" s="5"/>
      <c r="S72" s="5"/>
      <c r="T72" s="5"/>
      <c r="U72" s="5"/>
    </row>
    <row r="73" ht="14.25" customHeight="1">
      <c r="A73" s="5"/>
      <c r="B73" s="5"/>
      <c r="C73" s="5"/>
      <c r="D73" s="5"/>
      <c r="E73" s="5"/>
      <c r="F73" s="5"/>
      <c r="G73" s="5"/>
      <c r="H73" s="5"/>
      <c r="I73" s="5"/>
      <c r="J73" s="5"/>
      <c r="K73" s="5"/>
      <c r="L73" s="5"/>
      <c r="M73" s="5"/>
      <c r="N73" s="5"/>
      <c r="O73" s="5"/>
      <c r="P73" s="5"/>
      <c r="Q73" s="5"/>
      <c r="R73" s="5"/>
      <c r="S73" s="5"/>
      <c r="T73" s="5"/>
      <c r="U73" s="5"/>
    </row>
    <row r="74" ht="14.25" customHeight="1">
      <c r="A74" s="5"/>
      <c r="B74" s="5"/>
      <c r="C74" s="5"/>
      <c r="D74" s="5"/>
      <c r="E74" s="5"/>
      <c r="F74" s="5"/>
      <c r="G74" s="5"/>
      <c r="H74" s="5"/>
      <c r="I74" s="5"/>
      <c r="J74" s="5"/>
      <c r="K74" s="5"/>
      <c r="L74" s="5"/>
      <c r="M74" s="5"/>
      <c r="N74" s="5"/>
      <c r="O74" s="5"/>
      <c r="P74" s="5"/>
      <c r="Q74" s="5"/>
      <c r="R74" s="5"/>
      <c r="S74" s="5"/>
      <c r="T74" s="5"/>
      <c r="U74" s="5"/>
    </row>
    <row r="75" ht="14.25" customHeight="1">
      <c r="A75" s="5"/>
      <c r="B75" s="5"/>
      <c r="C75" s="5"/>
      <c r="D75" s="5"/>
      <c r="E75" s="5"/>
      <c r="F75" s="5"/>
      <c r="G75" s="5"/>
      <c r="H75" s="5"/>
      <c r="I75" s="5"/>
      <c r="J75" s="5"/>
      <c r="K75" s="5"/>
      <c r="L75" s="5"/>
      <c r="M75" s="5"/>
      <c r="N75" s="5"/>
      <c r="O75" s="5"/>
      <c r="P75" s="5"/>
      <c r="Q75" s="5"/>
      <c r="R75" s="5"/>
      <c r="S75" s="5"/>
      <c r="T75" s="5"/>
      <c r="U75" s="5"/>
    </row>
    <row r="76" ht="14.25" customHeight="1">
      <c r="A76" s="5"/>
      <c r="B76" s="5"/>
      <c r="C76" s="5"/>
      <c r="D76" s="5"/>
      <c r="E76" s="5"/>
      <c r="F76" s="5"/>
      <c r="G76" s="5"/>
      <c r="H76" s="5"/>
      <c r="I76" s="5"/>
      <c r="J76" s="5"/>
      <c r="K76" s="5"/>
      <c r="L76" s="5"/>
      <c r="M76" s="5"/>
      <c r="N76" s="5"/>
      <c r="O76" s="5"/>
      <c r="P76" s="5"/>
      <c r="Q76" s="5"/>
      <c r="R76" s="5"/>
      <c r="S76" s="5"/>
      <c r="T76" s="5"/>
      <c r="U76" s="5"/>
    </row>
    <row r="77" ht="14.25" customHeight="1">
      <c r="A77" s="5"/>
      <c r="B77" s="5"/>
      <c r="C77" s="5"/>
      <c r="D77" s="5"/>
      <c r="E77" s="5"/>
      <c r="F77" s="5"/>
      <c r="G77" s="5"/>
      <c r="H77" s="5"/>
      <c r="I77" s="5"/>
      <c r="J77" s="5"/>
      <c r="K77" s="5"/>
      <c r="L77" s="5"/>
      <c r="M77" s="5"/>
      <c r="N77" s="5"/>
      <c r="O77" s="5"/>
      <c r="P77" s="5"/>
      <c r="Q77" s="5"/>
      <c r="R77" s="5"/>
      <c r="S77" s="5"/>
      <c r="T77" s="5"/>
      <c r="U77" s="5"/>
    </row>
    <row r="78" ht="14.25" customHeight="1">
      <c r="A78" s="5"/>
      <c r="B78" s="5"/>
      <c r="C78" s="5"/>
      <c r="D78" s="5"/>
      <c r="E78" s="5"/>
      <c r="F78" s="5"/>
      <c r="G78" s="5"/>
      <c r="H78" s="5"/>
      <c r="I78" s="5"/>
      <c r="J78" s="5"/>
      <c r="K78" s="5"/>
      <c r="L78" s="5"/>
      <c r="M78" s="5"/>
      <c r="N78" s="5"/>
      <c r="O78" s="5"/>
      <c r="P78" s="5"/>
      <c r="Q78" s="5"/>
      <c r="R78" s="5"/>
      <c r="S78" s="5"/>
      <c r="T78" s="5"/>
      <c r="U78" s="5"/>
    </row>
    <row r="79" ht="14.25" customHeight="1">
      <c r="A79" s="5"/>
      <c r="B79" s="5"/>
      <c r="C79" s="5"/>
      <c r="D79" s="5"/>
      <c r="E79" s="5"/>
      <c r="F79" s="5"/>
      <c r="G79" s="5"/>
      <c r="H79" s="5"/>
      <c r="I79" s="5"/>
      <c r="J79" s="5"/>
      <c r="K79" s="5"/>
      <c r="L79" s="5"/>
      <c r="M79" s="5"/>
      <c r="N79" s="5"/>
      <c r="O79" s="5"/>
      <c r="P79" s="5"/>
      <c r="Q79" s="5"/>
      <c r="R79" s="5"/>
      <c r="S79" s="5"/>
      <c r="T79" s="5"/>
      <c r="U79" s="5"/>
    </row>
    <row r="80" ht="14.25" customHeight="1">
      <c r="A80" s="5"/>
      <c r="B80" s="5"/>
      <c r="C80" s="5"/>
      <c r="D80" s="5"/>
      <c r="E80" s="5"/>
      <c r="F80" s="5"/>
      <c r="G80" s="5"/>
      <c r="H80" s="5"/>
      <c r="I80" s="5"/>
      <c r="J80" s="5"/>
      <c r="K80" s="5"/>
      <c r="L80" s="5"/>
      <c r="M80" s="5"/>
      <c r="N80" s="5"/>
      <c r="O80" s="5"/>
      <c r="P80" s="5"/>
      <c r="Q80" s="5"/>
      <c r="R80" s="5"/>
      <c r="S80" s="5"/>
      <c r="T80" s="5"/>
      <c r="U80" s="5"/>
    </row>
    <row r="81" ht="14.25" customHeight="1">
      <c r="A81" s="5"/>
      <c r="B81" s="5"/>
      <c r="C81" s="5"/>
      <c r="D81" s="5"/>
      <c r="E81" s="5"/>
      <c r="F81" s="5"/>
      <c r="G81" s="5"/>
      <c r="H81" s="5"/>
      <c r="I81" s="5"/>
      <c r="J81" s="5"/>
      <c r="K81" s="5"/>
      <c r="L81" s="5"/>
      <c r="M81" s="5"/>
      <c r="N81" s="5"/>
      <c r="O81" s="5"/>
      <c r="P81" s="5"/>
      <c r="Q81" s="5"/>
      <c r="R81" s="5"/>
      <c r="S81" s="5"/>
      <c r="T81" s="5"/>
      <c r="U81" s="5"/>
    </row>
    <row r="82" ht="14.25" customHeight="1">
      <c r="A82" s="5"/>
      <c r="B82" s="5"/>
      <c r="C82" s="5"/>
      <c r="D82" s="5"/>
      <c r="E82" s="5"/>
      <c r="F82" s="5"/>
      <c r="G82" s="5"/>
      <c r="H82" s="5"/>
      <c r="I82" s="5"/>
      <c r="J82" s="5"/>
      <c r="K82" s="5"/>
      <c r="L82" s="5"/>
      <c r="M82" s="5"/>
      <c r="N82" s="5"/>
      <c r="O82" s="5"/>
      <c r="P82" s="5"/>
      <c r="Q82" s="5"/>
      <c r="R82" s="5"/>
      <c r="S82" s="5"/>
      <c r="T82" s="5"/>
      <c r="U82" s="5"/>
    </row>
    <row r="83" ht="14.25" customHeight="1">
      <c r="A83" s="5"/>
      <c r="B83" s="5"/>
      <c r="C83" s="5"/>
      <c r="D83" s="5"/>
      <c r="E83" s="5"/>
      <c r="F83" s="5"/>
      <c r="G83" s="5"/>
      <c r="H83" s="5"/>
      <c r="I83" s="5"/>
      <c r="J83" s="5"/>
      <c r="K83" s="5"/>
      <c r="L83" s="5"/>
      <c r="M83" s="5"/>
      <c r="N83" s="5"/>
      <c r="O83" s="5"/>
      <c r="P83" s="5"/>
      <c r="Q83" s="5"/>
      <c r="R83" s="5"/>
      <c r="S83" s="5"/>
      <c r="T83" s="5"/>
      <c r="U83" s="5"/>
    </row>
    <row r="84" ht="14.25" customHeight="1">
      <c r="A84" s="5"/>
      <c r="B84" s="5"/>
      <c r="C84" s="5"/>
      <c r="D84" s="5"/>
      <c r="E84" s="5"/>
      <c r="F84" s="5"/>
      <c r="G84" s="5"/>
      <c r="H84" s="5"/>
      <c r="I84" s="5"/>
      <c r="J84" s="5"/>
      <c r="K84" s="5"/>
      <c r="L84" s="5"/>
      <c r="M84" s="5"/>
      <c r="N84" s="5"/>
      <c r="O84" s="5"/>
      <c r="P84" s="5"/>
      <c r="Q84" s="5"/>
      <c r="R84" s="5"/>
      <c r="S84" s="5"/>
      <c r="T84" s="5"/>
      <c r="U84" s="5"/>
    </row>
    <row r="85" ht="14.25" customHeight="1">
      <c r="A85" s="5"/>
      <c r="B85" s="5"/>
      <c r="C85" s="5"/>
      <c r="D85" s="5"/>
      <c r="E85" s="5"/>
      <c r="F85" s="5"/>
      <c r="G85" s="5"/>
      <c r="H85" s="5"/>
      <c r="I85" s="5"/>
      <c r="J85" s="5"/>
      <c r="K85" s="5"/>
      <c r="L85" s="5"/>
      <c r="M85" s="5"/>
      <c r="N85" s="5"/>
      <c r="O85" s="5"/>
      <c r="P85" s="5"/>
      <c r="Q85" s="5"/>
      <c r="R85" s="5"/>
      <c r="S85" s="5"/>
      <c r="T85" s="5"/>
      <c r="U85" s="5"/>
    </row>
    <row r="86" ht="14.25" customHeight="1">
      <c r="A86" s="5"/>
      <c r="B86" s="5"/>
      <c r="C86" s="5"/>
      <c r="D86" s="5"/>
      <c r="E86" s="5"/>
      <c r="F86" s="5"/>
      <c r="G86" s="5"/>
      <c r="H86" s="5"/>
      <c r="I86" s="5"/>
      <c r="J86" s="5"/>
      <c r="K86" s="5"/>
      <c r="L86" s="5"/>
      <c r="M86" s="5"/>
      <c r="N86" s="5"/>
      <c r="O86" s="5"/>
      <c r="P86" s="5"/>
      <c r="Q86" s="5"/>
      <c r="R86" s="5"/>
      <c r="S86" s="5"/>
      <c r="T86" s="5"/>
      <c r="U86" s="5"/>
    </row>
    <row r="87" ht="14.25" customHeight="1">
      <c r="A87" s="5"/>
      <c r="B87" s="5"/>
      <c r="C87" s="5"/>
      <c r="D87" s="5"/>
      <c r="E87" s="5"/>
      <c r="F87" s="5"/>
      <c r="G87" s="5"/>
      <c r="H87" s="5"/>
      <c r="I87" s="5"/>
      <c r="J87" s="5"/>
      <c r="K87" s="5"/>
      <c r="L87" s="5"/>
      <c r="M87" s="5"/>
      <c r="N87" s="5"/>
      <c r="O87" s="5"/>
      <c r="P87" s="5"/>
      <c r="Q87" s="5"/>
      <c r="R87" s="5"/>
      <c r="S87" s="5"/>
      <c r="T87" s="5"/>
      <c r="U87" s="5"/>
    </row>
    <row r="88" ht="14.25" customHeight="1">
      <c r="A88" s="5"/>
      <c r="B88" s="5"/>
      <c r="C88" s="5"/>
      <c r="D88" s="5"/>
      <c r="E88" s="5"/>
      <c r="F88" s="5"/>
      <c r="G88" s="5"/>
      <c r="H88" s="5"/>
      <c r="I88" s="5"/>
      <c r="J88" s="5"/>
      <c r="K88" s="5"/>
      <c r="L88" s="5"/>
      <c r="M88" s="5"/>
      <c r="N88" s="5"/>
      <c r="O88" s="5"/>
      <c r="P88" s="5"/>
      <c r="Q88" s="5"/>
      <c r="R88" s="5"/>
      <c r="S88" s="5"/>
      <c r="T88" s="5"/>
      <c r="U88" s="5"/>
    </row>
    <row r="89" ht="14.25" customHeight="1">
      <c r="A89" s="5"/>
      <c r="B89" s="5"/>
      <c r="C89" s="5"/>
      <c r="D89" s="5"/>
      <c r="E89" s="5"/>
      <c r="F89" s="5"/>
      <c r="G89" s="5"/>
      <c r="H89" s="5"/>
      <c r="I89" s="5"/>
      <c r="J89" s="5"/>
      <c r="K89" s="5"/>
      <c r="L89" s="5"/>
      <c r="M89" s="5"/>
      <c r="N89" s="5"/>
      <c r="O89" s="5"/>
      <c r="P89" s="5"/>
      <c r="Q89" s="5"/>
      <c r="R89" s="5"/>
      <c r="S89" s="5"/>
      <c r="T89" s="5"/>
      <c r="U89" s="5"/>
    </row>
    <row r="90" ht="14.25" customHeight="1">
      <c r="A90" s="5"/>
      <c r="B90" s="5"/>
      <c r="C90" s="5"/>
      <c r="D90" s="5"/>
      <c r="E90" s="5"/>
      <c r="F90" s="5"/>
      <c r="G90" s="5"/>
      <c r="H90" s="5"/>
      <c r="I90" s="5"/>
      <c r="J90" s="5"/>
      <c r="K90" s="5"/>
      <c r="L90" s="5"/>
      <c r="M90" s="5"/>
      <c r="N90" s="5"/>
      <c r="O90" s="5"/>
      <c r="P90" s="5"/>
      <c r="Q90" s="5"/>
      <c r="R90" s="5"/>
      <c r="S90" s="5"/>
      <c r="T90" s="5"/>
      <c r="U90" s="5"/>
    </row>
    <row r="91" ht="14.25" customHeight="1">
      <c r="A91" s="5"/>
      <c r="B91" s="5"/>
      <c r="C91" s="5"/>
      <c r="D91" s="5"/>
      <c r="E91" s="5"/>
      <c r="F91" s="5"/>
      <c r="G91" s="5"/>
      <c r="H91" s="5"/>
      <c r="I91" s="5"/>
      <c r="J91" s="5"/>
      <c r="K91" s="5"/>
      <c r="L91" s="5"/>
      <c r="M91" s="5"/>
      <c r="N91" s="5"/>
      <c r="O91" s="5"/>
      <c r="P91" s="5"/>
      <c r="Q91" s="5"/>
      <c r="R91" s="5"/>
      <c r="S91" s="5"/>
      <c r="T91" s="5"/>
      <c r="U91" s="5"/>
    </row>
    <row r="92" ht="14.25" customHeight="1">
      <c r="A92" s="5"/>
      <c r="B92" s="5"/>
      <c r="C92" s="5"/>
      <c r="D92" s="5"/>
      <c r="E92" s="5"/>
      <c r="F92" s="5"/>
      <c r="G92" s="5"/>
      <c r="H92" s="5"/>
      <c r="I92" s="5"/>
      <c r="J92" s="5"/>
      <c r="K92" s="5"/>
      <c r="L92" s="5"/>
      <c r="M92" s="5"/>
      <c r="N92" s="5"/>
      <c r="O92" s="5"/>
      <c r="P92" s="5"/>
      <c r="Q92" s="5"/>
      <c r="R92" s="5"/>
      <c r="S92" s="5"/>
      <c r="T92" s="5"/>
      <c r="U92" s="5"/>
    </row>
    <row r="93" ht="14.25" customHeight="1">
      <c r="A93" s="5"/>
      <c r="B93" s="5"/>
      <c r="C93" s="5"/>
      <c r="D93" s="5"/>
      <c r="E93" s="5"/>
      <c r="F93" s="5"/>
      <c r="G93" s="5"/>
      <c r="H93" s="5"/>
      <c r="I93" s="5"/>
      <c r="J93" s="5"/>
      <c r="K93" s="5"/>
      <c r="L93" s="5"/>
      <c r="M93" s="5"/>
      <c r="N93" s="5"/>
      <c r="O93" s="5"/>
      <c r="P93" s="5"/>
      <c r="Q93" s="5"/>
      <c r="R93" s="5"/>
      <c r="S93" s="5"/>
      <c r="T93" s="5"/>
      <c r="U93" s="5"/>
    </row>
    <row r="94" ht="14.25" customHeight="1">
      <c r="A94" s="5"/>
      <c r="B94" s="5"/>
      <c r="C94" s="5"/>
      <c r="D94" s="5"/>
      <c r="E94" s="5"/>
      <c r="F94" s="5"/>
      <c r="G94" s="5"/>
      <c r="H94" s="5"/>
      <c r="I94" s="5"/>
      <c r="J94" s="5"/>
      <c r="K94" s="5"/>
      <c r="L94" s="5"/>
      <c r="M94" s="5"/>
      <c r="N94" s="5"/>
      <c r="O94" s="5"/>
      <c r="P94" s="5"/>
      <c r="Q94" s="5"/>
      <c r="R94" s="5"/>
      <c r="S94" s="5"/>
      <c r="T94" s="5"/>
      <c r="U94" s="5"/>
    </row>
    <row r="95" ht="14.25" customHeight="1">
      <c r="A95" s="5"/>
      <c r="B95" s="5"/>
      <c r="C95" s="5"/>
      <c r="D95" s="5"/>
      <c r="E95" s="5"/>
      <c r="F95" s="5"/>
      <c r="G95" s="5"/>
      <c r="H95" s="5"/>
      <c r="I95" s="5"/>
      <c r="J95" s="5"/>
      <c r="K95" s="5"/>
      <c r="L95" s="5"/>
      <c r="M95" s="5"/>
      <c r="N95" s="5"/>
      <c r="O95" s="5"/>
      <c r="P95" s="5"/>
      <c r="Q95" s="5"/>
      <c r="R95" s="5"/>
      <c r="S95" s="5"/>
      <c r="T95" s="5"/>
      <c r="U95" s="5"/>
    </row>
    <row r="96" ht="14.25" customHeight="1">
      <c r="A96" s="5"/>
      <c r="B96" s="5"/>
      <c r="C96" s="5"/>
      <c r="D96" s="5"/>
      <c r="E96" s="5"/>
      <c r="F96" s="5"/>
      <c r="G96" s="5"/>
      <c r="H96" s="5"/>
      <c r="I96" s="5"/>
      <c r="J96" s="5"/>
      <c r="K96" s="5"/>
      <c r="L96" s="5"/>
      <c r="M96" s="5"/>
      <c r="N96" s="5"/>
      <c r="O96" s="5"/>
      <c r="P96" s="5"/>
      <c r="Q96" s="5"/>
      <c r="R96" s="5"/>
      <c r="S96" s="5"/>
      <c r="T96" s="5"/>
      <c r="U96" s="5"/>
    </row>
    <row r="97" ht="14.25" customHeight="1">
      <c r="A97" s="5"/>
      <c r="B97" s="5"/>
      <c r="C97" s="5"/>
      <c r="D97" s="5"/>
      <c r="E97" s="5"/>
      <c r="F97" s="5"/>
      <c r="G97" s="5"/>
      <c r="H97" s="5"/>
      <c r="I97" s="5"/>
      <c r="J97" s="5"/>
      <c r="K97" s="5"/>
      <c r="L97" s="5"/>
      <c r="M97" s="5"/>
      <c r="N97" s="5"/>
      <c r="O97" s="5"/>
      <c r="P97" s="5"/>
      <c r="Q97" s="5"/>
      <c r="R97" s="5"/>
      <c r="S97" s="5"/>
      <c r="T97" s="5"/>
      <c r="U97" s="5"/>
    </row>
    <row r="98" ht="14.25" customHeight="1">
      <c r="A98" s="5"/>
      <c r="B98" s="5"/>
      <c r="C98" s="5"/>
      <c r="D98" s="5"/>
      <c r="E98" s="5"/>
      <c r="F98" s="5"/>
      <c r="G98" s="5"/>
      <c r="H98" s="5"/>
      <c r="I98" s="5"/>
      <c r="J98" s="5"/>
      <c r="K98" s="5"/>
      <c r="L98" s="5"/>
      <c r="M98" s="5"/>
      <c r="N98" s="5"/>
      <c r="O98" s="5"/>
      <c r="P98" s="5"/>
      <c r="Q98" s="5"/>
      <c r="R98" s="5"/>
      <c r="S98" s="5"/>
      <c r="T98" s="5"/>
      <c r="U98" s="5"/>
    </row>
    <row r="99" ht="14.25" customHeight="1">
      <c r="A99" s="5"/>
      <c r="B99" s="5"/>
      <c r="C99" s="5"/>
      <c r="D99" s="5"/>
      <c r="E99" s="5"/>
      <c r="F99" s="5"/>
      <c r="G99" s="5"/>
      <c r="H99" s="5"/>
      <c r="I99" s="5"/>
      <c r="J99" s="5"/>
      <c r="K99" s="5"/>
      <c r="L99" s="5"/>
      <c r="M99" s="5"/>
      <c r="N99" s="5"/>
      <c r="O99" s="5"/>
      <c r="P99" s="5"/>
      <c r="Q99" s="5"/>
      <c r="R99" s="5"/>
      <c r="S99" s="5"/>
      <c r="T99" s="5"/>
      <c r="U99" s="5"/>
    </row>
    <row r="100" ht="14.25" customHeight="1">
      <c r="A100" s="5"/>
      <c r="B100" s="5"/>
      <c r="C100" s="5"/>
      <c r="D100" s="5"/>
      <c r="E100" s="5"/>
      <c r="F100" s="5"/>
      <c r="G100" s="5"/>
      <c r="H100" s="5"/>
      <c r="I100" s="5"/>
      <c r="J100" s="5"/>
      <c r="K100" s="5"/>
      <c r="L100" s="5"/>
      <c r="M100" s="5"/>
      <c r="N100" s="5"/>
      <c r="O100" s="5"/>
      <c r="P100" s="5"/>
      <c r="Q100" s="5"/>
      <c r="R100" s="5"/>
      <c r="S100" s="5"/>
      <c r="T100" s="5"/>
      <c r="U100" s="5"/>
    </row>
    <row r="101" ht="14.25" customHeight="1">
      <c r="A101" s="5"/>
      <c r="B101" s="5"/>
      <c r="C101" s="5"/>
      <c r="D101" s="5"/>
      <c r="E101" s="5"/>
      <c r="F101" s="5"/>
      <c r="G101" s="5"/>
      <c r="H101" s="5"/>
      <c r="I101" s="5"/>
      <c r="J101" s="5"/>
      <c r="K101" s="5"/>
      <c r="L101" s="5"/>
      <c r="M101" s="5"/>
      <c r="N101" s="5"/>
      <c r="O101" s="5"/>
      <c r="P101" s="5"/>
      <c r="Q101" s="5"/>
      <c r="R101" s="5"/>
      <c r="S101" s="5"/>
      <c r="T101" s="5"/>
      <c r="U101" s="5"/>
    </row>
    <row r="102" ht="14.25" customHeight="1">
      <c r="A102" s="5"/>
      <c r="B102" s="5"/>
      <c r="C102" s="5"/>
      <c r="D102" s="5"/>
      <c r="E102" s="5"/>
      <c r="F102" s="5"/>
      <c r="G102" s="5"/>
      <c r="H102" s="5"/>
      <c r="I102" s="5"/>
      <c r="J102" s="5"/>
      <c r="K102" s="5"/>
      <c r="L102" s="5"/>
      <c r="M102" s="5"/>
      <c r="N102" s="5"/>
      <c r="O102" s="5"/>
      <c r="P102" s="5"/>
      <c r="Q102" s="5"/>
      <c r="R102" s="5"/>
      <c r="S102" s="5"/>
      <c r="T102" s="5"/>
      <c r="U102" s="5"/>
    </row>
    <row r="103" ht="14.25" customHeight="1">
      <c r="A103" s="5"/>
      <c r="B103" s="5"/>
      <c r="C103" s="5"/>
      <c r="D103" s="5"/>
      <c r="E103" s="5"/>
      <c r="F103" s="5"/>
      <c r="G103" s="5"/>
      <c r="H103" s="5"/>
      <c r="I103" s="5"/>
      <c r="J103" s="5"/>
      <c r="K103" s="5"/>
      <c r="L103" s="5"/>
      <c r="M103" s="5"/>
      <c r="N103" s="5"/>
      <c r="O103" s="5"/>
      <c r="P103" s="5"/>
      <c r="Q103" s="5"/>
      <c r="R103" s="5"/>
      <c r="S103" s="5"/>
      <c r="T103" s="5"/>
      <c r="U103" s="5"/>
    </row>
    <row r="104" ht="14.25" customHeight="1">
      <c r="A104" s="5"/>
      <c r="B104" s="5"/>
      <c r="C104" s="5"/>
      <c r="D104" s="5"/>
      <c r="E104" s="5"/>
      <c r="F104" s="5"/>
      <c r="G104" s="5"/>
      <c r="H104" s="5"/>
      <c r="I104" s="5"/>
      <c r="J104" s="5"/>
      <c r="K104" s="5"/>
      <c r="L104" s="5"/>
      <c r="M104" s="5"/>
      <c r="N104" s="5"/>
      <c r="O104" s="5"/>
      <c r="P104" s="5"/>
      <c r="Q104" s="5"/>
      <c r="R104" s="5"/>
      <c r="S104" s="5"/>
      <c r="T104" s="5"/>
      <c r="U104" s="5"/>
    </row>
    <row r="105" ht="14.25" customHeight="1">
      <c r="A105" s="5"/>
      <c r="B105" s="5"/>
      <c r="C105" s="5"/>
      <c r="D105" s="5"/>
      <c r="E105" s="5"/>
      <c r="F105" s="5"/>
      <c r="G105" s="5"/>
      <c r="H105" s="5"/>
      <c r="I105" s="5"/>
      <c r="J105" s="5"/>
      <c r="K105" s="5"/>
      <c r="L105" s="5"/>
      <c r="M105" s="5"/>
      <c r="N105" s="5"/>
      <c r="O105" s="5"/>
      <c r="P105" s="5"/>
      <c r="Q105" s="5"/>
      <c r="R105" s="5"/>
      <c r="S105" s="5"/>
      <c r="T105" s="5"/>
      <c r="U105" s="5"/>
    </row>
    <row r="106" ht="14.25" customHeight="1">
      <c r="A106" s="5"/>
      <c r="B106" s="5"/>
      <c r="C106" s="5"/>
      <c r="D106" s="5"/>
      <c r="E106" s="5"/>
      <c r="F106" s="5"/>
      <c r="G106" s="5"/>
      <c r="H106" s="5"/>
      <c r="I106" s="5"/>
      <c r="J106" s="5"/>
      <c r="K106" s="5"/>
      <c r="L106" s="5"/>
      <c r="M106" s="5"/>
      <c r="N106" s="5"/>
      <c r="O106" s="5"/>
      <c r="P106" s="5"/>
      <c r="Q106" s="5"/>
      <c r="R106" s="5"/>
      <c r="S106" s="5"/>
      <c r="T106" s="5"/>
      <c r="U106" s="5"/>
    </row>
    <row r="107" ht="14.25" customHeight="1">
      <c r="A107" s="5"/>
      <c r="B107" s="5"/>
      <c r="C107" s="5"/>
      <c r="D107" s="5"/>
      <c r="E107" s="5"/>
      <c r="F107" s="5"/>
      <c r="G107" s="5"/>
      <c r="H107" s="5"/>
      <c r="I107" s="5"/>
      <c r="J107" s="5"/>
      <c r="K107" s="5"/>
      <c r="L107" s="5"/>
      <c r="M107" s="5"/>
      <c r="N107" s="5"/>
      <c r="O107" s="5"/>
      <c r="P107" s="5"/>
      <c r="Q107" s="5"/>
      <c r="R107" s="5"/>
      <c r="S107" s="5"/>
      <c r="T107" s="5"/>
      <c r="U107" s="5"/>
    </row>
    <row r="108" ht="14.25" customHeight="1">
      <c r="A108" s="5"/>
      <c r="B108" s="5"/>
      <c r="C108" s="5"/>
      <c r="D108" s="5"/>
      <c r="E108" s="5"/>
      <c r="F108" s="5"/>
      <c r="G108" s="5"/>
      <c r="H108" s="5"/>
      <c r="I108" s="5"/>
      <c r="J108" s="5"/>
      <c r="K108" s="5"/>
      <c r="L108" s="5"/>
      <c r="M108" s="5"/>
      <c r="N108" s="5"/>
      <c r="O108" s="5"/>
      <c r="P108" s="5"/>
      <c r="Q108" s="5"/>
      <c r="R108" s="5"/>
      <c r="S108" s="5"/>
      <c r="T108" s="5"/>
      <c r="U108" s="5"/>
    </row>
    <row r="109" ht="14.25" customHeight="1">
      <c r="A109" s="5"/>
      <c r="B109" s="5"/>
      <c r="C109" s="5"/>
      <c r="D109" s="5"/>
      <c r="E109" s="5"/>
      <c r="F109" s="5"/>
      <c r="G109" s="5"/>
      <c r="H109" s="5"/>
      <c r="I109" s="5"/>
      <c r="J109" s="5"/>
      <c r="K109" s="5"/>
      <c r="L109" s="5"/>
      <c r="M109" s="5"/>
      <c r="N109" s="5"/>
      <c r="O109" s="5"/>
      <c r="P109" s="5"/>
      <c r="Q109" s="5"/>
      <c r="R109" s="5"/>
      <c r="S109" s="5"/>
      <c r="T109" s="5"/>
      <c r="U109" s="5"/>
    </row>
    <row r="110" ht="14.25" customHeight="1">
      <c r="A110" s="5"/>
      <c r="B110" s="5"/>
      <c r="C110" s="5"/>
      <c r="D110" s="5"/>
      <c r="E110" s="5"/>
      <c r="F110" s="5"/>
      <c r="G110" s="5"/>
      <c r="H110" s="5"/>
      <c r="I110" s="5"/>
      <c r="J110" s="5"/>
      <c r="K110" s="5"/>
      <c r="L110" s="5"/>
      <c r="M110" s="5"/>
      <c r="N110" s="5"/>
      <c r="O110" s="5"/>
      <c r="P110" s="5"/>
      <c r="Q110" s="5"/>
      <c r="R110" s="5"/>
      <c r="S110" s="5"/>
      <c r="T110" s="5"/>
      <c r="U110" s="5"/>
    </row>
    <row r="111" ht="14.25" customHeight="1">
      <c r="A111" s="5"/>
      <c r="B111" s="5"/>
      <c r="C111" s="5"/>
      <c r="D111" s="5"/>
      <c r="E111" s="5"/>
      <c r="F111" s="5"/>
      <c r="G111" s="5"/>
      <c r="H111" s="5"/>
      <c r="I111" s="5"/>
      <c r="J111" s="5"/>
      <c r="K111" s="5"/>
      <c r="L111" s="5"/>
      <c r="M111" s="5"/>
      <c r="N111" s="5"/>
      <c r="O111" s="5"/>
      <c r="P111" s="5"/>
      <c r="Q111" s="5"/>
      <c r="R111" s="5"/>
      <c r="S111" s="5"/>
      <c r="T111" s="5"/>
      <c r="U111" s="5"/>
    </row>
    <row r="112" ht="14.25" customHeight="1">
      <c r="A112" s="5"/>
      <c r="B112" s="5"/>
      <c r="C112" s="5"/>
      <c r="D112" s="5"/>
      <c r="E112" s="5"/>
      <c r="F112" s="5"/>
      <c r="G112" s="5"/>
      <c r="H112" s="5"/>
      <c r="I112" s="5"/>
      <c r="J112" s="5"/>
      <c r="K112" s="5"/>
      <c r="L112" s="5"/>
      <c r="M112" s="5"/>
      <c r="N112" s="5"/>
      <c r="O112" s="5"/>
      <c r="P112" s="5"/>
      <c r="Q112" s="5"/>
      <c r="R112" s="5"/>
      <c r="S112" s="5"/>
      <c r="T112" s="5"/>
      <c r="U112" s="5"/>
    </row>
    <row r="113" ht="14.25" customHeight="1">
      <c r="A113" s="5"/>
      <c r="B113" s="5"/>
      <c r="C113" s="5"/>
      <c r="D113" s="5"/>
      <c r="E113" s="5"/>
      <c r="F113" s="5"/>
      <c r="G113" s="5"/>
      <c r="H113" s="5"/>
      <c r="I113" s="5"/>
      <c r="J113" s="5"/>
      <c r="K113" s="5"/>
      <c r="L113" s="5"/>
      <c r="M113" s="5"/>
      <c r="N113" s="5"/>
      <c r="O113" s="5"/>
      <c r="P113" s="5"/>
      <c r="Q113" s="5"/>
      <c r="R113" s="5"/>
      <c r="S113" s="5"/>
      <c r="T113" s="5"/>
      <c r="U113" s="5"/>
    </row>
    <row r="114" ht="14.25" customHeight="1">
      <c r="A114" s="5"/>
      <c r="B114" s="5"/>
      <c r="C114" s="5"/>
      <c r="D114" s="5"/>
      <c r="E114" s="5"/>
      <c r="F114" s="5"/>
      <c r="G114" s="5"/>
      <c r="H114" s="5"/>
      <c r="I114" s="5"/>
      <c r="J114" s="5"/>
      <c r="K114" s="5"/>
      <c r="L114" s="5"/>
      <c r="M114" s="5"/>
      <c r="N114" s="5"/>
      <c r="O114" s="5"/>
      <c r="P114" s="5"/>
      <c r="Q114" s="5"/>
      <c r="R114" s="5"/>
      <c r="S114" s="5"/>
      <c r="T114" s="5"/>
      <c r="U114" s="5"/>
    </row>
    <row r="115" ht="14.25" customHeight="1">
      <c r="A115" s="5"/>
      <c r="B115" s="5"/>
      <c r="C115" s="5"/>
      <c r="D115" s="5"/>
      <c r="E115" s="5"/>
      <c r="F115" s="5"/>
      <c r="G115" s="5"/>
      <c r="H115" s="5"/>
      <c r="I115" s="5"/>
      <c r="J115" s="5"/>
      <c r="K115" s="5"/>
      <c r="L115" s="5"/>
      <c r="M115" s="5"/>
      <c r="N115" s="5"/>
      <c r="O115" s="5"/>
      <c r="P115" s="5"/>
      <c r="Q115" s="5"/>
      <c r="R115" s="5"/>
      <c r="S115" s="5"/>
      <c r="T115" s="5"/>
      <c r="U115" s="5"/>
    </row>
    <row r="116" ht="14.25" customHeight="1">
      <c r="A116" s="5"/>
      <c r="B116" s="5"/>
      <c r="C116" s="5"/>
      <c r="D116" s="5"/>
      <c r="E116" s="5"/>
      <c r="F116" s="5"/>
      <c r="G116" s="5"/>
      <c r="H116" s="5"/>
      <c r="I116" s="5"/>
      <c r="J116" s="5"/>
      <c r="K116" s="5"/>
      <c r="L116" s="5"/>
      <c r="M116" s="5"/>
      <c r="N116" s="5"/>
      <c r="O116" s="5"/>
      <c r="P116" s="5"/>
      <c r="Q116" s="5"/>
      <c r="R116" s="5"/>
      <c r="S116" s="5"/>
      <c r="T116" s="5"/>
      <c r="U116" s="5"/>
    </row>
    <row r="117" ht="14.25" customHeight="1">
      <c r="A117" s="5"/>
      <c r="B117" s="5"/>
      <c r="C117" s="5"/>
      <c r="D117" s="5"/>
      <c r="E117" s="5"/>
      <c r="F117" s="5"/>
      <c r="G117" s="5"/>
      <c r="H117" s="5"/>
      <c r="I117" s="5"/>
      <c r="J117" s="5"/>
      <c r="K117" s="5"/>
      <c r="L117" s="5"/>
      <c r="M117" s="5"/>
      <c r="N117" s="5"/>
      <c r="O117" s="5"/>
      <c r="P117" s="5"/>
      <c r="Q117" s="5"/>
      <c r="R117" s="5"/>
      <c r="S117" s="5"/>
      <c r="T117" s="5"/>
      <c r="U117" s="5"/>
    </row>
    <row r="118" ht="14.25" customHeight="1">
      <c r="A118" s="5"/>
      <c r="B118" s="5"/>
      <c r="C118" s="5"/>
      <c r="D118" s="5"/>
      <c r="E118" s="5"/>
      <c r="F118" s="5"/>
      <c r="G118" s="5"/>
      <c r="H118" s="5"/>
      <c r="I118" s="5"/>
      <c r="J118" s="5"/>
      <c r="K118" s="5"/>
      <c r="L118" s="5"/>
      <c r="M118" s="5"/>
      <c r="N118" s="5"/>
      <c r="O118" s="5"/>
      <c r="P118" s="5"/>
      <c r="Q118" s="5"/>
      <c r="R118" s="5"/>
      <c r="S118" s="5"/>
      <c r="T118" s="5"/>
      <c r="U118" s="5"/>
    </row>
    <row r="119" ht="14.25" customHeight="1">
      <c r="A119" s="5"/>
      <c r="B119" s="5"/>
      <c r="C119" s="5"/>
      <c r="D119" s="5"/>
      <c r="E119" s="5"/>
      <c r="F119" s="5"/>
      <c r="G119" s="5"/>
      <c r="H119" s="5"/>
      <c r="I119" s="5"/>
      <c r="J119" s="5"/>
      <c r="K119" s="5"/>
      <c r="L119" s="5"/>
      <c r="M119" s="5"/>
      <c r="N119" s="5"/>
      <c r="O119" s="5"/>
      <c r="P119" s="5"/>
      <c r="Q119" s="5"/>
      <c r="R119" s="5"/>
      <c r="S119" s="5"/>
      <c r="T119" s="5"/>
      <c r="U119" s="5"/>
    </row>
    <row r="120" ht="14.25" customHeight="1">
      <c r="A120" s="5"/>
      <c r="B120" s="5"/>
      <c r="C120" s="5"/>
      <c r="D120" s="5"/>
      <c r="E120" s="5"/>
      <c r="F120" s="5"/>
      <c r="G120" s="5"/>
      <c r="H120" s="5"/>
      <c r="I120" s="5"/>
      <c r="J120" s="5"/>
      <c r="K120" s="5"/>
      <c r="L120" s="5"/>
      <c r="M120" s="5"/>
      <c r="N120" s="5"/>
      <c r="O120" s="5"/>
      <c r="P120" s="5"/>
      <c r="Q120" s="5"/>
      <c r="R120" s="5"/>
      <c r="S120" s="5"/>
      <c r="T120" s="5"/>
      <c r="U120" s="5"/>
    </row>
    <row r="121" ht="14.25" customHeight="1">
      <c r="A121" s="5"/>
      <c r="B121" s="5"/>
      <c r="C121" s="5"/>
      <c r="D121" s="5"/>
      <c r="E121" s="5"/>
      <c r="F121" s="5"/>
      <c r="G121" s="5"/>
      <c r="H121" s="5"/>
      <c r="I121" s="5"/>
      <c r="J121" s="5"/>
      <c r="K121" s="5"/>
      <c r="L121" s="5"/>
      <c r="M121" s="5"/>
      <c r="N121" s="5"/>
      <c r="O121" s="5"/>
      <c r="P121" s="5"/>
      <c r="Q121" s="5"/>
      <c r="R121" s="5"/>
      <c r="S121" s="5"/>
      <c r="T121" s="5"/>
      <c r="U121" s="5"/>
    </row>
    <row r="122" ht="14.25" customHeight="1">
      <c r="A122" s="5"/>
      <c r="B122" s="5"/>
      <c r="C122" s="5"/>
      <c r="D122" s="5"/>
      <c r="E122" s="5"/>
      <c r="F122" s="5"/>
      <c r="G122" s="5"/>
      <c r="H122" s="5"/>
      <c r="I122" s="5"/>
      <c r="J122" s="5"/>
      <c r="K122" s="5"/>
      <c r="L122" s="5"/>
      <c r="M122" s="5"/>
      <c r="N122" s="5"/>
      <c r="O122" s="5"/>
      <c r="P122" s="5"/>
      <c r="Q122" s="5"/>
      <c r="R122" s="5"/>
      <c r="S122" s="5"/>
      <c r="T122" s="5"/>
      <c r="U122" s="5"/>
    </row>
    <row r="123" ht="14.25" customHeight="1">
      <c r="A123" s="5"/>
      <c r="B123" s="5"/>
      <c r="C123" s="5"/>
      <c r="D123" s="5"/>
      <c r="E123" s="5"/>
      <c r="F123" s="5"/>
      <c r="G123" s="5"/>
      <c r="H123" s="5"/>
      <c r="I123" s="5"/>
      <c r="J123" s="5"/>
      <c r="K123" s="5"/>
      <c r="L123" s="5"/>
      <c r="M123" s="5"/>
      <c r="N123" s="5"/>
      <c r="O123" s="5"/>
      <c r="P123" s="5"/>
      <c r="Q123" s="5"/>
      <c r="R123" s="5"/>
      <c r="S123" s="5"/>
      <c r="T123" s="5"/>
      <c r="U123" s="5"/>
    </row>
    <row r="124" ht="14.25" customHeight="1">
      <c r="A124" s="5"/>
      <c r="B124" s="5"/>
      <c r="C124" s="5"/>
      <c r="D124" s="5"/>
      <c r="E124" s="5"/>
      <c r="F124" s="5"/>
      <c r="G124" s="5"/>
      <c r="H124" s="5"/>
      <c r="I124" s="5"/>
      <c r="J124" s="5"/>
      <c r="K124" s="5"/>
      <c r="L124" s="5"/>
      <c r="M124" s="5"/>
      <c r="N124" s="5"/>
      <c r="O124" s="5"/>
      <c r="P124" s="5"/>
      <c r="Q124" s="5"/>
      <c r="R124" s="5"/>
      <c r="S124" s="5"/>
      <c r="T124" s="5"/>
      <c r="U124" s="5"/>
    </row>
    <row r="125" ht="14.25" customHeight="1">
      <c r="A125" s="5"/>
      <c r="B125" s="5"/>
      <c r="C125" s="5"/>
      <c r="D125" s="5"/>
      <c r="E125" s="5"/>
      <c r="F125" s="5"/>
      <c r="G125" s="5"/>
      <c r="H125" s="5"/>
      <c r="I125" s="5"/>
      <c r="J125" s="5"/>
      <c r="K125" s="5"/>
      <c r="L125" s="5"/>
      <c r="M125" s="5"/>
      <c r="N125" s="5"/>
      <c r="O125" s="5"/>
      <c r="P125" s="5"/>
      <c r="Q125" s="5"/>
      <c r="R125" s="5"/>
      <c r="S125" s="5"/>
      <c r="T125" s="5"/>
      <c r="U125" s="5"/>
    </row>
    <row r="126" ht="14.25" customHeight="1">
      <c r="A126" s="5"/>
      <c r="B126" s="5"/>
      <c r="C126" s="5"/>
      <c r="D126" s="5"/>
      <c r="E126" s="5"/>
      <c r="F126" s="5"/>
      <c r="G126" s="5"/>
      <c r="H126" s="5"/>
      <c r="I126" s="5"/>
      <c r="J126" s="5"/>
      <c r="K126" s="5"/>
      <c r="L126" s="5"/>
      <c r="M126" s="5"/>
      <c r="N126" s="5"/>
      <c r="O126" s="5"/>
      <c r="P126" s="5"/>
      <c r="Q126" s="5"/>
      <c r="R126" s="5"/>
      <c r="S126" s="5"/>
      <c r="T126" s="5"/>
      <c r="U126" s="5"/>
    </row>
    <row r="127" ht="14.25" customHeight="1">
      <c r="A127" s="5"/>
      <c r="B127" s="5"/>
      <c r="C127" s="5"/>
      <c r="D127" s="5"/>
      <c r="E127" s="5"/>
      <c r="F127" s="5"/>
      <c r="G127" s="5"/>
      <c r="H127" s="5"/>
      <c r="I127" s="5"/>
      <c r="J127" s="5"/>
      <c r="K127" s="5"/>
      <c r="L127" s="5"/>
      <c r="M127" s="5"/>
      <c r="N127" s="5"/>
      <c r="O127" s="5"/>
      <c r="P127" s="5"/>
      <c r="Q127" s="5"/>
      <c r="R127" s="5"/>
      <c r="S127" s="5"/>
      <c r="T127" s="5"/>
      <c r="U127" s="5"/>
    </row>
    <row r="128" ht="14.25" customHeight="1">
      <c r="A128" s="5"/>
      <c r="B128" s="5"/>
      <c r="C128" s="5"/>
      <c r="D128" s="5"/>
      <c r="E128" s="5"/>
      <c r="F128" s="5"/>
      <c r="G128" s="5"/>
      <c r="H128" s="5"/>
      <c r="I128" s="5"/>
      <c r="J128" s="5"/>
      <c r="K128" s="5"/>
      <c r="L128" s="5"/>
      <c r="M128" s="5"/>
      <c r="N128" s="5"/>
      <c r="O128" s="5"/>
      <c r="P128" s="5"/>
      <c r="Q128" s="5"/>
      <c r="R128" s="5"/>
      <c r="S128" s="5"/>
      <c r="T128" s="5"/>
      <c r="U128" s="5"/>
    </row>
    <row r="129" ht="14.25" customHeight="1">
      <c r="A129" s="5"/>
      <c r="B129" s="5"/>
      <c r="C129" s="5"/>
      <c r="D129" s="5"/>
      <c r="E129" s="5"/>
      <c r="F129" s="5"/>
      <c r="G129" s="5"/>
      <c r="H129" s="5"/>
      <c r="I129" s="5"/>
      <c r="J129" s="5"/>
      <c r="K129" s="5"/>
      <c r="L129" s="5"/>
      <c r="M129" s="5"/>
      <c r="N129" s="5"/>
      <c r="O129" s="5"/>
      <c r="P129" s="5"/>
      <c r="Q129" s="5"/>
      <c r="R129" s="5"/>
      <c r="S129" s="5"/>
      <c r="T129" s="5"/>
      <c r="U129" s="5"/>
    </row>
    <row r="130" ht="14.25" customHeight="1">
      <c r="A130" s="5"/>
      <c r="B130" s="5"/>
      <c r="C130" s="5"/>
      <c r="D130" s="5"/>
      <c r="E130" s="5"/>
      <c r="F130" s="5"/>
      <c r="G130" s="5"/>
      <c r="H130" s="5"/>
      <c r="I130" s="5"/>
      <c r="J130" s="5"/>
      <c r="K130" s="5"/>
      <c r="L130" s="5"/>
      <c r="M130" s="5"/>
      <c r="N130" s="5"/>
      <c r="O130" s="5"/>
      <c r="P130" s="5"/>
      <c r="Q130" s="5"/>
      <c r="R130" s="5"/>
      <c r="S130" s="5"/>
      <c r="T130" s="5"/>
      <c r="U130" s="5"/>
    </row>
    <row r="131" ht="14.25" customHeight="1">
      <c r="A131" s="5"/>
      <c r="B131" s="5"/>
      <c r="C131" s="5"/>
      <c r="D131" s="5"/>
      <c r="E131" s="5"/>
      <c r="F131" s="5"/>
      <c r="G131" s="5"/>
      <c r="H131" s="5"/>
      <c r="I131" s="5"/>
      <c r="J131" s="5"/>
      <c r="K131" s="5"/>
      <c r="L131" s="5"/>
      <c r="M131" s="5"/>
      <c r="N131" s="5"/>
      <c r="O131" s="5"/>
      <c r="P131" s="5"/>
      <c r="Q131" s="5"/>
      <c r="R131" s="5"/>
      <c r="S131" s="5"/>
      <c r="T131" s="5"/>
      <c r="U131" s="5"/>
    </row>
    <row r="132" ht="14.25" customHeight="1">
      <c r="A132" s="5"/>
      <c r="B132" s="5"/>
      <c r="C132" s="5"/>
      <c r="D132" s="5"/>
      <c r="E132" s="5"/>
      <c r="F132" s="5"/>
      <c r="G132" s="5"/>
      <c r="H132" s="5"/>
      <c r="I132" s="5"/>
      <c r="J132" s="5"/>
      <c r="K132" s="5"/>
      <c r="L132" s="5"/>
      <c r="M132" s="5"/>
      <c r="N132" s="5"/>
      <c r="O132" s="5"/>
      <c r="P132" s="5"/>
      <c r="Q132" s="5"/>
      <c r="R132" s="5"/>
      <c r="S132" s="5"/>
      <c r="T132" s="5"/>
      <c r="U132" s="5"/>
    </row>
    <row r="133" ht="14.25" customHeight="1">
      <c r="A133" s="5"/>
      <c r="B133" s="5"/>
      <c r="C133" s="5"/>
      <c r="D133" s="5"/>
      <c r="E133" s="5"/>
      <c r="F133" s="5"/>
      <c r="G133" s="5"/>
      <c r="H133" s="5"/>
      <c r="I133" s="5"/>
      <c r="J133" s="5"/>
      <c r="K133" s="5"/>
      <c r="L133" s="5"/>
      <c r="M133" s="5"/>
      <c r="N133" s="5"/>
      <c r="O133" s="5"/>
      <c r="P133" s="5"/>
      <c r="Q133" s="5"/>
      <c r="R133" s="5"/>
      <c r="S133" s="5"/>
      <c r="T133" s="5"/>
      <c r="U133" s="5"/>
    </row>
    <row r="134" ht="14.25" customHeight="1">
      <c r="A134" s="5"/>
      <c r="B134" s="5"/>
      <c r="C134" s="5"/>
      <c r="D134" s="5"/>
      <c r="E134" s="5"/>
      <c r="F134" s="5"/>
      <c r="G134" s="5"/>
      <c r="H134" s="5"/>
      <c r="I134" s="5"/>
      <c r="J134" s="5"/>
      <c r="K134" s="5"/>
      <c r="L134" s="5"/>
      <c r="M134" s="5"/>
      <c r="N134" s="5"/>
      <c r="O134" s="5"/>
      <c r="P134" s="5"/>
      <c r="Q134" s="5"/>
      <c r="R134" s="5"/>
      <c r="S134" s="5"/>
      <c r="T134" s="5"/>
      <c r="U134" s="5"/>
    </row>
    <row r="135" ht="14.25" customHeight="1">
      <c r="A135" s="5"/>
      <c r="B135" s="5"/>
      <c r="C135" s="5"/>
      <c r="D135" s="5"/>
      <c r="E135" s="5"/>
      <c r="F135" s="5"/>
      <c r="G135" s="5"/>
      <c r="H135" s="5"/>
      <c r="I135" s="5"/>
      <c r="J135" s="5"/>
      <c r="K135" s="5"/>
      <c r="L135" s="5"/>
      <c r="M135" s="5"/>
      <c r="N135" s="5"/>
      <c r="O135" s="5"/>
      <c r="P135" s="5"/>
      <c r="Q135" s="5"/>
      <c r="R135" s="5"/>
      <c r="S135" s="5"/>
      <c r="T135" s="5"/>
      <c r="U135" s="5"/>
    </row>
    <row r="136" ht="14.25" customHeight="1">
      <c r="A136" s="5"/>
      <c r="B136" s="5"/>
      <c r="C136" s="5"/>
      <c r="D136" s="5"/>
      <c r="E136" s="5"/>
      <c r="F136" s="5"/>
      <c r="G136" s="5"/>
      <c r="H136" s="5"/>
      <c r="I136" s="5"/>
      <c r="J136" s="5"/>
      <c r="K136" s="5"/>
      <c r="L136" s="5"/>
      <c r="M136" s="5"/>
      <c r="N136" s="5"/>
      <c r="O136" s="5"/>
      <c r="P136" s="5"/>
      <c r="Q136" s="5"/>
      <c r="R136" s="5"/>
      <c r="S136" s="5"/>
      <c r="T136" s="5"/>
      <c r="U136" s="5"/>
    </row>
    <row r="137" ht="14.25" customHeight="1">
      <c r="A137" s="5"/>
      <c r="B137" s="5"/>
      <c r="C137" s="5"/>
      <c r="D137" s="5"/>
      <c r="E137" s="5"/>
      <c r="F137" s="5"/>
      <c r="G137" s="5"/>
      <c r="H137" s="5"/>
      <c r="I137" s="5"/>
      <c r="J137" s="5"/>
      <c r="K137" s="5"/>
      <c r="L137" s="5"/>
      <c r="M137" s="5"/>
      <c r="N137" s="5"/>
      <c r="O137" s="5"/>
      <c r="P137" s="5"/>
      <c r="Q137" s="5"/>
      <c r="R137" s="5"/>
      <c r="S137" s="5"/>
      <c r="T137" s="5"/>
      <c r="U137" s="5"/>
    </row>
    <row r="138" ht="14.25" customHeight="1">
      <c r="A138" s="5"/>
      <c r="B138" s="5"/>
      <c r="C138" s="5"/>
      <c r="D138" s="5"/>
      <c r="E138" s="5"/>
      <c r="F138" s="5"/>
      <c r="G138" s="5"/>
      <c r="H138" s="5"/>
      <c r="I138" s="5"/>
      <c r="J138" s="5"/>
      <c r="K138" s="5"/>
      <c r="L138" s="5"/>
      <c r="M138" s="5"/>
      <c r="N138" s="5"/>
      <c r="O138" s="5"/>
      <c r="P138" s="5"/>
      <c r="Q138" s="5"/>
      <c r="R138" s="5"/>
      <c r="S138" s="5"/>
      <c r="T138" s="5"/>
      <c r="U138" s="5"/>
    </row>
    <row r="139" ht="14.25" customHeight="1">
      <c r="A139" s="5"/>
      <c r="B139" s="5"/>
      <c r="C139" s="5"/>
      <c r="D139" s="5"/>
      <c r="E139" s="5"/>
      <c r="F139" s="5"/>
      <c r="G139" s="5"/>
      <c r="H139" s="5"/>
      <c r="I139" s="5"/>
      <c r="J139" s="5"/>
      <c r="K139" s="5"/>
      <c r="L139" s="5"/>
      <c r="M139" s="5"/>
      <c r="N139" s="5"/>
      <c r="O139" s="5"/>
      <c r="P139" s="5"/>
      <c r="Q139" s="5"/>
      <c r="R139" s="5"/>
      <c r="S139" s="5"/>
      <c r="T139" s="5"/>
      <c r="U139" s="5"/>
    </row>
    <row r="140" ht="14.25" customHeight="1">
      <c r="A140" s="5"/>
      <c r="B140" s="5"/>
      <c r="C140" s="5"/>
      <c r="D140" s="5"/>
      <c r="E140" s="5"/>
      <c r="F140" s="5"/>
      <c r="G140" s="5"/>
      <c r="H140" s="5"/>
      <c r="I140" s="5"/>
      <c r="J140" s="5"/>
      <c r="K140" s="5"/>
      <c r="L140" s="5"/>
      <c r="M140" s="5"/>
      <c r="N140" s="5"/>
      <c r="O140" s="5"/>
      <c r="P140" s="5"/>
      <c r="Q140" s="5"/>
      <c r="R140" s="5"/>
      <c r="S140" s="5"/>
      <c r="T140" s="5"/>
      <c r="U140" s="5"/>
    </row>
    <row r="141" ht="14.25" customHeight="1">
      <c r="A141" s="5"/>
      <c r="B141" s="5"/>
      <c r="C141" s="5"/>
      <c r="D141" s="5"/>
      <c r="E141" s="5"/>
      <c r="F141" s="5"/>
      <c r="G141" s="5"/>
      <c r="H141" s="5"/>
      <c r="I141" s="5"/>
      <c r="J141" s="5"/>
      <c r="K141" s="5"/>
      <c r="L141" s="5"/>
      <c r="M141" s="5"/>
      <c r="N141" s="5"/>
      <c r="O141" s="5"/>
      <c r="P141" s="5"/>
      <c r="Q141" s="5"/>
      <c r="R141" s="5"/>
      <c r="S141" s="5"/>
      <c r="T141" s="5"/>
      <c r="U141" s="5"/>
    </row>
    <row r="142" ht="14.25" customHeight="1">
      <c r="A142" s="5"/>
      <c r="B142" s="5"/>
      <c r="C142" s="5"/>
      <c r="D142" s="5"/>
      <c r="E142" s="5"/>
      <c r="F142" s="5"/>
      <c r="G142" s="5"/>
      <c r="H142" s="5"/>
      <c r="I142" s="5"/>
      <c r="J142" s="5"/>
      <c r="K142" s="5"/>
      <c r="L142" s="5"/>
      <c r="M142" s="5"/>
      <c r="N142" s="5"/>
      <c r="O142" s="5"/>
      <c r="P142" s="5"/>
      <c r="Q142" s="5"/>
      <c r="R142" s="5"/>
      <c r="S142" s="5"/>
      <c r="T142" s="5"/>
      <c r="U142" s="5"/>
    </row>
    <row r="143" ht="14.25" customHeight="1">
      <c r="A143" s="5"/>
      <c r="B143" s="5"/>
      <c r="C143" s="5"/>
      <c r="D143" s="5"/>
      <c r="E143" s="5"/>
      <c r="F143" s="5"/>
      <c r="G143" s="5"/>
      <c r="H143" s="5"/>
      <c r="I143" s="5"/>
      <c r="J143" s="5"/>
      <c r="K143" s="5"/>
      <c r="L143" s="5"/>
      <c r="M143" s="5"/>
      <c r="N143" s="5"/>
      <c r="O143" s="5"/>
      <c r="P143" s="5"/>
      <c r="Q143" s="5"/>
      <c r="R143" s="5"/>
      <c r="S143" s="5"/>
      <c r="T143" s="5"/>
      <c r="U143" s="5"/>
    </row>
    <row r="144" ht="14.25" customHeight="1">
      <c r="A144" s="5"/>
      <c r="B144" s="5"/>
      <c r="C144" s="5"/>
      <c r="D144" s="5"/>
      <c r="E144" s="5"/>
      <c r="F144" s="5"/>
      <c r="G144" s="5"/>
      <c r="H144" s="5"/>
      <c r="I144" s="5"/>
      <c r="J144" s="5"/>
      <c r="K144" s="5"/>
      <c r="L144" s="5"/>
      <c r="M144" s="5"/>
      <c r="N144" s="5"/>
      <c r="O144" s="5"/>
      <c r="P144" s="5"/>
      <c r="Q144" s="5"/>
      <c r="R144" s="5"/>
      <c r="S144" s="5"/>
      <c r="T144" s="5"/>
      <c r="U144" s="5"/>
    </row>
    <row r="145" ht="14.25" customHeight="1">
      <c r="A145" s="5"/>
      <c r="B145" s="5"/>
      <c r="C145" s="5"/>
      <c r="D145" s="5"/>
      <c r="E145" s="5"/>
      <c r="F145" s="5"/>
      <c r="G145" s="5"/>
      <c r="H145" s="5"/>
      <c r="I145" s="5"/>
      <c r="J145" s="5"/>
      <c r="K145" s="5"/>
      <c r="L145" s="5"/>
      <c r="M145" s="5"/>
      <c r="N145" s="5"/>
      <c r="O145" s="5"/>
      <c r="P145" s="5"/>
      <c r="Q145" s="5"/>
      <c r="R145" s="5"/>
      <c r="S145" s="5"/>
      <c r="T145" s="5"/>
      <c r="U145" s="5"/>
    </row>
    <row r="146" ht="14.25" customHeight="1">
      <c r="A146" s="5"/>
      <c r="B146" s="5"/>
      <c r="C146" s="5"/>
      <c r="D146" s="5"/>
      <c r="E146" s="5"/>
      <c r="F146" s="5"/>
      <c r="G146" s="5"/>
      <c r="H146" s="5"/>
      <c r="I146" s="5"/>
      <c r="J146" s="5"/>
      <c r="K146" s="5"/>
      <c r="L146" s="5"/>
      <c r="M146" s="5"/>
      <c r="N146" s="5"/>
      <c r="O146" s="5"/>
      <c r="P146" s="5"/>
      <c r="Q146" s="5"/>
      <c r="R146" s="5"/>
      <c r="S146" s="5"/>
      <c r="T146" s="5"/>
      <c r="U146" s="5"/>
    </row>
    <row r="147" ht="14.25" customHeight="1">
      <c r="A147" s="5"/>
      <c r="B147" s="5"/>
      <c r="C147" s="5"/>
      <c r="D147" s="5"/>
      <c r="E147" s="5"/>
      <c r="F147" s="5"/>
      <c r="G147" s="5"/>
      <c r="H147" s="5"/>
      <c r="I147" s="5"/>
      <c r="J147" s="5"/>
      <c r="K147" s="5"/>
      <c r="L147" s="5"/>
      <c r="M147" s="5"/>
      <c r="N147" s="5"/>
      <c r="O147" s="5"/>
      <c r="P147" s="5"/>
      <c r="Q147" s="5"/>
      <c r="R147" s="5"/>
      <c r="S147" s="5"/>
      <c r="T147" s="5"/>
      <c r="U147" s="5"/>
    </row>
    <row r="148" ht="14.25" customHeight="1">
      <c r="A148" s="5"/>
      <c r="B148" s="5"/>
      <c r="C148" s="5"/>
      <c r="D148" s="5"/>
      <c r="E148" s="5"/>
      <c r="F148" s="5"/>
      <c r="G148" s="5"/>
      <c r="H148" s="5"/>
      <c r="I148" s="5"/>
      <c r="J148" s="5"/>
      <c r="K148" s="5"/>
      <c r="L148" s="5"/>
      <c r="M148" s="5"/>
      <c r="N148" s="5"/>
      <c r="O148" s="5"/>
      <c r="P148" s="5"/>
      <c r="Q148" s="5"/>
      <c r="R148" s="5"/>
      <c r="S148" s="5"/>
      <c r="T148" s="5"/>
      <c r="U148" s="5"/>
    </row>
    <row r="149" ht="14.25" customHeight="1">
      <c r="A149" s="5"/>
      <c r="B149" s="5"/>
      <c r="C149" s="5"/>
      <c r="D149" s="5"/>
      <c r="E149" s="5"/>
      <c r="F149" s="5"/>
      <c r="G149" s="5"/>
      <c r="H149" s="5"/>
      <c r="I149" s="5"/>
      <c r="J149" s="5"/>
      <c r="K149" s="5"/>
      <c r="L149" s="5"/>
      <c r="M149" s="5"/>
      <c r="N149" s="5"/>
      <c r="O149" s="5"/>
      <c r="P149" s="5"/>
      <c r="Q149" s="5"/>
      <c r="R149" s="5"/>
      <c r="S149" s="5"/>
      <c r="T149" s="5"/>
      <c r="U149" s="5"/>
    </row>
    <row r="150" ht="14.25" customHeight="1">
      <c r="A150" s="5"/>
      <c r="B150" s="5"/>
      <c r="C150" s="5"/>
      <c r="D150" s="5"/>
      <c r="E150" s="5"/>
      <c r="F150" s="5"/>
      <c r="G150" s="5"/>
      <c r="H150" s="5"/>
      <c r="I150" s="5"/>
      <c r="J150" s="5"/>
      <c r="K150" s="5"/>
      <c r="L150" s="5"/>
      <c r="M150" s="5"/>
      <c r="N150" s="5"/>
      <c r="O150" s="5"/>
      <c r="P150" s="5"/>
      <c r="Q150" s="5"/>
      <c r="R150" s="5"/>
      <c r="S150" s="5"/>
      <c r="T150" s="5"/>
      <c r="U150" s="5"/>
    </row>
    <row r="151" ht="14.25" customHeight="1">
      <c r="A151" s="5"/>
      <c r="B151" s="5"/>
      <c r="C151" s="5"/>
      <c r="D151" s="5"/>
      <c r="E151" s="5"/>
      <c r="F151" s="5"/>
      <c r="G151" s="5"/>
      <c r="H151" s="5"/>
      <c r="I151" s="5"/>
      <c r="J151" s="5"/>
      <c r="K151" s="5"/>
      <c r="L151" s="5"/>
      <c r="M151" s="5"/>
      <c r="N151" s="5"/>
      <c r="O151" s="5"/>
      <c r="P151" s="5"/>
      <c r="Q151" s="5"/>
      <c r="R151" s="5"/>
      <c r="S151" s="5"/>
      <c r="T151" s="5"/>
      <c r="U151" s="5"/>
    </row>
    <row r="152" ht="14.25" customHeight="1">
      <c r="A152" s="5"/>
      <c r="B152" s="5"/>
      <c r="C152" s="5"/>
      <c r="D152" s="5"/>
      <c r="E152" s="5"/>
      <c r="F152" s="5"/>
      <c r="G152" s="5"/>
      <c r="H152" s="5"/>
      <c r="I152" s="5"/>
      <c r="J152" s="5"/>
      <c r="K152" s="5"/>
      <c r="L152" s="5"/>
      <c r="M152" s="5"/>
      <c r="N152" s="5"/>
      <c r="O152" s="5"/>
      <c r="P152" s="5"/>
      <c r="Q152" s="5"/>
      <c r="R152" s="5"/>
      <c r="S152" s="5"/>
      <c r="T152" s="5"/>
      <c r="U152" s="5"/>
    </row>
    <row r="153" ht="14.25" customHeight="1">
      <c r="A153" s="5"/>
      <c r="B153" s="5"/>
      <c r="C153" s="5"/>
      <c r="D153" s="5"/>
      <c r="E153" s="5"/>
      <c r="F153" s="5"/>
      <c r="G153" s="5"/>
      <c r="H153" s="5"/>
      <c r="I153" s="5"/>
      <c r="J153" s="5"/>
      <c r="K153" s="5"/>
      <c r="L153" s="5"/>
      <c r="M153" s="5"/>
      <c r="N153" s="5"/>
      <c r="O153" s="5"/>
      <c r="P153" s="5"/>
      <c r="Q153" s="5"/>
      <c r="R153" s="5"/>
      <c r="S153" s="5"/>
      <c r="T153" s="5"/>
      <c r="U153" s="5"/>
    </row>
    <row r="154" ht="14.25" customHeight="1">
      <c r="A154" s="5"/>
      <c r="B154" s="5"/>
      <c r="C154" s="5"/>
      <c r="D154" s="5"/>
      <c r="E154" s="5"/>
      <c r="F154" s="5"/>
      <c r="G154" s="5"/>
      <c r="H154" s="5"/>
      <c r="I154" s="5"/>
      <c r="J154" s="5"/>
      <c r="K154" s="5"/>
      <c r="L154" s="5"/>
      <c r="M154" s="5"/>
      <c r="N154" s="5"/>
      <c r="O154" s="5"/>
      <c r="P154" s="5"/>
      <c r="Q154" s="5"/>
      <c r="R154" s="5"/>
      <c r="S154" s="5"/>
      <c r="T154" s="5"/>
      <c r="U154" s="5"/>
    </row>
    <row r="155" ht="14.25" customHeight="1">
      <c r="A155" s="5"/>
      <c r="B155" s="5"/>
      <c r="C155" s="5"/>
      <c r="D155" s="5"/>
      <c r="E155" s="5"/>
      <c r="F155" s="5"/>
      <c r="G155" s="5"/>
      <c r="H155" s="5"/>
      <c r="I155" s="5"/>
      <c r="J155" s="5"/>
      <c r="K155" s="5"/>
      <c r="L155" s="5"/>
      <c r="M155" s="5"/>
      <c r="N155" s="5"/>
      <c r="O155" s="5"/>
      <c r="P155" s="5"/>
      <c r="Q155" s="5"/>
      <c r="R155" s="5"/>
      <c r="S155" s="5"/>
      <c r="T155" s="5"/>
      <c r="U155" s="5"/>
    </row>
    <row r="156" ht="14.25" customHeight="1">
      <c r="A156" s="5"/>
      <c r="B156" s="5"/>
      <c r="C156" s="5"/>
      <c r="D156" s="5"/>
      <c r="E156" s="5"/>
      <c r="F156" s="5"/>
      <c r="G156" s="5"/>
      <c r="H156" s="5"/>
      <c r="I156" s="5"/>
      <c r="J156" s="5"/>
      <c r="K156" s="5"/>
      <c r="L156" s="5"/>
      <c r="M156" s="5"/>
      <c r="N156" s="5"/>
      <c r="O156" s="5"/>
      <c r="P156" s="5"/>
      <c r="Q156" s="5"/>
      <c r="R156" s="5"/>
      <c r="S156" s="5"/>
      <c r="T156" s="5"/>
      <c r="U156" s="5"/>
    </row>
    <row r="157" ht="14.25" customHeight="1">
      <c r="A157" s="5"/>
      <c r="B157" s="5"/>
      <c r="C157" s="5"/>
      <c r="D157" s="5"/>
      <c r="E157" s="5"/>
      <c r="F157" s="5"/>
      <c r="G157" s="5"/>
      <c r="H157" s="5"/>
      <c r="I157" s="5"/>
      <c r="J157" s="5"/>
      <c r="K157" s="5"/>
      <c r="L157" s="5"/>
      <c r="M157" s="5"/>
      <c r="N157" s="5"/>
      <c r="O157" s="5"/>
      <c r="P157" s="5"/>
      <c r="Q157" s="5"/>
      <c r="R157" s="5"/>
      <c r="S157" s="5"/>
      <c r="T157" s="5"/>
      <c r="U157" s="5"/>
    </row>
    <row r="158" ht="14.25" customHeight="1">
      <c r="A158" s="5"/>
      <c r="B158" s="5"/>
      <c r="C158" s="5"/>
      <c r="D158" s="5"/>
      <c r="E158" s="5"/>
      <c r="F158" s="5"/>
      <c r="G158" s="5"/>
      <c r="H158" s="5"/>
      <c r="I158" s="5"/>
      <c r="J158" s="5"/>
      <c r="K158" s="5"/>
      <c r="L158" s="5"/>
      <c r="M158" s="5"/>
      <c r="N158" s="5"/>
      <c r="O158" s="5"/>
      <c r="P158" s="5"/>
      <c r="Q158" s="5"/>
      <c r="R158" s="5"/>
      <c r="S158" s="5"/>
      <c r="T158" s="5"/>
      <c r="U158" s="5"/>
    </row>
    <row r="159" ht="14.25" customHeight="1">
      <c r="A159" s="5"/>
      <c r="B159" s="5"/>
      <c r="C159" s="5"/>
      <c r="D159" s="5"/>
      <c r="E159" s="5"/>
      <c r="F159" s="5"/>
      <c r="G159" s="5"/>
      <c r="H159" s="5"/>
      <c r="I159" s="5"/>
      <c r="J159" s="5"/>
      <c r="K159" s="5"/>
      <c r="L159" s="5"/>
      <c r="M159" s="5"/>
      <c r="N159" s="5"/>
      <c r="O159" s="5"/>
      <c r="P159" s="5"/>
      <c r="Q159" s="5"/>
      <c r="R159" s="5"/>
      <c r="S159" s="5"/>
      <c r="T159" s="5"/>
      <c r="U159" s="5"/>
    </row>
    <row r="160" ht="14.25" customHeight="1">
      <c r="A160" s="5"/>
      <c r="B160" s="5"/>
      <c r="C160" s="5"/>
      <c r="D160" s="5"/>
      <c r="E160" s="5"/>
      <c r="F160" s="5"/>
      <c r="G160" s="5"/>
      <c r="H160" s="5"/>
      <c r="I160" s="5"/>
      <c r="J160" s="5"/>
      <c r="K160" s="5"/>
      <c r="L160" s="5"/>
      <c r="M160" s="5"/>
      <c r="N160" s="5"/>
      <c r="O160" s="5"/>
      <c r="P160" s="5"/>
      <c r="Q160" s="5"/>
      <c r="R160" s="5"/>
      <c r="S160" s="5"/>
      <c r="T160" s="5"/>
      <c r="U160" s="5"/>
    </row>
    <row r="161" ht="14.25" customHeight="1">
      <c r="A161" s="5"/>
      <c r="B161" s="5"/>
      <c r="C161" s="5"/>
      <c r="D161" s="5"/>
      <c r="E161" s="5"/>
      <c r="F161" s="5"/>
      <c r="G161" s="5"/>
      <c r="H161" s="5"/>
      <c r="I161" s="5"/>
      <c r="J161" s="5"/>
      <c r="K161" s="5"/>
      <c r="L161" s="5"/>
      <c r="M161" s="5"/>
      <c r="N161" s="5"/>
      <c r="O161" s="5"/>
      <c r="P161" s="5"/>
      <c r="Q161" s="5"/>
      <c r="R161" s="5"/>
      <c r="S161" s="5"/>
      <c r="T161" s="5"/>
      <c r="U161" s="5"/>
    </row>
    <row r="162" ht="14.25" customHeight="1">
      <c r="A162" s="5"/>
      <c r="B162" s="5"/>
      <c r="C162" s="5"/>
      <c r="D162" s="5"/>
      <c r="E162" s="5"/>
      <c r="F162" s="5"/>
      <c r="G162" s="5"/>
      <c r="H162" s="5"/>
      <c r="I162" s="5"/>
      <c r="J162" s="5"/>
      <c r="K162" s="5"/>
      <c r="L162" s="5"/>
      <c r="M162" s="5"/>
      <c r="N162" s="5"/>
      <c r="O162" s="5"/>
      <c r="P162" s="5"/>
      <c r="Q162" s="5"/>
      <c r="R162" s="5"/>
      <c r="S162" s="5"/>
      <c r="T162" s="5"/>
      <c r="U162" s="5"/>
    </row>
    <row r="163" ht="14.25" customHeight="1">
      <c r="A163" s="5"/>
      <c r="B163" s="5"/>
      <c r="C163" s="5"/>
      <c r="D163" s="5"/>
      <c r="E163" s="5"/>
      <c r="F163" s="5"/>
      <c r="G163" s="5"/>
      <c r="H163" s="5"/>
      <c r="I163" s="5"/>
      <c r="J163" s="5"/>
      <c r="K163" s="5"/>
      <c r="L163" s="5"/>
      <c r="M163" s="5"/>
      <c r="N163" s="5"/>
      <c r="O163" s="5"/>
      <c r="P163" s="5"/>
      <c r="Q163" s="5"/>
      <c r="R163" s="5"/>
      <c r="S163" s="5"/>
      <c r="T163" s="5"/>
      <c r="U163" s="5"/>
    </row>
    <row r="164" ht="14.25" customHeight="1">
      <c r="A164" s="5"/>
      <c r="B164" s="5"/>
      <c r="C164" s="5"/>
      <c r="D164" s="5"/>
      <c r="E164" s="5"/>
      <c r="F164" s="5"/>
      <c r="G164" s="5"/>
      <c r="H164" s="5"/>
      <c r="I164" s="5"/>
      <c r="J164" s="5"/>
      <c r="K164" s="5"/>
      <c r="L164" s="5"/>
      <c r="M164" s="5"/>
      <c r="N164" s="5"/>
      <c r="O164" s="5"/>
      <c r="P164" s="5"/>
      <c r="Q164" s="5"/>
      <c r="R164" s="5"/>
      <c r="S164" s="5"/>
      <c r="T164" s="5"/>
      <c r="U164" s="5"/>
    </row>
    <row r="165" ht="14.25" customHeight="1">
      <c r="A165" s="5"/>
      <c r="B165" s="5"/>
      <c r="C165" s="5"/>
      <c r="D165" s="5"/>
      <c r="E165" s="5"/>
      <c r="F165" s="5"/>
      <c r="G165" s="5"/>
      <c r="H165" s="5"/>
      <c r="I165" s="5"/>
      <c r="J165" s="5"/>
      <c r="K165" s="5"/>
      <c r="L165" s="5"/>
      <c r="M165" s="5"/>
      <c r="N165" s="5"/>
      <c r="O165" s="5"/>
      <c r="P165" s="5"/>
      <c r="Q165" s="5"/>
      <c r="R165" s="5"/>
      <c r="S165" s="5"/>
      <c r="T165" s="5"/>
      <c r="U165" s="5"/>
    </row>
    <row r="166" ht="14.25" customHeight="1">
      <c r="A166" s="5"/>
      <c r="B166" s="5"/>
      <c r="C166" s="5"/>
      <c r="D166" s="5"/>
      <c r="E166" s="5"/>
      <c r="F166" s="5"/>
      <c r="G166" s="5"/>
      <c r="H166" s="5"/>
      <c r="I166" s="5"/>
      <c r="J166" s="5"/>
      <c r="K166" s="5"/>
      <c r="L166" s="5"/>
      <c r="M166" s="5"/>
      <c r="N166" s="5"/>
      <c r="O166" s="5"/>
      <c r="P166" s="5"/>
      <c r="Q166" s="5"/>
      <c r="R166" s="5"/>
      <c r="S166" s="5"/>
      <c r="T166" s="5"/>
      <c r="U166" s="5"/>
    </row>
    <row r="167" ht="14.25" customHeight="1">
      <c r="A167" s="5"/>
      <c r="B167" s="5"/>
      <c r="C167" s="5"/>
      <c r="D167" s="5"/>
      <c r="E167" s="5"/>
      <c r="F167" s="5"/>
      <c r="G167" s="5"/>
      <c r="H167" s="5"/>
      <c r="I167" s="5"/>
      <c r="J167" s="5"/>
      <c r="K167" s="5"/>
      <c r="L167" s="5"/>
      <c r="M167" s="5"/>
      <c r="N167" s="5"/>
      <c r="O167" s="5"/>
      <c r="P167" s="5"/>
      <c r="Q167" s="5"/>
      <c r="R167" s="5"/>
      <c r="S167" s="5"/>
      <c r="T167" s="5"/>
      <c r="U167" s="5"/>
    </row>
    <row r="168" ht="14.25" customHeight="1">
      <c r="A168" s="5"/>
      <c r="B168" s="5"/>
      <c r="C168" s="5"/>
      <c r="D168" s="5"/>
      <c r="E168" s="5"/>
      <c r="F168" s="5"/>
      <c r="G168" s="5"/>
      <c r="H168" s="5"/>
      <c r="I168" s="5"/>
      <c r="J168" s="5"/>
      <c r="K168" s="5"/>
      <c r="L168" s="5"/>
      <c r="M168" s="5"/>
      <c r="N168" s="5"/>
      <c r="O168" s="5"/>
      <c r="P168" s="5"/>
      <c r="Q168" s="5"/>
      <c r="R168" s="5"/>
      <c r="S168" s="5"/>
      <c r="T168" s="5"/>
      <c r="U168" s="5"/>
    </row>
    <row r="169" ht="14.25" customHeight="1">
      <c r="A169" s="5"/>
      <c r="B169" s="5"/>
      <c r="C169" s="5"/>
      <c r="D169" s="5"/>
      <c r="E169" s="5"/>
      <c r="F169" s="5"/>
      <c r="G169" s="5"/>
      <c r="H169" s="5"/>
      <c r="I169" s="5"/>
      <c r="J169" s="5"/>
      <c r="K169" s="5"/>
      <c r="L169" s="5"/>
      <c r="M169" s="5"/>
      <c r="N169" s="5"/>
      <c r="O169" s="5"/>
      <c r="P169" s="5"/>
      <c r="Q169" s="5"/>
      <c r="R169" s="5"/>
      <c r="S169" s="5"/>
      <c r="T169" s="5"/>
      <c r="U169" s="5"/>
    </row>
    <row r="170" ht="14.25" customHeight="1">
      <c r="A170" s="5"/>
      <c r="B170" s="5"/>
      <c r="C170" s="5"/>
      <c r="D170" s="5"/>
      <c r="E170" s="5"/>
      <c r="F170" s="5"/>
      <c r="G170" s="5"/>
      <c r="H170" s="5"/>
      <c r="I170" s="5"/>
      <c r="J170" s="5"/>
      <c r="K170" s="5"/>
      <c r="L170" s="5"/>
      <c r="M170" s="5"/>
      <c r="N170" s="5"/>
      <c r="O170" s="5"/>
      <c r="P170" s="5"/>
      <c r="Q170" s="5"/>
      <c r="R170" s="5"/>
      <c r="S170" s="5"/>
      <c r="T170" s="5"/>
      <c r="U170" s="5"/>
    </row>
    <row r="171" ht="14.25" customHeight="1">
      <c r="A171" s="5"/>
      <c r="B171" s="5"/>
      <c r="C171" s="5"/>
      <c r="D171" s="5"/>
      <c r="E171" s="5"/>
      <c r="F171" s="5"/>
      <c r="G171" s="5"/>
      <c r="H171" s="5"/>
      <c r="I171" s="5"/>
      <c r="J171" s="5"/>
      <c r="K171" s="5"/>
      <c r="L171" s="5"/>
      <c r="M171" s="5"/>
      <c r="N171" s="5"/>
      <c r="O171" s="5"/>
      <c r="P171" s="5"/>
      <c r="Q171" s="5"/>
      <c r="R171" s="5"/>
      <c r="S171" s="5"/>
      <c r="T171" s="5"/>
      <c r="U171" s="5"/>
    </row>
    <row r="172" ht="14.25" customHeight="1">
      <c r="A172" s="5"/>
      <c r="B172" s="5"/>
      <c r="C172" s="5"/>
      <c r="D172" s="5"/>
      <c r="E172" s="5"/>
      <c r="F172" s="5"/>
      <c r="G172" s="5"/>
      <c r="H172" s="5"/>
      <c r="I172" s="5"/>
      <c r="J172" s="5"/>
      <c r="K172" s="5"/>
      <c r="L172" s="5"/>
      <c r="M172" s="5"/>
      <c r="N172" s="5"/>
      <c r="O172" s="5"/>
      <c r="P172" s="5"/>
      <c r="Q172" s="5"/>
      <c r="R172" s="5"/>
      <c r="S172" s="5"/>
      <c r="T172" s="5"/>
      <c r="U172" s="5"/>
    </row>
    <row r="173" ht="14.25" customHeight="1">
      <c r="A173" s="5"/>
      <c r="B173" s="5"/>
      <c r="C173" s="5"/>
      <c r="D173" s="5"/>
      <c r="E173" s="5"/>
      <c r="F173" s="5"/>
      <c r="G173" s="5"/>
      <c r="H173" s="5"/>
      <c r="I173" s="5"/>
      <c r="J173" s="5"/>
      <c r="K173" s="5"/>
      <c r="L173" s="5"/>
      <c r="M173" s="5"/>
      <c r="N173" s="5"/>
      <c r="O173" s="5"/>
      <c r="P173" s="5"/>
      <c r="Q173" s="5"/>
      <c r="R173" s="5"/>
      <c r="S173" s="5"/>
      <c r="T173" s="5"/>
      <c r="U173" s="5"/>
    </row>
    <row r="174" ht="14.25" customHeight="1">
      <c r="A174" s="5"/>
      <c r="B174" s="5"/>
      <c r="C174" s="5"/>
      <c r="D174" s="5"/>
      <c r="E174" s="5"/>
      <c r="F174" s="5"/>
      <c r="G174" s="5"/>
      <c r="H174" s="5"/>
      <c r="I174" s="5"/>
      <c r="J174" s="5"/>
      <c r="K174" s="5"/>
      <c r="L174" s="5"/>
      <c r="M174" s="5"/>
      <c r="N174" s="5"/>
      <c r="O174" s="5"/>
      <c r="P174" s="5"/>
      <c r="Q174" s="5"/>
      <c r="R174" s="5"/>
      <c r="S174" s="5"/>
      <c r="T174" s="5"/>
      <c r="U174" s="5"/>
    </row>
    <row r="175" ht="14.25" customHeight="1">
      <c r="A175" s="5"/>
      <c r="B175" s="5"/>
      <c r="C175" s="5"/>
      <c r="D175" s="5"/>
      <c r="E175" s="5"/>
      <c r="F175" s="5"/>
      <c r="G175" s="5"/>
      <c r="H175" s="5"/>
      <c r="I175" s="5"/>
      <c r="J175" s="5"/>
      <c r="K175" s="5"/>
      <c r="L175" s="5"/>
      <c r="M175" s="5"/>
      <c r="N175" s="5"/>
      <c r="O175" s="5"/>
      <c r="P175" s="5"/>
      <c r="Q175" s="5"/>
      <c r="R175" s="5"/>
      <c r="S175" s="5"/>
      <c r="T175" s="5"/>
      <c r="U175" s="5"/>
    </row>
    <row r="176" ht="14.25" customHeight="1">
      <c r="A176" s="5"/>
      <c r="B176" s="5"/>
      <c r="C176" s="5"/>
      <c r="D176" s="5"/>
      <c r="E176" s="5"/>
      <c r="F176" s="5"/>
      <c r="G176" s="5"/>
      <c r="H176" s="5"/>
      <c r="I176" s="5"/>
      <c r="J176" s="5"/>
      <c r="K176" s="5"/>
      <c r="L176" s="5"/>
      <c r="M176" s="5"/>
      <c r="N176" s="5"/>
      <c r="O176" s="5"/>
      <c r="P176" s="5"/>
      <c r="Q176" s="5"/>
      <c r="R176" s="5"/>
      <c r="S176" s="5"/>
      <c r="T176" s="5"/>
      <c r="U176" s="5"/>
    </row>
    <row r="177" ht="14.25" customHeight="1">
      <c r="A177" s="5"/>
      <c r="B177" s="5"/>
      <c r="C177" s="5"/>
      <c r="D177" s="5"/>
      <c r="E177" s="5"/>
      <c r="F177" s="5"/>
      <c r="G177" s="5"/>
      <c r="H177" s="5"/>
      <c r="I177" s="5"/>
      <c r="J177" s="5"/>
      <c r="K177" s="5"/>
      <c r="L177" s="5"/>
      <c r="M177" s="5"/>
      <c r="N177" s="5"/>
      <c r="O177" s="5"/>
      <c r="P177" s="5"/>
      <c r="Q177" s="5"/>
      <c r="R177" s="5"/>
      <c r="S177" s="5"/>
      <c r="T177" s="5"/>
      <c r="U177" s="5"/>
    </row>
    <row r="178" ht="14.25" customHeight="1">
      <c r="A178" s="5"/>
      <c r="B178" s="5"/>
      <c r="C178" s="5"/>
      <c r="D178" s="5"/>
      <c r="E178" s="5"/>
      <c r="F178" s="5"/>
      <c r="G178" s="5"/>
      <c r="H178" s="5"/>
      <c r="I178" s="5"/>
      <c r="J178" s="5"/>
      <c r="K178" s="5"/>
      <c r="L178" s="5"/>
      <c r="M178" s="5"/>
      <c r="N178" s="5"/>
      <c r="O178" s="5"/>
      <c r="P178" s="5"/>
      <c r="Q178" s="5"/>
      <c r="R178" s="5"/>
      <c r="S178" s="5"/>
      <c r="T178" s="5"/>
      <c r="U178" s="5"/>
    </row>
    <row r="179" ht="14.25" customHeight="1">
      <c r="A179" s="5"/>
      <c r="B179" s="5"/>
      <c r="C179" s="5"/>
      <c r="D179" s="5"/>
      <c r="E179" s="5"/>
      <c r="F179" s="5"/>
      <c r="G179" s="5"/>
      <c r="H179" s="5"/>
      <c r="I179" s="5"/>
      <c r="J179" s="5"/>
      <c r="K179" s="5"/>
      <c r="L179" s="5"/>
      <c r="M179" s="5"/>
      <c r="N179" s="5"/>
      <c r="O179" s="5"/>
      <c r="P179" s="5"/>
      <c r="Q179" s="5"/>
      <c r="R179" s="5"/>
      <c r="S179" s="5"/>
      <c r="T179" s="5"/>
      <c r="U179" s="5"/>
    </row>
    <row r="180" ht="14.25" customHeight="1">
      <c r="A180" s="5"/>
      <c r="B180" s="5"/>
      <c r="C180" s="5"/>
      <c r="D180" s="5"/>
      <c r="E180" s="5"/>
      <c r="F180" s="5"/>
      <c r="G180" s="5"/>
      <c r="H180" s="5"/>
      <c r="I180" s="5"/>
      <c r="J180" s="5"/>
      <c r="K180" s="5"/>
      <c r="L180" s="5"/>
      <c r="M180" s="5"/>
      <c r="N180" s="5"/>
      <c r="O180" s="5"/>
      <c r="P180" s="5"/>
      <c r="Q180" s="5"/>
      <c r="R180" s="5"/>
      <c r="S180" s="5"/>
      <c r="T180" s="5"/>
      <c r="U180" s="5"/>
    </row>
    <row r="181" ht="14.25" customHeight="1">
      <c r="A181" s="5"/>
      <c r="B181" s="5"/>
      <c r="C181" s="5"/>
      <c r="D181" s="5"/>
      <c r="E181" s="5"/>
      <c r="F181" s="5"/>
      <c r="G181" s="5"/>
      <c r="H181" s="5"/>
      <c r="I181" s="5"/>
      <c r="J181" s="5"/>
      <c r="K181" s="5"/>
      <c r="L181" s="5"/>
      <c r="M181" s="5"/>
      <c r="N181" s="5"/>
      <c r="O181" s="5"/>
      <c r="P181" s="5"/>
      <c r="Q181" s="5"/>
      <c r="R181" s="5"/>
      <c r="S181" s="5"/>
      <c r="T181" s="5"/>
      <c r="U181" s="5"/>
    </row>
    <row r="182" ht="14.25" customHeight="1">
      <c r="A182" s="5"/>
      <c r="B182" s="5"/>
      <c r="C182" s="5"/>
      <c r="D182" s="5"/>
      <c r="E182" s="5"/>
      <c r="F182" s="5"/>
      <c r="G182" s="5"/>
      <c r="H182" s="5"/>
      <c r="I182" s="5"/>
      <c r="J182" s="5"/>
      <c r="K182" s="5"/>
      <c r="L182" s="5"/>
      <c r="M182" s="5"/>
      <c r="N182" s="5"/>
      <c r="O182" s="5"/>
      <c r="P182" s="5"/>
      <c r="Q182" s="5"/>
      <c r="R182" s="5"/>
      <c r="S182" s="5"/>
      <c r="T182" s="5"/>
      <c r="U182" s="5"/>
    </row>
    <row r="183" ht="14.25" customHeight="1">
      <c r="A183" s="5"/>
      <c r="B183" s="5"/>
      <c r="C183" s="5"/>
      <c r="D183" s="5"/>
      <c r="E183" s="5"/>
      <c r="F183" s="5"/>
      <c r="G183" s="5"/>
      <c r="H183" s="5"/>
      <c r="I183" s="5"/>
      <c r="J183" s="5"/>
      <c r="K183" s="5"/>
      <c r="L183" s="5"/>
      <c r="M183" s="5"/>
      <c r="N183" s="5"/>
      <c r="O183" s="5"/>
      <c r="P183" s="5"/>
      <c r="Q183" s="5"/>
      <c r="R183" s="5"/>
      <c r="S183" s="5"/>
      <c r="T183" s="5"/>
      <c r="U183" s="5"/>
    </row>
    <row r="184" ht="14.25" customHeight="1">
      <c r="A184" s="5"/>
      <c r="B184" s="5"/>
      <c r="C184" s="5"/>
      <c r="D184" s="5"/>
      <c r="E184" s="5"/>
      <c r="F184" s="5"/>
      <c r="G184" s="5"/>
      <c r="H184" s="5"/>
      <c r="I184" s="5"/>
      <c r="J184" s="5"/>
      <c r="K184" s="5"/>
      <c r="L184" s="5"/>
      <c r="M184" s="5"/>
      <c r="N184" s="5"/>
      <c r="O184" s="5"/>
      <c r="P184" s="5"/>
      <c r="Q184" s="5"/>
      <c r="R184" s="5"/>
      <c r="S184" s="5"/>
      <c r="T184" s="5"/>
      <c r="U184" s="5"/>
    </row>
    <row r="185" ht="14.25" customHeight="1">
      <c r="A185" s="5"/>
      <c r="B185" s="5"/>
      <c r="C185" s="5"/>
      <c r="D185" s="5"/>
      <c r="E185" s="5"/>
      <c r="F185" s="5"/>
      <c r="G185" s="5"/>
      <c r="H185" s="5"/>
      <c r="I185" s="5"/>
      <c r="J185" s="5"/>
      <c r="K185" s="5"/>
      <c r="L185" s="5"/>
      <c r="M185" s="5"/>
      <c r="N185" s="5"/>
      <c r="O185" s="5"/>
      <c r="P185" s="5"/>
      <c r="Q185" s="5"/>
      <c r="R185" s="5"/>
      <c r="S185" s="5"/>
      <c r="T185" s="5"/>
      <c r="U185" s="5"/>
    </row>
    <row r="186" ht="14.25" customHeight="1">
      <c r="A186" s="5"/>
      <c r="B186" s="5"/>
      <c r="C186" s="5"/>
      <c r="D186" s="5"/>
      <c r="E186" s="5"/>
      <c r="F186" s="5"/>
      <c r="G186" s="5"/>
      <c r="H186" s="5"/>
      <c r="I186" s="5"/>
      <c r="J186" s="5"/>
      <c r="K186" s="5"/>
      <c r="L186" s="5"/>
      <c r="M186" s="5"/>
      <c r="N186" s="5"/>
      <c r="O186" s="5"/>
      <c r="P186" s="5"/>
      <c r="Q186" s="5"/>
      <c r="R186" s="5"/>
      <c r="S186" s="5"/>
      <c r="T186" s="5"/>
      <c r="U186" s="5"/>
    </row>
    <row r="187" ht="14.25" customHeight="1">
      <c r="A187" s="5"/>
      <c r="B187" s="5"/>
      <c r="C187" s="5"/>
      <c r="D187" s="5"/>
      <c r="E187" s="5"/>
      <c r="F187" s="5"/>
      <c r="G187" s="5"/>
      <c r="H187" s="5"/>
      <c r="I187" s="5"/>
      <c r="J187" s="5"/>
      <c r="K187" s="5"/>
      <c r="L187" s="5"/>
      <c r="M187" s="5"/>
      <c r="N187" s="5"/>
      <c r="O187" s="5"/>
      <c r="P187" s="5"/>
      <c r="Q187" s="5"/>
      <c r="R187" s="5"/>
      <c r="S187" s="5"/>
      <c r="T187" s="5"/>
      <c r="U187" s="5"/>
    </row>
    <row r="188" ht="14.25" customHeight="1">
      <c r="A188" s="5"/>
      <c r="B188" s="5"/>
      <c r="C188" s="5"/>
      <c r="D188" s="5"/>
      <c r="E188" s="5"/>
      <c r="F188" s="5"/>
      <c r="G188" s="5"/>
      <c r="H188" s="5"/>
      <c r="I188" s="5"/>
      <c r="J188" s="5"/>
      <c r="K188" s="5"/>
      <c r="L188" s="5"/>
      <c r="M188" s="5"/>
      <c r="N188" s="5"/>
      <c r="O188" s="5"/>
      <c r="P188" s="5"/>
      <c r="Q188" s="5"/>
      <c r="R188" s="5"/>
      <c r="S188" s="5"/>
      <c r="T188" s="5"/>
      <c r="U188" s="5"/>
    </row>
    <row r="189" ht="14.25" customHeight="1">
      <c r="A189" s="5"/>
      <c r="B189" s="5"/>
      <c r="C189" s="5"/>
      <c r="D189" s="5"/>
      <c r="E189" s="5"/>
      <c r="F189" s="5"/>
      <c r="G189" s="5"/>
      <c r="H189" s="5"/>
      <c r="I189" s="5"/>
      <c r="J189" s="5"/>
      <c r="K189" s="5"/>
      <c r="L189" s="5"/>
      <c r="M189" s="5"/>
      <c r="N189" s="5"/>
      <c r="O189" s="5"/>
      <c r="P189" s="5"/>
      <c r="Q189" s="5"/>
      <c r="R189" s="5"/>
      <c r="S189" s="5"/>
      <c r="T189" s="5"/>
      <c r="U189" s="5"/>
    </row>
    <row r="190" ht="14.25" customHeight="1">
      <c r="A190" s="5"/>
      <c r="B190" s="5"/>
      <c r="C190" s="5"/>
      <c r="D190" s="5"/>
      <c r="E190" s="5"/>
      <c r="F190" s="5"/>
      <c r="G190" s="5"/>
      <c r="H190" s="5"/>
      <c r="I190" s="5"/>
      <c r="J190" s="5"/>
      <c r="K190" s="5"/>
      <c r="L190" s="5"/>
      <c r="M190" s="5"/>
      <c r="N190" s="5"/>
      <c r="O190" s="5"/>
      <c r="P190" s="5"/>
      <c r="Q190" s="5"/>
      <c r="R190" s="5"/>
      <c r="S190" s="5"/>
      <c r="T190" s="5"/>
      <c r="U190" s="5"/>
    </row>
    <row r="191" ht="14.25" customHeight="1">
      <c r="A191" s="5"/>
      <c r="B191" s="5"/>
      <c r="C191" s="5"/>
      <c r="D191" s="5"/>
      <c r="E191" s="5"/>
      <c r="F191" s="5"/>
      <c r="G191" s="5"/>
      <c r="H191" s="5"/>
      <c r="I191" s="5"/>
      <c r="J191" s="5"/>
      <c r="K191" s="5"/>
      <c r="L191" s="5"/>
      <c r="M191" s="5"/>
      <c r="N191" s="5"/>
      <c r="O191" s="5"/>
      <c r="P191" s="5"/>
      <c r="Q191" s="5"/>
      <c r="R191" s="5"/>
      <c r="S191" s="5"/>
      <c r="T191" s="5"/>
      <c r="U191" s="5"/>
    </row>
    <row r="192" ht="14.25" customHeight="1">
      <c r="A192" s="5"/>
      <c r="B192" s="5"/>
      <c r="C192" s="5"/>
      <c r="D192" s="5"/>
      <c r="E192" s="5"/>
      <c r="F192" s="5"/>
      <c r="G192" s="5"/>
      <c r="H192" s="5"/>
      <c r="I192" s="5"/>
      <c r="J192" s="5"/>
      <c r="K192" s="5"/>
      <c r="L192" s="5"/>
      <c r="M192" s="5"/>
      <c r="N192" s="5"/>
      <c r="O192" s="5"/>
      <c r="P192" s="5"/>
      <c r="Q192" s="5"/>
      <c r="R192" s="5"/>
      <c r="S192" s="5"/>
      <c r="T192" s="5"/>
      <c r="U192" s="5"/>
    </row>
    <row r="193" ht="14.25" customHeight="1">
      <c r="A193" s="5"/>
      <c r="B193" s="5"/>
      <c r="C193" s="5"/>
      <c r="D193" s="5"/>
      <c r="E193" s="5"/>
      <c r="F193" s="5"/>
      <c r="G193" s="5"/>
      <c r="H193" s="5"/>
      <c r="I193" s="5"/>
      <c r="J193" s="5"/>
      <c r="K193" s="5"/>
      <c r="L193" s="5"/>
      <c r="M193" s="5"/>
      <c r="N193" s="5"/>
      <c r="O193" s="5"/>
      <c r="P193" s="5"/>
      <c r="Q193" s="5"/>
      <c r="R193" s="5"/>
      <c r="S193" s="5"/>
      <c r="T193" s="5"/>
      <c r="U193" s="5"/>
    </row>
    <row r="194" ht="14.25" customHeight="1">
      <c r="A194" s="5"/>
      <c r="B194" s="5"/>
      <c r="C194" s="5"/>
      <c r="D194" s="5"/>
      <c r="E194" s="5"/>
      <c r="F194" s="5"/>
      <c r="G194" s="5"/>
      <c r="H194" s="5"/>
      <c r="I194" s="5"/>
      <c r="J194" s="5"/>
      <c r="K194" s="5"/>
      <c r="L194" s="5"/>
      <c r="M194" s="5"/>
      <c r="N194" s="5"/>
      <c r="O194" s="5"/>
      <c r="P194" s="5"/>
      <c r="Q194" s="5"/>
      <c r="R194" s="5"/>
      <c r="S194" s="5"/>
      <c r="T194" s="5"/>
      <c r="U194" s="5"/>
    </row>
    <row r="195" ht="14.25" customHeight="1">
      <c r="A195" s="5"/>
      <c r="B195" s="5"/>
      <c r="C195" s="5"/>
      <c r="D195" s="5"/>
      <c r="E195" s="5"/>
      <c r="F195" s="5"/>
      <c r="G195" s="5"/>
      <c r="H195" s="5"/>
      <c r="I195" s="5"/>
      <c r="J195" s="5"/>
      <c r="K195" s="5"/>
      <c r="L195" s="5"/>
      <c r="M195" s="5"/>
      <c r="N195" s="5"/>
      <c r="O195" s="5"/>
      <c r="P195" s="5"/>
      <c r="Q195" s="5"/>
      <c r="R195" s="5"/>
      <c r="S195" s="5"/>
      <c r="T195" s="5"/>
      <c r="U195" s="5"/>
    </row>
    <row r="196" ht="14.25" customHeight="1">
      <c r="A196" s="5"/>
      <c r="B196" s="5"/>
      <c r="C196" s="5"/>
      <c r="D196" s="5"/>
      <c r="E196" s="5"/>
      <c r="F196" s="5"/>
      <c r="G196" s="5"/>
      <c r="H196" s="5"/>
      <c r="I196" s="5"/>
      <c r="J196" s="5"/>
      <c r="K196" s="5"/>
      <c r="L196" s="5"/>
      <c r="M196" s="5"/>
      <c r="N196" s="5"/>
      <c r="O196" s="5"/>
      <c r="P196" s="5"/>
      <c r="Q196" s="5"/>
      <c r="R196" s="5"/>
      <c r="S196" s="5"/>
      <c r="T196" s="5"/>
      <c r="U196" s="5"/>
    </row>
    <row r="197" ht="14.25" customHeight="1">
      <c r="A197" s="5"/>
      <c r="B197" s="5"/>
      <c r="C197" s="5"/>
      <c r="D197" s="5"/>
      <c r="E197" s="5"/>
      <c r="F197" s="5"/>
      <c r="G197" s="5"/>
      <c r="H197" s="5"/>
      <c r="I197" s="5"/>
      <c r="J197" s="5"/>
      <c r="K197" s="5"/>
      <c r="L197" s="5"/>
      <c r="M197" s="5"/>
      <c r="N197" s="5"/>
      <c r="O197" s="5"/>
      <c r="P197" s="5"/>
      <c r="Q197" s="5"/>
      <c r="R197" s="5"/>
      <c r="S197" s="5"/>
      <c r="T197" s="5"/>
      <c r="U197" s="5"/>
    </row>
    <row r="198" ht="14.25" customHeight="1">
      <c r="A198" s="5"/>
      <c r="B198" s="5"/>
      <c r="C198" s="5"/>
      <c r="D198" s="5"/>
      <c r="E198" s="5"/>
      <c r="F198" s="5"/>
      <c r="G198" s="5"/>
      <c r="H198" s="5"/>
      <c r="I198" s="5"/>
      <c r="J198" s="5"/>
      <c r="K198" s="5"/>
      <c r="L198" s="5"/>
      <c r="M198" s="5"/>
      <c r="N198" s="5"/>
      <c r="O198" s="5"/>
      <c r="P198" s="5"/>
      <c r="Q198" s="5"/>
      <c r="R198" s="5"/>
      <c r="S198" s="5"/>
      <c r="T198" s="5"/>
      <c r="U198" s="5"/>
    </row>
    <row r="199" ht="14.25" customHeight="1">
      <c r="A199" s="5"/>
      <c r="B199" s="5"/>
      <c r="C199" s="5"/>
      <c r="D199" s="5"/>
      <c r="E199" s="5"/>
      <c r="F199" s="5"/>
      <c r="G199" s="5"/>
      <c r="H199" s="5"/>
      <c r="I199" s="5"/>
      <c r="J199" s="5"/>
      <c r="K199" s="5"/>
      <c r="L199" s="5"/>
      <c r="M199" s="5"/>
      <c r="N199" s="5"/>
      <c r="O199" s="5"/>
      <c r="P199" s="5"/>
      <c r="Q199" s="5"/>
      <c r="R199" s="5"/>
      <c r="S199" s="5"/>
      <c r="T199" s="5"/>
      <c r="U199" s="5"/>
    </row>
    <row r="200" ht="14.25" customHeight="1">
      <c r="A200" s="5"/>
      <c r="B200" s="5"/>
      <c r="C200" s="5"/>
      <c r="D200" s="5"/>
      <c r="E200" s="5"/>
      <c r="F200" s="5"/>
      <c r="G200" s="5"/>
      <c r="H200" s="5"/>
      <c r="I200" s="5"/>
      <c r="J200" s="5"/>
      <c r="K200" s="5"/>
      <c r="L200" s="5"/>
      <c r="M200" s="5"/>
      <c r="N200" s="5"/>
      <c r="O200" s="5"/>
      <c r="P200" s="5"/>
      <c r="Q200" s="5"/>
      <c r="R200" s="5"/>
      <c r="S200" s="5"/>
      <c r="T200" s="5"/>
      <c r="U200" s="5"/>
    </row>
    <row r="201" ht="14.25" customHeight="1">
      <c r="A201" s="5"/>
      <c r="B201" s="5"/>
      <c r="C201" s="5"/>
      <c r="D201" s="5"/>
      <c r="E201" s="5"/>
      <c r="F201" s="5"/>
      <c r="G201" s="5"/>
      <c r="H201" s="5"/>
      <c r="I201" s="5"/>
      <c r="J201" s="5"/>
      <c r="K201" s="5"/>
      <c r="L201" s="5"/>
      <c r="M201" s="5"/>
      <c r="N201" s="5"/>
      <c r="O201" s="5"/>
      <c r="P201" s="5"/>
      <c r="Q201" s="5"/>
      <c r="R201" s="5"/>
      <c r="S201" s="5"/>
      <c r="T201" s="5"/>
      <c r="U201" s="5"/>
    </row>
    <row r="202" ht="14.25" customHeight="1">
      <c r="A202" s="5"/>
      <c r="B202" s="5"/>
      <c r="C202" s="5"/>
      <c r="D202" s="5"/>
      <c r="E202" s="5"/>
      <c r="F202" s="5"/>
      <c r="G202" s="5"/>
      <c r="H202" s="5"/>
      <c r="I202" s="5"/>
      <c r="J202" s="5"/>
      <c r="K202" s="5"/>
      <c r="L202" s="5"/>
      <c r="M202" s="5"/>
      <c r="N202" s="5"/>
      <c r="O202" s="5"/>
      <c r="P202" s="5"/>
      <c r="Q202" s="5"/>
      <c r="R202" s="5"/>
      <c r="S202" s="5"/>
      <c r="T202" s="5"/>
      <c r="U202" s="5"/>
    </row>
    <row r="203" ht="14.25" customHeight="1">
      <c r="A203" s="5"/>
      <c r="B203" s="5"/>
      <c r="C203" s="5"/>
      <c r="D203" s="5"/>
      <c r="E203" s="5"/>
      <c r="F203" s="5"/>
      <c r="G203" s="5"/>
      <c r="H203" s="5"/>
      <c r="I203" s="5"/>
      <c r="J203" s="5"/>
      <c r="K203" s="5"/>
      <c r="L203" s="5"/>
      <c r="M203" s="5"/>
      <c r="N203" s="5"/>
      <c r="O203" s="5"/>
      <c r="P203" s="5"/>
      <c r="Q203" s="5"/>
      <c r="R203" s="5"/>
      <c r="S203" s="5"/>
      <c r="T203" s="5"/>
      <c r="U203" s="5"/>
    </row>
    <row r="204" ht="14.25" customHeight="1">
      <c r="A204" s="5"/>
      <c r="B204" s="5"/>
      <c r="C204" s="5"/>
      <c r="D204" s="5"/>
      <c r="E204" s="5"/>
      <c r="F204" s="5"/>
      <c r="G204" s="5"/>
      <c r="H204" s="5"/>
      <c r="I204" s="5"/>
      <c r="J204" s="5"/>
      <c r="K204" s="5"/>
      <c r="L204" s="5"/>
      <c r="M204" s="5"/>
      <c r="N204" s="5"/>
      <c r="O204" s="5"/>
      <c r="P204" s="5"/>
      <c r="Q204" s="5"/>
      <c r="R204" s="5"/>
      <c r="S204" s="5"/>
      <c r="T204" s="5"/>
      <c r="U204" s="5"/>
    </row>
    <row r="205" ht="14.25" customHeight="1">
      <c r="A205" s="5"/>
      <c r="B205" s="5"/>
      <c r="C205" s="5"/>
      <c r="D205" s="5"/>
      <c r="E205" s="5"/>
      <c r="F205" s="5"/>
      <c r="G205" s="5"/>
      <c r="H205" s="5"/>
      <c r="I205" s="5"/>
      <c r="J205" s="5"/>
      <c r="K205" s="5"/>
      <c r="L205" s="5"/>
      <c r="M205" s="5"/>
      <c r="N205" s="5"/>
      <c r="O205" s="5"/>
      <c r="P205" s="5"/>
      <c r="Q205" s="5"/>
      <c r="R205" s="5"/>
      <c r="S205" s="5"/>
      <c r="T205" s="5"/>
      <c r="U205" s="5"/>
    </row>
    <row r="206" ht="14.25" customHeight="1">
      <c r="A206" s="5"/>
      <c r="B206" s="5"/>
      <c r="C206" s="5"/>
      <c r="D206" s="5"/>
      <c r="E206" s="5"/>
      <c r="F206" s="5"/>
      <c r="G206" s="5"/>
      <c r="H206" s="5"/>
      <c r="I206" s="5"/>
      <c r="J206" s="5"/>
      <c r="K206" s="5"/>
      <c r="L206" s="5"/>
      <c r="M206" s="5"/>
      <c r="N206" s="5"/>
      <c r="O206" s="5"/>
      <c r="P206" s="5"/>
      <c r="Q206" s="5"/>
      <c r="R206" s="5"/>
      <c r="S206" s="5"/>
      <c r="T206" s="5"/>
      <c r="U206" s="5"/>
    </row>
    <row r="207" ht="14.25" customHeight="1">
      <c r="A207" s="5"/>
      <c r="B207" s="5"/>
      <c r="C207" s="5"/>
      <c r="D207" s="5"/>
      <c r="E207" s="5"/>
      <c r="F207" s="5"/>
      <c r="G207" s="5"/>
      <c r="H207" s="5"/>
      <c r="I207" s="5"/>
      <c r="J207" s="5"/>
      <c r="K207" s="5"/>
      <c r="L207" s="5"/>
      <c r="M207" s="5"/>
      <c r="N207" s="5"/>
      <c r="O207" s="5"/>
      <c r="P207" s="5"/>
      <c r="Q207" s="5"/>
      <c r="R207" s="5"/>
      <c r="S207" s="5"/>
      <c r="T207" s="5"/>
      <c r="U207" s="5"/>
    </row>
    <row r="208" ht="14.25" customHeight="1">
      <c r="A208" s="5"/>
      <c r="B208" s="5"/>
      <c r="C208" s="5"/>
      <c r="D208" s="5"/>
      <c r="E208" s="5"/>
      <c r="F208" s="5"/>
      <c r="G208" s="5"/>
      <c r="H208" s="5"/>
      <c r="I208" s="5"/>
      <c r="J208" s="5"/>
      <c r="K208" s="5"/>
      <c r="L208" s="5"/>
      <c r="M208" s="5"/>
      <c r="N208" s="5"/>
      <c r="O208" s="5"/>
      <c r="P208" s="5"/>
      <c r="Q208" s="5"/>
      <c r="R208" s="5"/>
      <c r="S208" s="5"/>
      <c r="T208" s="5"/>
      <c r="U208" s="5"/>
    </row>
    <row r="209" ht="14.25" customHeight="1">
      <c r="A209" s="5"/>
      <c r="B209" s="5"/>
      <c r="C209" s="5"/>
      <c r="D209" s="5"/>
      <c r="E209" s="5"/>
      <c r="F209" s="5"/>
      <c r="G209" s="5"/>
      <c r="H209" s="5"/>
      <c r="I209" s="5"/>
      <c r="J209" s="5"/>
      <c r="K209" s="5"/>
      <c r="L209" s="5"/>
      <c r="M209" s="5"/>
      <c r="N209" s="5"/>
      <c r="O209" s="5"/>
      <c r="P209" s="5"/>
      <c r="Q209" s="5"/>
      <c r="R209" s="5"/>
      <c r="S209" s="5"/>
      <c r="T209" s="5"/>
      <c r="U209" s="5"/>
    </row>
    <row r="210" ht="14.25" customHeight="1">
      <c r="A210" s="5"/>
      <c r="B210" s="5"/>
      <c r="C210" s="5"/>
      <c r="D210" s="5"/>
      <c r="E210" s="5"/>
      <c r="F210" s="5"/>
      <c r="G210" s="5"/>
      <c r="H210" s="5"/>
      <c r="I210" s="5"/>
      <c r="J210" s="5"/>
      <c r="K210" s="5"/>
      <c r="L210" s="5"/>
      <c r="M210" s="5"/>
      <c r="N210" s="5"/>
      <c r="O210" s="5"/>
      <c r="P210" s="5"/>
      <c r="Q210" s="5"/>
      <c r="R210" s="5"/>
      <c r="S210" s="5"/>
      <c r="T210" s="5"/>
      <c r="U210" s="5"/>
    </row>
    <row r="211" ht="14.25" customHeight="1">
      <c r="A211" s="5"/>
      <c r="B211" s="5"/>
      <c r="C211" s="5"/>
      <c r="D211" s="5"/>
      <c r="E211" s="5"/>
      <c r="F211" s="5"/>
      <c r="G211" s="5"/>
      <c r="H211" s="5"/>
      <c r="I211" s="5"/>
      <c r="J211" s="5"/>
      <c r="K211" s="5"/>
      <c r="L211" s="5"/>
      <c r="M211" s="5"/>
      <c r="N211" s="5"/>
      <c r="O211" s="5"/>
      <c r="P211" s="5"/>
      <c r="Q211" s="5"/>
      <c r="R211" s="5"/>
      <c r="S211" s="5"/>
      <c r="T211" s="5"/>
      <c r="U211" s="5"/>
    </row>
    <row r="212" ht="14.25" customHeight="1">
      <c r="A212" s="5"/>
      <c r="B212" s="5"/>
      <c r="C212" s="5"/>
      <c r="D212" s="5"/>
      <c r="E212" s="5"/>
      <c r="F212" s="5"/>
      <c r="G212" s="5"/>
      <c r="H212" s="5"/>
      <c r="I212" s="5"/>
      <c r="J212" s="5"/>
      <c r="K212" s="5"/>
      <c r="L212" s="5"/>
      <c r="M212" s="5"/>
      <c r="N212" s="5"/>
      <c r="O212" s="5"/>
      <c r="P212" s="5"/>
      <c r="Q212" s="5"/>
      <c r="R212" s="5"/>
      <c r="S212" s="5"/>
      <c r="T212" s="5"/>
      <c r="U212" s="5"/>
    </row>
    <row r="213" ht="14.25" customHeight="1">
      <c r="A213" s="5"/>
      <c r="B213" s="5"/>
      <c r="C213" s="5"/>
      <c r="D213" s="5"/>
      <c r="E213" s="5"/>
      <c r="F213" s="5"/>
      <c r="G213" s="5"/>
      <c r="H213" s="5"/>
      <c r="I213" s="5"/>
      <c r="J213" s="5"/>
      <c r="K213" s="5"/>
      <c r="L213" s="5"/>
      <c r="M213" s="5"/>
      <c r="N213" s="5"/>
      <c r="O213" s="5"/>
      <c r="P213" s="5"/>
      <c r="Q213" s="5"/>
      <c r="R213" s="5"/>
      <c r="S213" s="5"/>
      <c r="T213" s="5"/>
      <c r="U213" s="5"/>
    </row>
    <row r="214" ht="14.25" customHeight="1">
      <c r="A214" s="5"/>
      <c r="B214" s="5"/>
      <c r="C214" s="5"/>
      <c r="D214" s="5"/>
      <c r="E214" s="5"/>
      <c r="F214" s="5"/>
      <c r="G214" s="5"/>
      <c r="H214" s="5"/>
      <c r="I214" s="5"/>
      <c r="J214" s="5"/>
      <c r="K214" s="5"/>
      <c r="L214" s="5"/>
      <c r="M214" s="5"/>
      <c r="N214" s="5"/>
      <c r="O214" s="5"/>
      <c r="P214" s="5"/>
      <c r="Q214" s="5"/>
      <c r="R214" s="5"/>
      <c r="S214" s="5"/>
      <c r="T214" s="5"/>
      <c r="U214" s="5"/>
    </row>
    <row r="215" ht="14.25" customHeight="1">
      <c r="A215" s="5"/>
      <c r="B215" s="5"/>
      <c r="C215" s="5"/>
      <c r="D215" s="5"/>
      <c r="E215" s="5"/>
      <c r="F215" s="5"/>
      <c r="G215" s="5"/>
      <c r="H215" s="5"/>
      <c r="I215" s="5"/>
      <c r="J215" s="5"/>
      <c r="K215" s="5"/>
      <c r="L215" s="5"/>
      <c r="M215" s="5"/>
      <c r="N215" s="5"/>
      <c r="O215" s="5"/>
      <c r="P215" s="5"/>
      <c r="Q215" s="5"/>
      <c r="R215" s="5"/>
      <c r="S215" s="5"/>
      <c r="T215" s="5"/>
      <c r="U215" s="5"/>
    </row>
    <row r="216" ht="14.25" customHeight="1">
      <c r="A216" s="5"/>
      <c r="B216" s="5"/>
      <c r="C216" s="5"/>
      <c r="D216" s="5"/>
      <c r="E216" s="5"/>
      <c r="F216" s="5"/>
      <c r="G216" s="5"/>
      <c r="H216" s="5"/>
      <c r="I216" s="5"/>
      <c r="J216" s="5"/>
      <c r="K216" s="5"/>
      <c r="L216" s="5"/>
      <c r="M216" s="5"/>
      <c r="N216" s="5"/>
      <c r="O216" s="5"/>
      <c r="P216" s="5"/>
      <c r="Q216" s="5"/>
      <c r="R216" s="5"/>
      <c r="S216" s="5"/>
      <c r="T216" s="5"/>
      <c r="U216" s="5"/>
    </row>
    <row r="217" ht="14.25" customHeight="1">
      <c r="A217" s="5"/>
      <c r="B217" s="5"/>
      <c r="C217" s="5"/>
      <c r="D217" s="5"/>
      <c r="E217" s="5"/>
      <c r="F217" s="5"/>
      <c r="G217" s="5"/>
      <c r="H217" s="5"/>
      <c r="I217" s="5"/>
      <c r="J217" s="5"/>
      <c r="K217" s="5"/>
      <c r="L217" s="5"/>
      <c r="M217" s="5"/>
      <c r="N217" s="5"/>
      <c r="O217" s="5"/>
      <c r="P217" s="5"/>
      <c r="Q217" s="5"/>
      <c r="R217" s="5"/>
      <c r="S217" s="5"/>
      <c r="T217" s="5"/>
      <c r="U217" s="5"/>
    </row>
    <row r="218" ht="14.25" customHeight="1">
      <c r="A218" s="5"/>
      <c r="B218" s="5"/>
      <c r="C218" s="5"/>
      <c r="D218" s="5"/>
      <c r="E218" s="5"/>
      <c r="F218" s="5"/>
      <c r="G218" s="5"/>
      <c r="H218" s="5"/>
      <c r="I218" s="5"/>
      <c r="J218" s="5"/>
      <c r="K218" s="5"/>
      <c r="L218" s="5"/>
      <c r="M218" s="5"/>
      <c r="N218" s="5"/>
      <c r="O218" s="5"/>
      <c r="P218" s="5"/>
      <c r="Q218" s="5"/>
      <c r="R218" s="5"/>
      <c r="S218" s="5"/>
      <c r="T218" s="5"/>
      <c r="U218" s="5"/>
    </row>
    <row r="219" ht="14.25" customHeight="1">
      <c r="A219" s="5"/>
      <c r="B219" s="5"/>
      <c r="C219" s="5"/>
      <c r="D219" s="5"/>
      <c r="E219" s="5"/>
      <c r="F219" s="5"/>
      <c r="G219" s="5"/>
      <c r="H219" s="5"/>
      <c r="I219" s="5"/>
      <c r="J219" s="5"/>
      <c r="K219" s="5"/>
      <c r="L219" s="5"/>
      <c r="M219" s="5"/>
      <c r="N219" s="5"/>
      <c r="O219" s="5"/>
      <c r="P219" s="5"/>
      <c r="Q219" s="5"/>
      <c r="R219" s="5"/>
      <c r="S219" s="5"/>
      <c r="T219" s="5"/>
      <c r="U219" s="5"/>
    </row>
    <row r="220" ht="14.25" customHeight="1">
      <c r="A220" s="5"/>
      <c r="B220" s="5"/>
      <c r="C220" s="5"/>
      <c r="D220" s="5"/>
      <c r="E220" s="5"/>
      <c r="F220" s="5"/>
      <c r="G220" s="5"/>
      <c r="H220" s="5"/>
      <c r="I220" s="5"/>
      <c r="J220" s="5"/>
      <c r="K220" s="5"/>
      <c r="L220" s="5"/>
      <c r="M220" s="5"/>
      <c r="N220" s="5"/>
      <c r="O220" s="5"/>
      <c r="P220" s="5"/>
      <c r="Q220" s="5"/>
      <c r="R220" s="5"/>
      <c r="S220" s="5"/>
      <c r="T220" s="5"/>
      <c r="U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5.29"/>
    <col customWidth="1" min="3" max="3" width="18.14"/>
    <col customWidth="1" min="4" max="4" width="20.29"/>
    <col customWidth="1" min="5" max="5" width="16.71"/>
    <col customWidth="1" min="6" max="6" width="11.43"/>
    <col customWidth="1" min="20" max="20" width="41.29"/>
  </cols>
  <sheetData>
    <row r="1" ht="14.25" customHeight="1">
      <c r="A1" s="332"/>
      <c r="B1" s="63" t="s">
        <v>468</v>
      </c>
      <c r="C1" s="390"/>
    </row>
    <row r="2" ht="14.25" customHeight="1">
      <c r="A2" s="397" t="s">
        <v>469</v>
      </c>
      <c r="B2" s="63">
        <v>2217.0</v>
      </c>
      <c r="C2" s="71"/>
    </row>
    <row r="3" ht="14.25" customHeight="1">
      <c r="A3" s="397" t="s">
        <v>470</v>
      </c>
      <c r="B3" s="63">
        <v>54.0</v>
      </c>
      <c r="C3" s="71"/>
    </row>
    <row r="4" ht="14.25" customHeight="1">
      <c r="A4" s="397" t="s">
        <v>471</v>
      </c>
      <c r="B4" s="63">
        <v>213.0</v>
      </c>
      <c r="C4" s="71"/>
      <c r="F4" s="398"/>
    </row>
    <row r="5" ht="14.25" customHeight="1">
      <c r="A5" s="397" t="s">
        <v>472</v>
      </c>
      <c r="B5" s="63">
        <v>126.0</v>
      </c>
      <c r="C5" s="71"/>
    </row>
    <row r="6" ht="14.25" customHeight="1">
      <c r="A6" s="397" t="s">
        <v>473</v>
      </c>
      <c r="B6" s="63">
        <v>57.0</v>
      </c>
      <c r="C6" s="71"/>
    </row>
    <row r="7" ht="14.25" customHeight="1">
      <c r="A7" s="397" t="s">
        <v>474</v>
      </c>
      <c r="B7" s="63">
        <v>78.0</v>
      </c>
      <c r="C7" s="71"/>
    </row>
    <row r="8" ht="14.25" customHeight="1">
      <c r="A8" s="397" t="s">
        <v>475</v>
      </c>
      <c r="B8" s="63">
        <v>60.0</v>
      </c>
      <c r="C8" s="71"/>
      <c r="H8" s="399"/>
    </row>
    <row r="9" ht="14.25" customHeight="1">
      <c r="A9" s="332" t="s">
        <v>476</v>
      </c>
      <c r="B9" s="63">
        <v>96.0</v>
      </c>
      <c r="C9" s="71"/>
    </row>
    <row r="10" ht="14.25" customHeight="1">
      <c r="A10" s="332" t="s">
        <v>477</v>
      </c>
      <c r="B10" s="63">
        <v>312.0</v>
      </c>
      <c r="C10" s="71"/>
    </row>
    <row r="11" ht="14.25" customHeight="1">
      <c r="A11" s="63" t="s">
        <v>478</v>
      </c>
      <c r="B11" s="63">
        <v>231.0</v>
      </c>
      <c r="C11" s="71"/>
    </row>
    <row r="12" ht="14.25" customHeight="1">
      <c r="A12" s="19"/>
      <c r="G12" s="390"/>
    </row>
    <row r="13" ht="14.25" customHeight="1">
      <c r="A13" s="34" t="s">
        <v>479</v>
      </c>
      <c r="B13" s="35">
        <f>SUM(B3:B11)</f>
        <v>1227</v>
      </c>
      <c r="D13" s="400" t="s">
        <v>480</v>
      </c>
      <c r="E13" s="19"/>
      <c r="H13" s="34" t="s">
        <v>481</v>
      </c>
    </row>
    <row r="14" ht="14.25" customHeight="1">
      <c r="D14" s="401"/>
      <c r="E14" s="402" t="s">
        <v>59</v>
      </c>
    </row>
    <row r="15" ht="14.25" customHeight="1">
      <c r="A15" s="403"/>
      <c r="B15" s="402" t="s">
        <v>59</v>
      </c>
      <c r="C15" s="23"/>
      <c r="D15" s="401" t="s">
        <v>61</v>
      </c>
      <c r="E15" s="404">
        <f>B37*1900</f>
        <v>7393375</v>
      </c>
      <c r="G15" s="34" t="s">
        <v>60</v>
      </c>
      <c r="H15" s="35">
        <f>K38*950</f>
        <v>2201862.5</v>
      </c>
      <c r="I15" s="155"/>
    </row>
    <row r="16" ht="14.25" customHeight="1">
      <c r="A16" s="401" t="s">
        <v>482</v>
      </c>
      <c r="B16" s="404">
        <f>E18</f>
        <v>15611695</v>
      </c>
      <c r="C16" s="23"/>
      <c r="D16" s="405" t="s">
        <v>63</v>
      </c>
      <c r="E16" s="404">
        <f>B37*2112</f>
        <v>8218320</v>
      </c>
      <c r="F16" s="155"/>
      <c r="G16" s="34" t="s">
        <v>62</v>
      </c>
      <c r="H16" s="35">
        <f>190*B13</f>
        <v>233130</v>
      </c>
      <c r="K16" s="155"/>
    </row>
    <row r="17" ht="14.25" customHeight="1">
      <c r="A17" s="23"/>
      <c r="B17" s="23"/>
      <c r="C17" s="23"/>
      <c r="D17" s="405"/>
      <c r="E17" s="404"/>
      <c r="F17" s="155"/>
      <c r="G17" s="34" t="s">
        <v>64</v>
      </c>
      <c r="H17" s="35">
        <f>SUM(H15:H16)</f>
        <v>2434992.5</v>
      </c>
      <c r="I17" s="155"/>
      <c r="K17" s="155"/>
    </row>
    <row r="18" ht="14.25" customHeight="1">
      <c r="A18" s="23"/>
      <c r="C18" s="23"/>
      <c r="D18" s="401" t="s">
        <v>65</v>
      </c>
      <c r="E18" s="404">
        <f>SUM(E15:E17)</f>
        <v>15611695</v>
      </c>
    </row>
    <row r="19" ht="14.25" customHeight="1">
      <c r="A19" s="23"/>
      <c r="B19" s="402" t="s">
        <v>419</v>
      </c>
      <c r="C19" s="402" t="s">
        <v>420</v>
      </c>
      <c r="D19" s="401"/>
      <c r="E19" s="404"/>
    </row>
    <row r="20" ht="14.25" customHeight="1">
      <c r="A20" s="332" t="s">
        <v>483</v>
      </c>
      <c r="B20" s="406">
        <v>-33.3681972446535</v>
      </c>
      <c r="C20" s="406">
        <v>-70.6341155197432</v>
      </c>
      <c r="G20" s="155"/>
    </row>
    <row r="21" ht="14.25" customHeight="1">
      <c r="A21" s="397" t="s">
        <v>484</v>
      </c>
      <c r="B21" s="407">
        <v>-33.34335643</v>
      </c>
      <c r="C21" s="407">
        <v>-70.52466882</v>
      </c>
    </row>
    <row r="22" ht="14.25" customHeight="1">
      <c r="A22" s="397" t="s">
        <v>485</v>
      </c>
      <c r="B22" s="407">
        <v>-33.42627012</v>
      </c>
      <c r="C22" s="407">
        <v>-70.54486003</v>
      </c>
    </row>
    <row r="23" ht="14.25" customHeight="1">
      <c r="A23" s="397" t="s">
        <v>486</v>
      </c>
      <c r="B23" s="407">
        <v>-33.43795143</v>
      </c>
      <c r="C23" s="407">
        <v>-70.61132569</v>
      </c>
    </row>
    <row r="24" ht="14.25" customHeight="1">
      <c r="A24" s="397" t="s">
        <v>487</v>
      </c>
      <c r="B24" s="407">
        <v>-33.38144958</v>
      </c>
      <c r="C24" s="407">
        <v>-70.56353561</v>
      </c>
    </row>
    <row r="25" ht="14.25" customHeight="1">
      <c r="A25" s="397" t="s">
        <v>488</v>
      </c>
      <c r="B25" s="407">
        <v>-33.42043054552</v>
      </c>
      <c r="C25" s="407">
        <v>-70.733744571828</v>
      </c>
    </row>
    <row r="26" ht="14.25" customHeight="1">
      <c r="A26" s="397" t="s">
        <v>489</v>
      </c>
      <c r="B26" s="407">
        <v>-33.4799485636684</v>
      </c>
      <c r="C26" s="407">
        <v>-70.6611965188523</v>
      </c>
    </row>
    <row r="27" ht="14.25" customHeight="1">
      <c r="A27" s="397" t="s">
        <v>490</v>
      </c>
      <c r="B27" s="407">
        <v>-33.5669161134897</v>
      </c>
      <c r="C27" s="407">
        <v>-70.6821206157262</v>
      </c>
    </row>
    <row r="28" ht="14.25" customHeight="1">
      <c r="A28" s="397" t="s">
        <v>491</v>
      </c>
      <c r="B28" s="407">
        <v>-33.5225565127023</v>
      </c>
      <c r="C28" s="407">
        <v>-70.7721740162419</v>
      </c>
    </row>
    <row r="29" ht="14.25" customHeight="1">
      <c r="A29" s="397" t="s">
        <v>492</v>
      </c>
      <c r="B29" s="407">
        <v>-33.5389061820572</v>
      </c>
      <c r="C29" s="407">
        <v>-70.5892347989387</v>
      </c>
    </row>
    <row r="30" ht="14.25" customHeight="1"/>
    <row r="31" ht="14.25" customHeight="1"/>
    <row r="32" ht="14.25" customHeight="1">
      <c r="A32" s="397" t="s">
        <v>493</v>
      </c>
      <c r="B32" s="408">
        <v>6377696.0</v>
      </c>
      <c r="C32" s="83" t="s">
        <v>494</v>
      </c>
      <c r="D32" s="21"/>
      <c r="E32" s="21"/>
      <c r="F32" s="21"/>
    </row>
    <row r="33" ht="14.25" customHeight="1">
      <c r="A33" s="23"/>
      <c r="B33" s="59"/>
      <c r="C33" s="23"/>
    </row>
    <row r="34" ht="14.25" customHeight="1">
      <c r="A34" s="409"/>
      <c r="B34" s="410" t="s">
        <v>469</v>
      </c>
      <c r="C34" s="410" t="s">
        <v>470</v>
      </c>
      <c r="D34" s="411" t="s">
        <v>471</v>
      </c>
      <c r="E34" s="410" t="s">
        <v>472</v>
      </c>
      <c r="F34" s="411" t="s">
        <v>473</v>
      </c>
      <c r="G34" s="410" t="s">
        <v>474</v>
      </c>
      <c r="H34" s="411" t="s">
        <v>475</v>
      </c>
      <c r="I34" s="410" t="s">
        <v>476</v>
      </c>
      <c r="J34" s="411" t="s">
        <v>477</v>
      </c>
      <c r="K34" s="410" t="s">
        <v>478</v>
      </c>
      <c r="M34" s="155"/>
      <c r="N34" s="84"/>
    </row>
    <row r="35" ht="14.25" customHeight="1">
      <c r="A35" s="294" t="s">
        <v>495</v>
      </c>
      <c r="B35" s="412">
        <f>(B2*0.25)+B2</f>
        <v>2771.25</v>
      </c>
      <c r="C35" s="413">
        <f>(B3*0.25)+B3</f>
        <v>67.5</v>
      </c>
      <c r="D35" s="414">
        <f>(B4*0.25)+B4</f>
        <v>266.25</v>
      </c>
      <c r="E35" s="63">
        <f>(B5*0.25)+B5</f>
        <v>157.5</v>
      </c>
      <c r="F35" s="413">
        <f>(B6*0.25)+B6</f>
        <v>71.25</v>
      </c>
      <c r="G35" s="414">
        <f>(B7*0.25)+B7</f>
        <v>97.5</v>
      </c>
      <c r="H35" s="63">
        <f>(B8*0.25)+B8</f>
        <v>75</v>
      </c>
      <c r="I35" s="413">
        <f>(B9*0.25)+B9</f>
        <v>120</v>
      </c>
      <c r="J35" s="414">
        <f>(B10*0.25)+B10</f>
        <v>390</v>
      </c>
      <c r="K35" s="63">
        <f>(B11*0.25)+B11</f>
        <v>288.75</v>
      </c>
      <c r="M35" s="155"/>
      <c r="N35" s="84"/>
    </row>
    <row r="36" ht="14.25" customHeight="1">
      <c r="A36" s="294" t="s">
        <v>496</v>
      </c>
      <c r="B36" s="181">
        <v>1120.0</v>
      </c>
      <c r="C36" s="413">
        <v>56.0</v>
      </c>
      <c r="D36" s="413">
        <v>112.0</v>
      </c>
      <c r="E36" s="413">
        <v>112.0</v>
      </c>
      <c r="F36" s="413">
        <v>56.0</v>
      </c>
      <c r="G36" s="413">
        <v>56.0</v>
      </c>
      <c r="H36" s="413">
        <v>56.0</v>
      </c>
      <c r="I36" s="413">
        <v>56.0</v>
      </c>
      <c r="J36" s="413">
        <v>168.0</v>
      </c>
      <c r="K36" s="413">
        <v>112.0</v>
      </c>
      <c r="T36" s="155"/>
    </row>
    <row r="37" ht="14.25" customHeight="1">
      <c r="A37" s="300" t="s">
        <v>497</v>
      </c>
      <c r="B37" s="65">
        <f t="shared" ref="B37:K37" si="1">B35+B36</f>
        <v>3891.25</v>
      </c>
      <c r="C37" s="65">
        <f t="shared" si="1"/>
        <v>123.5</v>
      </c>
      <c r="D37" s="415">
        <f t="shared" si="1"/>
        <v>378.25</v>
      </c>
      <c r="E37" s="415">
        <f t="shared" si="1"/>
        <v>269.5</v>
      </c>
      <c r="F37" s="415">
        <f t="shared" si="1"/>
        <v>127.25</v>
      </c>
      <c r="G37" s="415">
        <f t="shared" si="1"/>
        <v>153.5</v>
      </c>
      <c r="H37" s="415">
        <f t="shared" si="1"/>
        <v>131</v>
      </c>
      <c r="I37" s="415">
        <f t="shared" si="1"/>
        <v>176</v>
      </c>
      <c r="J37" s="415">
        <f t="shared" si="1"/>
        <v>558</v>
      </c>
      <c r="K37" s="415">
        <f t="shared" si="1"/>
        <v>400.75</v>
      </c>
    </row>
    <row r="38" ht="14.25" customHeight="1">
      <c r="A38" s="23"/>
      <c r="B38" s="23"/>
      <c r="C38" s="23"/>
      <c r="K38" s="35">
        <f>SUM(C37:K37)</f>
        <v>2317.75</v>
      </c>
      <c r="M38" s="155"/>
      <c r="T38" s="330"/>
      <c r="U38" s="416"/>
    </row>
    <row r="39" ht="14.25" customHeight="1">
      <c r="A39" s="24"/>
      <c r="B39" s="401" t="s">
        <v>498</v>
      </c>
      <c r="C39" s="23"/>
      <c r="T39" s="417"/>
      <c r="U39" s="418"/>
    </row>
    <row r="40" ht="14.25" customHeight="1">
      <c r="A40" s="300" t="s">
        <v>499</v>
      </c>
      <c r="B40" s="415"/>
      <c r="C40" s="23"/>
      <c r="T40" s="417"/>
      <c r="U40" s="418"/>
    </row>
    <row r="41" ht="14.25" customHeight="1">
      <c r="T41" s="417"/>
      <c r="U41" s="418"/>
    </row>
    <row r="42" ht="14.25" customHeight="1">
      <c r="T42" s="419"/>
      <c r="U42" s="420"/>
    </row>
    <row r="43" ht="14.25" customHeight="1">
      <c r="T43" s="330"/>
      <c r="U43" s="416"/>
    </row>
    <row r="44" ht="14.25" customHeight="1">
      <c r="T44" s="417"/>
      <c r="U44" s="418"/>
    </row>
    <row r="45" ht="14.25" customHeight="1">
      <c r="T45" s="417"/>
      <c r="U45" s="418"/>
    </row>
    <row r="46" ht="14.25" customHeight="1">
      <c r="T46" s="417"/>
      <c r="U46" s="418"/>
    </row>
    <row r="47" ht="14.25" customHeight="1">
      <c r="T47" s="417"/>
      <c r="U47" s="418"/>
    </row>
    <row r="48" ht="14.25" customHeight="1">
      <c r="T48" s="417"/>
      <c r="U48" s="418"/>
    </row>
    <row r="49" ht="14.25" customHeight="1">
      <c r="T49" s="419"/>
      <c r="U49" s="420"/>
    </row>
    <row r="50" ht="14.25" customHeight="1">
      <c r="T50" s="330"/>
      <c r="U50" s="416"/>
    </row>
    <row r="51" ht="14.25" customHeight="1">
      <c r="T51" s="421"/>
      <c r="U51" s="422"/>
    </row>
    <row r="52" ht="14.25" customHeight="1">
      <c r="T52" s="417"/>
      <c r="U52" s="418"/>
    </row>
    <row r="53" ht="14.25" customHeight="1">
      <c r="T53" s="417"/>
      <c r="U53" s="418"/>
    </row>
    <row r="54" ht="14.25" customHeight="1">
      <c r="T54" s="417"/>
      <c r="U54" s="418"/>
    </row>
    <row r="55" ht="14.25" customHeight="1">
      <c r="T55" s="419"/>
      <c r="U55" s="420"/>
    </row>
    <row r="56" ht="14.25" customHeight="1">
      <c r="T56" s="423"/>
      <c r="U56" s="424"/>
    </row>
    <row r="57" ht="14.25" customHeight="1">
      <c r="T57" s="417"/>
      <c r="U57" s="417"/>
    </row>
    <row r="58" ht="14.25" customHeight="1">
      <c r="T58" s="417"/>
      <c r="U58" s="417"/>
    </row>
    <row r="59" ht="14.25" customHeight="1">
      <c r="T59" s="417"/>
      <c r="U59" s="417"/>
    </row>
    <row r="60" ht="14.25" customHeight="1">
      <c r="T60" s="417"/>
      <c r="U60" s="417"/>
    </row>
    <row r="61" ht="14.25" customHeight="1">
      <c r="T61" s="417"/>
      <c r="U61" s="417"/>
    </row>
    <row r="62" ht="14.25" customHeight="1">
      <c r="T62" s="417"/>
      <c r="U62" s="417"/>
    </row>
    <row r="63" ht="14.25" customHeight="1">
      <c r="T63" s="417"/>
      <c r="U63" s="417"/>
    </row>
    <row r="64" ht="14.25" customHeight="1">
      <c r="T64" s="417"/>
      <c r="U64" s="417"/>
    </row>
    <row r="65" ht="14.25" customHeight="1">
      <c r="T65" s="417"/>
      <c r="U65" s="417"/>
    </row>
    <row r="66" ht="14.25" customHeight="1">
      <c r="T66" s="417"/>
      <c r="U66" s="417"/>
    </row>
    <row r="67" ht="14.25" customHeight="1">
      <c r="T67" s="417"/>
      <c r="U67" s="425"/>
    </row>
    <row r="68" ht="14.25" customHeight="1">
      <c r="T68" s="417"/>
      <c r="U68" s="425"/>
    </row>
    <row r="69" ht="14.25" customHeight="1">
      <c r="T69" s="419"/>
      <c r="U69" s="426"/>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G12:J12"/>
    <mergeCell ref="C32:F32"/>
  </mergeCells>
  <printOptions/>
  <pageMargins bottom="0.75" footer="0.0" header="0.0" left="0.7" right="0.7" top="0.75"/>
  <pageSetup orientation="portrait"/>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43"/>
    <col customWidth="1" min="2" max="2" width="18.29"/>
    <col customWidth="1" min="3" max="3" width="12.86"/>
    <col customWidth="1" min="4" max="5" width="11.43"/>
    <col customWidth="1" min="6" max="6" width="18.0"/>
    <col customWidth="1" min="7" max="21" width="11.43"/>
  </cols>
  <sheetData>
    <row r="1" ht="14.25" customHeight="1">
      <c r="A1" s="392" t="s">
        <v>500</v>
      </c>
      <c r="B1" s="392" t="s">
        <v>501</v>
      </c>
      <c r="C1" s="392" t="s">
        <v>390</v>
      </c>
      <c r="D1" s="116"/>
      <c r="E1" s="5"/>
      <c r="F1" s="5"/>
      <c r="G1" s="5"/>
      <c r="H1" s="5"/>
      <c r="I1" s="5"/>
      <c r="J1" s="5"/>
      <c r="K1" s="5"/>
      <c r="L1" s="5"/>
      <c r="M1" s="5"/>
      <c r="N1" s="5"/>
      <c r="O1" s="5"/>
      <c r="P1" s="5"/>
      <c r="Q1" s="5"/>
      <c r="R1" s="5"/>
      <c r="S1" s="5"/>
      <c r="T1" s="5"/>
      <c r="U1" s="5"/>
    </row>
    <row r="2" ht="14.25" customHeight="1">
      <c r="A2" s="427">
        <v>13101.0</v>
      </c>
      <c r="B2" s="428" t="s">
        <v>502</v>
      </c>
      <c r="C2" s="252">
        <v>174248.0</v>
      </c>
      <c r="D2" s="116"/>
      <c r="E2" s="429" t="s">
        <v>503</v>
      </c>
      <c r="F2" s="22"/>
      <c r="H2" s="5"/>
      <c r="I2" s="5"/>
      <c r="J2" s="5"/>
      <c r="K2" s="5"/>
      <c r="L2" s="5"/>
      <c r="M2" s="5"/>
      <c r="N2" s="5"/>
      <c r="O2" s="5"/>
      <c r="P2" s="5"/>
      <c r="Q2" s="5"/>
      <c r="R2" s="5"/>
      <c r="S2" s="5"/>
      <c r="T2" s="5"/>
      <c r="U2" s="5"/>
    </row>
    <row r="3" ht="14.25" customHeight="1">
      <c r="A3" s="427">
        <v>13201.0</v>
      </c>
      <c r="B3" s="428" t="s">
        <v>504</v>
      </c>
      <c r="C3" s="252">
        <v>164617.0</v>
      </c>
      <c r="D3" s="116"/>
      <c r="E3" s="430" t="s">
        <v>505</v>
      </c>
      <c r="F3" s="86"/>
      <c r="G3" s="431">
        <f>sum(C4:C6,C11,C15,C20,C27,C32,C35)</f>
        <v>610438</v>
      </c>
      <c r="H3" s="5"/>
      <c r="I3" s="5"/>
      <c r="J3" s="5"/>
      <c r="K3" s="5"/>
      <c r="L3" s="5"/>
      <c r="M3" s="5"/>
      <c r="N3" s="5"/>
      <c r="O3" s="5"/>
      <c r="P3" s="5"/>
      <c r="Q3" s="5"/>
      <c r="R3" s="5"/>
      <c r="S3" s="5"/>
      <c r="T3" s="5"/>
      <c r="U3" s="5"/>
    </row>
    <row r="4" ht="14.25" customHeight="1">
      <c r="A4" s="432">
        <v>13119.0</v>
      </c>
      <c r="B4" s="433" t="s">
        <v>36</v>
      </c>
      <c r="C4" s="434">
        <v>155391.0</v>
      </c>
      <c r="D4" s="116"/>
      <c r="E4" s="435" t="s">
        <v>421</v>
      </c>
      <c r="F4" s="436"/>
      <c r="G4" s="5">
        <f>0.15*G3</f>
        <v>91565.7</v>
      </c>
      <c r="H4" s="5"/>
      <c r="I4" s="5"/>
      <c r="J4" s="5"/>
      <c r="K4" s="5"/>
      <c r="L4" s="5"/>
      <c r="M4" s="5"/>
      <c r="N4" s="5"/>
      <c r="O4" s="5"/>
      <c r="P4" s="5"/>
      <c r="Q4" s="5"/>
      <c r="R4" s="5"/>
      <c r="S4" s="5"/>
      <c r="T4" s="5"/>
      <c r="U4" s="5"/>
    </row>
    <row r="5" ht="14.25" customHeight="1">
      <c r="A5" s="432">
        <v>13110.0</v>
      </c>
      <c r="B5" s="433" t="s">
        <v>38</v>
      </c>
      <c r="C5" s="434">
        <v>115161.0</v>
      </c>
      <c r="D5" s="116"/>
      <c r="E5" s="5"/>
      <c r="F5" s="5"/>
      <c r="G5" s="5"/>
      <c r="H5" s="5"/>
      <c r="I5" s="5"/>
      <c r="J5" s="5"/>
      <c r="K5" s="5"/>
      <c r="L5" s="5"/>
      <c r="M5" s="5"/>
      <c r="N5" s="5"/>
      <c r="O5" s="5"/>
      <c r="P5" s="5"/>
      <c r="Q5" s="5"/>
      <c r="R5" s="5"/>
      <c r="S5" s="5"/>
      <c r="T5" s="5"/>
      <c r="U5" s="5"/>
    </row>
    <row r="6" ht="14.25" customHeight="1">
      <c r="A6" s="432">
        <v>13114.0</v>
      </c>
      <c r="B6" s="433" t="s">
        <v>24</v>
      </c>
      <c r="C6" s="434">
        <v>106672.0</v>
      </c>
      <c r="D6" s="116"/>
      <c r="E6" s="5"/>
      <c r="F6" s="5"/>
      <c r="G6" s="5"/>
      <c r="H6" s="5"/>
      <c r="I6" s="5"/>
      <c r="J6" s="5"/>
      <c r="K6" s="5"/>
      <c r="L6" s="5"/>
      <c r="M6" s="5"/>
      <c r="N6" s="5"/>
      <c r="O6" s="5"/>
      <c r="P6" s="5"/>
      <c r="Q6" s="5"/>
      <c r="R6" s="5"/>
      <c r="S6" s="5"/>
      <c r="T6" s="5"/>
      <c r="U6" s="5"/>
    </row>
    <row r="7" ht="14.25" customHeight="1">
      <c r="A7" s="427">
        <v>13401.0</v>
      </c>
      <c r="B7" s="428" t="s">
        <v>506</v>
      </c>
      <c r="C7" s="252">
        <v>86464.0</v>
      </c>
      <c r="D7" s="116"/>
      <c r="E7" s="5"/>
      <c r="F7" s="5"/>
      <c r="G7" s="5"/>
      <c r="H7" s="5"/>
      <c r="I7" s="5"/>
      <c r="J7" s="5"/>
      <c r="K7" s="5"/>
      <c r="L7" s="5"/>
      <c r="M7" s="5"/>
      <c r="N7" s="5"/>
      <c r="O7" s="5"/>
      <c r="P7" s="5"/>
      <c r="Q7" s="5"/>
      <c r="R7" s="5"/>
      <c r="S7" s="5"/>
      <c r="T7" s="5"/>
      <c r="U7" s="5"/>
    </row>
    <row r="8" ht="14.25" customHeight="1">
      <c r="A8" s="427">
        <v>13120.0</v>
      </c>
      <c r="B8" s="428" t="s">
        <v>507</v>
      </c>
      <c r="C8" s="252">
        <v>82334.0</v>
      </c>
      <c r="D8" s="116"/>
      <c r="E8" s="5"/>
      <c r="F8" s="5"/>
      <c r="G8" s="5"/>
      <c r="H8" s="5"/>
      <c r="I8" s="5"/>
      <c r="J8" s="5"/>
      <c r="K8" s="5"/>
      <c r="L8" s="5"/>
      <c r="M8" s="5"/>
      <c r="N8" s="5"/>
      <c r="O8" s="5"/>
      <c r="P8" s="5"/>
      <c r="Q8" s="5"/>
      <c r="R8" s="5"/>
      <c r="S8" s="5"/>
      <c r="T8" s="5"/>
      <c r="U8" s="5"/>
    </row>
    <row r="9" ht="14.25" customHeight="1">
      <c r="A9" s="427">
        <v>13122.0</v>
      </c>
      <c r="B9" s="428" t="s">
        <v>508</v>
      </c>
      <c r="C9" s="252">
        <v>70084.0</v>
      </c>
      <c r="D9" s="116"/>
      <c r="E9" s="5"/>
      <c r="F9" s="5"/>
      <c r="G9" s="5"/>
      <c r="H9" s="5"/>
      <c r="I9" s="5"/>
      <c r="J9" s="5"/>
      <c r="K9" s="5"/>
      <c r="L9" s="5"/>
      <c r="M9" s="5"/>
      <c r="N9" s="5"/>
      <c r="O9" s="5"/>
      <c r="P9" s="5"/>
      <c r="Q9" s="5"/>
      <c r="R9" s="5"/>
      <c r="S9" s="5"/>
      <c r="T9" s="5"/>
      <c r="U9" s="5"/>
    </row>
    <row r="10" ht="14.25" customHeight="1">
      <c r="A10" s="427">
        <v>13124.0</v>
      </c>
      <c r="B10" s="428" t="s">
        <v>509</v>
      </c>
      <c r="C10" s="252">
        <v>66625.0</v>
      </c>
      <c r="D10" s="116"/>
      <c r="E10" s="5"/>
      <c r="F10" s="5"/>
      <c r="G10" s="5"/>
      <c r="H10" s="5"/>
      <c r="I10" s="5"/>
      <c r="J10" s="5"/>
      <c r="K10" s="5"/>
      <c r="L10" s="5"/>
      <c r="M10" s="5"/>
      <c r="N10" s="5"/>
      <c r="O10" s="5"/>
      <c r="P10" s="5"/>
      <c r="Q10" s="5"/>
      <c r="R10" s="5"/>
      <c r="S10" s="5"/>
      <c r="T10" s="5"/>
      <c r="U10" s="5"/>
    </row>
    <row r="11" ht="14.25" customHeight="1">
      <c r="A11" s="432">
        <v>13123.0</v>
      </c>
      <c r="B11" s="433" t="s">
        <v>26</v>
      </c>
      <c r="C11" s="434">
        <v>62215.0</v>
      </c>
      <c r="D11" s="116"/>
      <c r="E11" s="5"/>
      <c r="F11" s="5"/>
      <c r="G11" s="5"/>
      <c r="H11" s="5"/>
      <c r="I11" s="5"/>
      <c r="J11" s="5"/>
      <c r="K11" s="5"/>
      <c r="L11" s="5"/>
      <c r="M11" s="5"/>
      <c r="N11" s="5"/>
      <c r="O11" s="5"/>
      <c r="P11" s="5"/>
      <c r="Q11" s="5"/>
      <c r="R11" s="5"/>
      <c r="S11" s="5"/>
      <c r="T11" s="5"/>
      <c r="U11" s="5"/>
    </row>
    <row r="12" ht="14.25" customHeight="1">
      <c r="A12" s="427">
        <v>13125.0</v>
      </c>
      <c r="B12" s="428" t="s">
        <v>510</v>
      </c>
      <c r="C12" s="252">
        <v>60685.0</v>
      </c>
      <c r="D12" s="116"/>
      <c r="E12" s="5"/>
      <c r="F12" s="5"/>
      <c r="G12" s="5"/>
      <c r="H12" s="5"/>
      <c r="I12" s="5"/>
      <c r="J12" s="5"/>
      <c r="K12" s="5"/>
      <c r="L12" s="5"/>
      <c r="M12" s="5"/>
      <c r="N12" s="5"/>
      <c r="O12" s="5"/>
      <c r="P12" s="5"/>
      <c r="Q12" s="5"/>
      <c r="R12" s="5"/>
      <c r="S12" s="5"/>
      <c r="T12" s="5"/>
      <c r="U12" s="5"/>
    </row>
    <row r="13" ht="14.25" customHeight="1">
      <c r="A13" s="427">
        <v>13127.0</v>
      </c>
      <c r="B13" s="428" t="s">
        <v>511</v>
      </c>
      <c r="C13" s="252">
        <v>50088.0</v>
      </c>
      <c r="D13" s="116"/>
      <c r="E13" s="5"/>
      <c r="F13" s="5"/>
      <c r="G13" s="5"/>
      <c r="H13" s="5"/>
      <c r="I13" s="5"/>
      <c r="J13" s="5"/>
      <c r="K13" s="5"/>
      <c r="L13" s="5"/>
      <c r="M13" s="5"/>
      <c r="N13" s="5"/>
      <c r="O13" s="5"/>
      <c r="P13" s="5"/>
      <c r="Q13" s="5"/>
      <c r="R13" s="5"/>
      <c r="S13" s="5"/>
      <c r="T13" s="5"/>
      <c r="U13" s="5"/>
    </row>
    <row r="14" ht="14.25" customHeight="1">
      <c r="A14" s="427">
        <v>13112.0</v>
      </c>
      <c r="B14" s="428" t="s">
        <v>512</v>
      </c>
      <c r="C14" s="252">
        <v>48848.0</v>
      </c>
      <c r="D14" s="116"/>
      <c r="E14" s="5"/>
      <c r="F14" s="5"/>
      <c r="G14" s="5"/>
      <c r="H14" s="5"/>
      <c r="I14" s="5"/>
      <c r="J14" s="5"/>
      <c r="K14" s="5"/>
      <c r="L14" s="5"/>
      <c r="M14" s="5"/>
      <c r="N14" s="5"/>
      <c r="O14" s="5"/>
      <c r="P14" s="5"/>
      <c r="Q14" s="5"/>
      <c r="R14" s="5"/>
      <c r="S14" s="5"/>
      <c r="T14" s="5"/>
      <c r="U14" s="5"/>
    </row>
    <row r="15" ht="14.25" customHeight="1">
      <c r="A15" s="432">
        <v>13105.0</v>
      </c>
      <c r="B15" s="433" t="s">
        <v>34</v>
      </c>
      <c r="C15" s="434">
        <v>47384.0</v>
      </c>
      <c r="D15" s="116"/>
      <c r="E15" s="5"/>
      <c r="F15" s="5"/>
      <c r="G15" s="5"/>
      <c r="H15" s="5"/>
      <c r="I15" s="5"/>
      <c r="J15" s="5"/>
      <c r="K15" s="5"/>
      <c r="L15" s="5"/>
      <c r="M15" s="5"/>
      <c r="N15" s="5"/>
      <c r="O15" s="5"/>
      <c r="P15" s="5"/>
      <c r="Q15" s="5"/>
      <c r="R15" s="5"/>
      <c r="S15" s="5"/>
      <c r="T15" s="5"/>
      <c r="U15" s="5"/>
    </row>
    <row r="16" ht="14.25" customHeight="1">
      <c r="A16" s="427">
        <v>13106.0</v>
      </c>
      <c r="B16" s="428" t="s">
        <v>513</v>
      </c>
      <c r="C16" s="252">
        <v>47084.0</v>
      </c>
      <c r="D16" s="116"/>
      <c r="E16" s="5"/>
      <c r="F16" s="5"/>
      <c r="G16" s="5"/>
      <c r="H16" s="5"/>
      <c r="I16" s="5"/>
      <c r="J16" s="5"/>
      <c r="K16" s="5"/>
      <c r="L16" s="5"/>
      <c r="M16" s="5"/>
      <c r="N16" s="5"/>
      <c r="O16" s="5"/>
      <c r="P16" s="5"/>
      <c r="Q16" s="5"/>
      <c r="R16" s="5"/>
      <c r="S16" s="5"/>
      <c r="T16" s="5"/>
      <c r="U16" s="5"/>
    </row>
    <row r="17" ht="14.25" customHeight="1">
      <c r="A17" s="427">
        <v>13128.0</v>
      </c>
      <c r="B17" s="428" t="s">
        <v>514</v>
      </c>
      <c r="C17" s="252">
        <v>42973.0</v>
      </c>
      <c r="D17" s="116"/>
      <c r="E17" s="5"/>
      <c r="F17" s="5"/>
      <c r="G17" s="5"/>
      <c r="H17" s="5"/>
      <c r="I17" s="5"/>
      <c r="J17" s="5"/>
      <c r="K17" s="5"/>
      <c r="L17" s="5"/>
      <c r="M17" s="5"/>
      <c r="N17" s="5"/>
      <c r="O17" s="5"/>
      <c r="P17" s="5"/>
      <c r="Q17" s="5"/>
      <c r="R17" s="5"/>
      <c r="S17" s="5"/>
      <c r="T17" s="5"/>
      <c r="U17" s="5"/>
    </row>
    <row r="18" ht="14.25" customHeight="1">
      <c r="A18" s="427">
        <v>13118.0</v>
      </c>
      <c r="B18" s="428" t="s">
        <v>515</v>
      </c>
      <c r="C18" s="252">
        <v>39858.0</v>
      </c>
      <c r="D18" s="116"/>
      <c r="E18" s="5"/>
      <c r="F18" s="5"/>
      <c r="G18" s="5"/>
      <c r="H18" s="5"/>
      <c r="I18" s="5"/>
      <c r="J18" s="5"/>
      <c r="K18" s="5"/>
      <c r="L18" s="5"/>
      <c r="M18" s="5"/>
      <c r="N18" s="5"/>
      <c r="O18" s="5"/>
      <c r="P18" s="5"/>
      <c r="Q18" s="5"/>
      <c r="R18" s="5"/>
      <c r="S18" s="5"/>
      <c r="T18" s="5"/>
      <c r="U18" s="5"/>
    </row>
    <row r="19" ht="14.25" customHeight="1">
      <c r="A19" s="427">
        <v>13301.0</v>
      </c>
      <c r="B19" s="428" t="s">
        <v>516</v>
      </c>
      <c r="C19" s="252">
        <v>39697.0</v>
      </c>
      <c r="D19" s="116"/>
      <c r="E19" s="5"/>
      <c r="F19" s="5"/>
      <c r="G19" s="5"/>
      <c r="H19" s="5"/>
      <c r="I19" s="5"/>
      <c r="J19" s="5"/>
      <c r="K19" s="5"/>
      <c r="L19" s="5"/>
      <c r="M19" s="5"/>
      <c r="N19" s="5"/>
      <c r="O19" s="5"/>
      <c r="P19" s="5"/>
      <c r="Q19" s="5"/>
      <c r="R19" s="5"/>
      <c r="S19" s="5"/>
      <c r="T19" s="5"/>
      <c r="U19" s="5"/>
    </row>
    <row r="20" ht="14.25" customHeight="1">
      <c r="A20" s="432">
        <v>13103.0</v>
      </c>
      <c r="B20" s="433" t="s">
        <v>30</v>
      </c>
      <c r="C20" s="434">
        <v>38651.0</v>
      </c>
      <c r="D20" s="116"/>
      <c r="E20" s="5"/>
      <c r="F20" s="5"/>
      <c r="G20" s="5"/>
      <c r="H20" s="5"/>
      <c r="I20" s="5"/>
      <c r="J20" s="5"/>
      <c r="K20" s="5"/>
      <c r="L20" s="5"/>
      <c r="M20" s="5"/>
      <c r="N20" s="5"/>
      <c r="O20" s="5"/>
      <c r="P20" s="5"/>
      <c r="Q20" s="5"/>
      <c r="R20" s="5"/>
      <c r="S20" s="5"/>
      <c r="T20" s="5"/>
      <c r="U20" s="5"/>
    </row>
    <row r="21" ht="14.25" customHeight="1">
      <c r="A21" s="427">
        <v>13130.0</v>
      </c>
      <c r="B21" s="428" t="s">
        <v>517</v>
      </c>
      <c r="C21" s="252">
        <v>38418.0</v>
      </c>
      <c r="D21" s="116"/>
      <c r="E21" s="5"/>
      <c r="F21" s="5"/>
      <c r="G21" s="5"/>
      <c r="H21" s="5"/>
      <c r="I21" s="5"/>
      <c r="J21" s="5"/>
      <c r="K21" s="5"/>
      <c r="L21" s="5"/>
      <c r="M21" s="5"/>
      <c r="N21" s="5"/>
      <c r="O21" s="5"/>
      <c r="P21" s="5"/>
      <c r="Q21" s="5"/>
      <c r="R21" s="5"/>
      <c r="S21" s="5"/>
      <c r="T21" s="5"/>
      <c r="U21" s="5"/>
    </row>
    <row r="22" ht="14.25" customHeight="1">
      <c r="A22" s="427">
        <v>13104.0</v>
      </c>
      <c r="B22" s="428" t="s">
        <v>518</v>
      </c>
      <c r="C22" s="252">
        <v>38189.0</v>
      </c>
      <c r="D22" s="116"/>
      <c r="E22" s="5"/>
      <c r="F22" s="5"/>
      <c r="G22" s="5"/>
      <c r="H22" s="5"/>
      <c r="I22" s="5"/>
      <c r="J22" s="5"/>
      <c r="K22" s="5"/>
      <c r="L22" s="5"/>
      <c r="M22" s="5"/>
      <c r="N22" s="5"/>
      <c r="O22" s="5"/>
      <c r="P22" s="5"/>
      <c r="Q22" s="5"/>
      <c r="R22" s="5"/>
      <c r="S22" s="5"/>
      <c r="T22" s="5"/>
      <c r="U22" s="5"/>
    </row>
    <row r="23" ht="14.25" customHeight="1">
      <c r="A23" s="427">
        <v>13126.0</v>
      </c>
      <c r="B23" s="428" t="s">
        <v>519</v>
      </c>
      <c r="C23" s="252">
        <v>35608.0</v>
      </c>
      <c r="D23" s="116"/>
      <c r="E23" s="5"/>
      <c r="F23" s="5"/>
      <c r="G23" s="5"/>
      <c r="H23" s="5"/>
      <c r="I23" s="5"/>
      <c r="J23" s="5"/>
      <c r="K23" s="5"/>
      <c r="L23" s="5"/>
      <c r="M23" s="5"/>
      <c r="N23" s="5"/>
      <c r="O23" s="5"/>
      <c r="P23" s="5"/>
      <c r="Q23" s="5"/>
      <c r="R23" s="5"/>
      <c r="S23" s="5"/>
      <c r="T23" s="5"/>
      <c r="U23" s="5"/>
    </row>
    <row r="24" ht="14.25" customHeight="1">
      <c r="A24" s="427">
        <v>13108.0</v>
      </c>
      <c r="B24" s="428" t="s">
        <v>520</v>
      </c>
      <c r="C24" s="252">
        <v>34807.0</v>
      </c>
      <c r="D24" s="116"/>
      <c r="E24" s="5"/>
      <c r="F24" s="5"/>
      <c r="G24" s="5"/>
      <c r="H24" s="5"/>
      <c r="I24" s="5"/>
      <c r="J24" s="5"/>
      <c r="K24" s="5"/>
      <c r="L24" s="5"/>
      <c r="M24" s="5"/>
      <c r="N24" s="5"/>
      <c r="O24" s="5"/>
      <c r="P24" s="5"/>
      <c r="Q24" s="5"/>
      <c r="R24" s="5"/>
      <c r="S24" s="5"/>
      <c r="T24" s="5"/>
      <c r="U24" s="5"/>
    </row>
    <row r="25" ht="14.25" customHeight="1">
      <c r="A25" s="427">
        <v>13111.0</v>
      </c>
      <c r="B25" s="428" t="s">
        <v>521</v>
      </c>
      <c r="C25" s="252">
        <v>34295.0</v>
      </c>
      <c r="D25" s="116"/>
      <c r="E25" s="5"/>
      <c r="F25" s="5"/>
      <c r="G25" s="5"/>
      <c r="H25" s="5"/>
      <c r="I25" s="5"/>
      <c r="J25" s="5"/>
      <c r="K25" s="5"/>
      <c r="L25" s="5"/>
      <c r="M25" s="5"/>
      <c r="N25" s="5"/>
      <c r="O25" s="5"/>
      <c r="P25" s="5"/>
      <c r="Q25" s="5"/>
      <c r="R25" s="5"/>
      <c r="S25" s="5"/>
      <c r="T25" s="5"/>
      <c r="U25" s="5"/>
    </row>
    <row r="26" ht="14.25" customHeight="1">
      <c r="A26" s="427">
        <v>13117.0</v>
      </c>
      <c r="B26" s="428" t="s">
        <v>522</v>
      </c>
      <c r="C26" s="252">
        <v>29937.0</v>
      </c>
      <c r="D26" s="116"/>
      <c r="E26" s="5"/>
      <c r="F26" s="5"/>
      <c r="G26" s="5"/>
      <c r="H26" s="5"/>
      <c r="I26" s="5"/>
      <c r="J26" s="5"/>
      <c r="K26" s="5"/>
      <c r="L26" s="5"/>
      <c r="M26" s="5"/>
      <c r="N26" s="5"/>
      <c r="O26" s="5"/>
      <c r="P26" s="5"/>
      <c r="Q26" s="5"/>
      <c r="R26" s="5"/>
      <c r="S26" s="5"/>
      <c r="T26" s="5"/>
      <c r="U26" s="5"/>
    </row>
    <row r="27" ht="14.25" customHeight="1">
      <c r="A27" s="432">
        <v>13121.0</v>
      </c>
      <c r="B27" s="433" t="s">
        <v>32</v>
      </c>
      <c r="C27" s="434">
        <v>29921.0</v>
      </c>
      <c r="D27" s="116"/>
      <c r="E27" s="5"/>
      <c r="F27" s="5"/>
      <c r="G27" s="5"/>
      <c r="H27" s="5"/>
      <c r="I27" s="5"/>
      <c r="J27" s="5"/>
      <c r="K27" s="5"/>
      <c r="L27" s="5"/>
      <c r="M27" s="5"/>
      <c r="N27" s="5"/>
      <c r="O27" s="5"/>
      <c r="P27" s="5"/>
      <c r="Q27" s="5"/>
      <c r="R27" s="5"/>
      <c r="S27" s="5"/>
      <c r="T27" s="5"/>
      <c r="U27" s="5"/>
    </row>
    <row r="28" ht="14.25" customHeight="1">
      <c r="A28" s="427">
        <v>13302.0</v>
      </c>
      <c r="B28" s="428" t="s">
        <v>523</v>
      </c>
      <c r="C28" s="252">
        <v>29766.0</v>
      </c>
      <c r="D28" s="116"/>
      <c r="E28" s="5"/>
      <c r="F28" s="5"/>
      <c r="G28" s="5"/>
      <c r="H28" s="5"/>
      <c r="I28" s="5"/>
      <c r="J28" s="5"/>
      <c r="K28" s="5"/>
      <c r="L28" s="5"/>
      <c r="M28" s="5"/>
      <c r="N28" s="5"/>
      <c r="O28" s="5"/>
      <c r="P28" s="5"/>
      <c r="Q28" s="5"/>
      <c r="R28" s="5"/>
      <c r="S28" s="5"/>
      <c r="T28" s="5"/>
      <c r="U28" s="5"/>
    </row>
    <row r="29" ht="14.25" customHeight="1">
      <c r="A29" s="427">
        <v>13129.0</v>
      </c>
      <c r="B29" s="428" t="s">
        <v>524</v>
      </c>
      <c r="C29" s="252">
        <v>29698.0</v>
      </c>
      <c r="D29" s="116"/>
      <c r="E29" s="5"/>
      <c r="F29" s="5"/>
      <c r="G29" s="5"/>
      <c r="H29" s="5"/>
      <c r="I29" s="5"/>
      <c r="J29" s="5"/>
      <c r="K29" s="5"/>
      <c r="L29" s="5"/>
      <c r="M29" s="5"/>
      <c r="N29" s="5"/>
      <c r="O29" s="5"/>
      <c r="P29" s="5"/>
      <c r="Q29" s="5"/>
      <c r="R29" s="5"/>
      <c r="S29" s="5"/>
      <c r="T29" s="5"/>
      <c r="U29" s="5"/>
    </row>
    <row r="30" ht="14.25" customHeight="1">
      <c r="A30" s="427">
        <v>13109.0</v>
      </c>
      <c r="B30" s="428" t="s">
        <v>525</v>
      </c>
      <c r="C30" s="252">
        <v>29353.0</v>
      </c>
      <c r="D30" s="116"/>
      <c r="E30" s="5"/>
      <c r="F30" s="5"/>
      <c r="G30" s="5"/>
      <c r="H30" s="5"/>
      <c r="I30" s="5"/>
      <c r="J30" s="5"/>
      <c r="K30" s="5"/>
      <c r="L30" s="5"/>
      <c r="M30" s="5"/>
      <c r="N30" s="5"/>
      <c r="O30" s="5"/>
      <c r="P30" s="5"/>
      <c r="Q30" s="5"/>
      <c r="R30" s="5"/>
      <c r="S30" s="5"/>
      <c r="T30" s="5"/>
      <c r="U30" s="5"/>
    </row>
    <row r="31" ht="14.25" customHeight="1">
      <c r="A31" s="427">
        <v>13113.0</v>
      </c>
      <c r="B31" s="428" t="s">
        <v>526</v>
      </c>
      <c r="C31" s="252">
        <v>28773.0</v>
      </c>
      <c r="D31" s="116"/>
      <c r="E31" s="5"/>
      <c r="F31" s="5"/>
      <c r="G31" s="5"/>
      <c r="H31" s="5"/>
      <c r="I31" s="5"/>
      <c r="J31" s="5"/>
      <c r="K31" s="5"/>
      <c r="L31" s="5"/>
      <c r="M31" s="5"/>
      <c r="N31" s="5"/>
      <c r="O31" s="5"/>
      <c r="P31" s="5"/>
      <c r="Q31" s="5"/>
      <c r="R31" s="5"/>
      <c r="S31" s="5"/>
      <c r="T31" s="5"/>
      <c r="U31" s="5"/>
    </row>
    <row r="32" ht="14.25" customHeight="1">
      <c r="A32" s="432">
        <v>13132.0</v>
      </c>
      <c r="B32" s="433" t="s">
        <v>28</v>
      </c>
      <c r="C32" s="434">
        <v>28149.0</v>
      </c>
      <c r="D32" s="116"/>
      <c r="E32" s="5"/>
      <c r="F32" s="5"/>
      <c r="G32" s="5"/>
      <c r="H32" s="5"/>
      <c r="I32" s="5"/>
      <c r="J32" s="5"/>
      <c r="K32" s="5"/>
      <c r="L32" s="5"/>
      <c r="M32" s="5"/>
      <c r="N32" s="5"/>
      <c r="O32" s="5"/>
      <c r="P32" s="5"/>
      <c r="Q32" s="5"/>
      <c r="R32" s="5"/>
      <c r="S32" s="5"/>
      <c r="T32" s="5"/>
      <c r="U32" s="5"/>
    </row>
    <row r="33" ht="14.25" customHeight="1">
      <c r="A33" s="427">
        <v>13107.0</v>
      </c>
      <c r="B33" s="428" t="s">
        <v>402</v>
      </c>
      <c r="C33" s="252">
        <v>27971.0</v>
      </c>
      <c r="D33" s="116"/>
      <c r="E33" s="5"/>
      <c r="F33" s="5"/>
      <c r="G33" s="5"/>
      <c r="H33" s="5"/>
      <c r="I33" s="5"/>
      <c r="J33" s="5"/>
      <c r="K33" s="5"/>
      <c r="L33" s="5"/>
      <c r="M33" s="5"/>
      <c r="N33" s="5"/>
      <c r="O33" s="5"/>
      <c r="P33" s="5"/>
      <c r="Q33" s="5"/>
      <c r="R33" s="5"/>
      <c r="S33" s="5"/>
      <c r="T33" s="5"/>
      <c r="U33" s="5"/>
    </row>
    <row r="34" ht="14.25" customHeight="1">
      <c r="A34" s="427">
        <v>13116.0</v>
      </c>
      <c r="B34" s="428" t="s">
        <v>527</v>
      </c>
      <c r="C34" s="252">
        <v>27630.0</v>
      </c>
      <c r="D34" s="116"/>
      <c r="E34" s="5"/>
      <c r="F34" s="5"/>
      <c r="G34" s="5"/>
      <c r="H34" s="5"/>
      <c r="I34" s="5"/>
      <c r="J34" s="5"/>
      <c r="K34" s="5"/>
      <c r="L34" s="5"/>
      <c r="M34" s="5"/>
      <c r="N34" s="5"/>
      <c r="O34" s="5"/>
      <c r="P34" s="5"/>
      <c r="Q34" s="5"/>
      <c r="R34" s="5"/>
      <c r="S34" s="5"/>
      <c r="T34" s="5"/>
      <c r="U34" s="5"/>
    </row>
    <row r="35" ht="14.25" customHeight="1">
      <c r="A35" s="432">
        <v>13115.0</v>
      </c>
      <c r="B35" s="433" t="s">
        <v>22</v>
      </c>
      <c r="C35" s="434">
        <v>26894.0</v>
      </c>
      <c r="D35" s="116"/>
      <c r="E35" s="5"/>
      <c r="F35" s="5"/>
      <c r="G35" s="5"/>
      <c r="H35" s="5"/>
      <c r="I35" s="5"/>
      <c r="J35" s="5"/>
      <c r="K35" s="5"/>
      <c r="L35" s="5"/>
      <c r="M35" s="5"/>
      <c r="N35" s="5"/>
      <c r="O35" s="5"/>
      <c r="P35" s="5"/>
      <c r="Q35" s="5"/>
      <c r="R35" s="5"/>
      <c r="S35" s="5"/>
      <c r="T35" s="5"/>
      <c r="U35" s="5"/>
    </row>
    <row r="36" ht="14.25" customHeight="1">
      <c r="A36" s="427">
        <v>13131.0</v>
      </c>
      <c r="B36" s="428" t="s">
        <v>528</v>
      </c>
      <c r="C36" s="252">
        <v>24396.0</v>
      </c>
      <c r="D36" s="116"/>
      <c r="E36" s="5"/>
      <c r="F36" s="5"/>
      <c r="G36" s="5"/>
      <c r="H36" s="5"/>
      <c r="I36" s="5"/>
      <c r="J36" s="5"/>
      <c r="K36" s="5"/>
      <c r="L36" s="5"/>
      <c r="M36" s="5"/>
      <c r="N36" s="5"/>
      <c r="O36" s="5"/>
      <c r="P36" s="5"/>
      <c r="Q36" s="5"/>
      <c r="R36" s="5"/>
      <c r="S36" s="5"/>
      <c r="T36" s="5"/>
      <c r="U36" s="5"/>
    </row>
    <row r="37" ht="14.25" customHeight="1">
      <c r="A37" s="427">
        <v>13102.0</v>
      </c>
      <c r="B37" s="428" t="s">
        <v>529</v>
      </c>
      <c r="C37" s="252">
        <v>24048.0</v>
      </c>
      <c r="D37" s="116"/>
      <c r="E37" s="5"/>
      <c r="F37" s="5"/>
      <c r="G37" s="5"/>
      <c r="H37" s="5"/>
      <c r="I37" s="5"/>
      <c r="J37" s="5"/>
      <c r="K37" s="5"/>
      <c r="L37" s="5"/>
      <c r="M37" s="5"/>
      <c r="N37" s="5"/>
      <c r="O37" s="5"/>
      <c r="P37" s="5"/>
      <c r="Q37" s="5"/>
      <c r="R37" s="5"/>
      <c r="S37" s="5"/>
      <c r="T37" s="5"/>
      <c r="U37" s="5"/>
    </row>
    <row r="38" ht="14.25" customHeight="1">
      <c r="A38" s="427">
        <v>13202.0</v>
      </c>
      <c r="B38" s="428" t="s">
        <v>530</v>
      </c>
      <c r="C38" s="252">
        <v>7663.0</v>
      </c>
      <c r="D38" s="116"/>
      <c r="E38" s="5"/>
      <c r="F38" s="5"/>
      <c r="G38" s="5"/>
      <c r="H38" s="5"/>
      <c r="I38" s="5"/>
      <c r="J38" s="5"/>
      <c r="K38" s="5"/>
      <c r="L38" s="5"/>
      <c r="M38" s="5"/>
      <c r="N38" s="5"/>
      <c r="O38" s="5"/>
      <c r="P38" s="5"/>
      <c r="Q38" s="5"/>
      <c r="R38" s="5"/>
      <c r="S38" s="5"/>
      <c r="T38" s="5"/>
      <c r="U38" s="5"/>
    </row>
    <row r="39" ht="14.25" customHeight="1">
      <c r="A39" s="427">
        <v>13303.0</v>
      </c>
      <c r="B39" s="428" t="s">
        <v>531</v>
      </c>
      <c r="C39" s="252">
        <v>5830.0</v>
      </c>
      <c r="D39" s="116"/>
      <c r="E39" s="5"/>
      <c r="F39" s="5"/>
      <c r="G39" s="5"/>
      <c r="H39" s="5"/>
      <c r="I39" s="5"/>
      <c r="J39" s="5"/>
      <c r="K39" s="5"/>
      <c r="L39" s="5"/>
      <c r="M39" s="5"/>
      <c r="N39" s="5"/>
      <c r="O39" s="5"/>
      <c r="P39" s="5"/>
      <c r="Q39" s="5"/>
      <c r="R39" s="5"/>
      <c r="S39" s="5"/>
      <c r="T39" s="5"/>
      <c r="U39" s="5"/>
    </row>
    <row r="40" ht="14.25" customHeight="1">
      <c r="A40" s="427">
        <v>13203.0</v>
      </c>
      <c r="B40" s="428" t="s">
        <v>532</v>
      </c>
      <c r="C40" s="252">
        <v>5286.0</v>
      </c>
      <c r="D40" s="116"/>
      <c r="E40" s="5"/>
      <c r="F40" s="5"/>
      <c r="G40" s="5"/>
      <c r="H40" s="5"/>
      <c r="I40" s="5"/>
      <c r="J40" s="5"/>
      <c r="K40" s="5"/>
      <c r="L40" s="5"/>
      <c r="M40" s="5"/>
      <c r="N40" s="5"/>
      <c r="O40" s="5"/>
      <c r="P40" s="5"/>
      <c r="Q40" s="5"/>
      <c r="R40" s="5"/>
      <c r="S40" s="5"/>
      <c r="T40" s="5"/>
      <c r="U40" s="5"/>
    </row>
    <row r="41" ht="14.25" customHeight="1">
      <c r="A41" s="119"/>
      <c r="B41" s="119"/>
      <c r="C41" s="119"/>
      <c r="D41" s="5"/>
      <c r="E41" s="5"/>
      <c r="F41" s="5"/>
      <c r="G41" s="5"/>
      <c r="H41" s="5"/>
      <c r="I41" s="5"/>
      <c r="J41" s="5"/>
      <c r="K41" s="5"/>
      <c r="L41" s="5"/>
      <c r="M41" s="5"/>
      <c r="N41" s="5"/>
      <c r="O41" s="5"/>
      <c r="P41" s="5"/>
      <c r="Q41" s="5"/>
      <c r="R41" s="5"/>
      <c r="S41" s="5"/>
      <c r="T41" s="5"/>
      <c r="U41" s="5"/>
    </row>
    <row r="42" ht="14.25" customHeight="1">
      <c r="A42" s="5"/>
      <c r="B42" s="5" t="s">
        <v>39</v>
      </c>
      <c r="C42" s="437">
        <f>sum(C2:C40)</f>
        <v>2035711</v>
      </c>
      <c r="D42" s="5"/>
      <c r="E42" s="5"/>
      <c r="F42" s="5"/>
      <c r="G42" s="5"/>
      <c r="H42" s="5"/>
      <c r="I42" s="5"/>
      <c r="J42" s="5"/>
      <c r="K42" s="5"/>
      <c r="L42" s="5"/>
      <c r="M42" s="5"/>
      <c r="N42" s="5"/>
      <c r="O42" s="5"/>
      <c r="P42" s="5"/>
      <c r="Q42" s="5"/>
      <c r="R42" s="5"/>
      <c r="S42" s="5"/>
      <c r="T42" s="5"/>
      <c r="U42" s="5"/>
    </row>
    <row r="43" ht="14.25" customHeight="1">
      <c r="A43" s="5"/>
      <c r="B43" s="5"/>
      <c r="C43" s="5"/>
      <c r="D43" s="5"/>
      <c r="E43" s="5"/>
      <c r="F43" s="5"/>
      <c r="G43" s="5"/>
      <c r="H43" s="5"/>
      <c r="I43" s="5"/>
      <c r="J43" s="5"/>
      <c r="K43" s="5"/>
      <c r="L43" s="5"/>
      <c r="M43" s="5"/>
      <c r="N43" s="5"/>
      <c r="O43" s="5"/>
      <c r="P43" s="5"/>
      <c r="Q43" s="5"/>
      <c r="R43" s="5"/>
      <c r="S43" s="5"/>
      <c r="T43" s="5"/>
      <c r="U43" s="5"/>
    </row>
    <row r="44" ht="14.25" customHeight="1">
      <c r="A44" s="5"/>
      <c r="B44" s="5"/>
      <c r="C44" s="5"/>
      <c r="D44" s="5"/>
      <c r="E44" s="5"/>
      <c r="F44" s="5"/>
      <c r="G44" s="5"/>
      <c r="H44" s="5"/>
      <c r="I44" s="5"/>
      <c r="J44" s="5"/>
      <c r="K44" s="5"/>
      <c r="L44" s="5"/>
      <c r="M44" s="5"/>
      <c r="N44" s="5"/>
      <c r="O44" s="5"/>
      <c r="P44" s="5"/>
      <c r="Q44" s="5"/>
      <c r="R44" s="5"/>
      <c r="S44" s="5"/>
      <c r="T44" s="5"/>
      <c r="U44" s="5"/>
    </row>
    <row r="45" ht="14.25" customHeight="1">
      <c r="A45" s="5"/>
      <c r="B45" s="5"/>
      <c r="C45" s="5"/>
      <c r="D45" s="5"/>
      <c r="E45" s="5"/>
      <c r="F45" s="5"/>
      <c r="G45" s="5"/>
      <c r="H45" s="5"/>
      <c r="I45" s="5"/>
      <c r="J45" s="5"/>
      <c r="K45" s="5"/>
      <c r="L45" s="5"/>
      <c r="M45" s="5"/>
      <c r="N45" s="5"/>
      <c r="O45" s="5"/>
      <c r="P45" s="5"/>
      <c r="Q45" s="5"/>
      <c r="R45" s="5"/>
      <c r="S45" s="5"/>
      <c r="T45" s="5"/>
      <c r="U45" s="5"/>
    </row>
    <row r="46" ht="14.25" customHeight="1">
      <c r="A46" s="5"/>
      <c r="B46" s="5"/>
      <c r="C46" s="5"/>
      <c r="D46" s="5"/>
      <c r="E46" s="5"/>
      <c r="F46" s="5"/>
      <c r="G46" s="5"/>
      <c r="H46" s="5"/>
      <c r="I46" s="5"/>
      <c r="J46" s="5"/>
      <c r="K46" s="5"/>
      <c r="L46" s="5"/>
      <c r="M46" s="5"/>
      <c r="N46" s="5"/>
      <c r="O46" s="5"/>
      <c r="P46" s="5"/>
      <c r="Q46" s="5"/>
      <c r="R46" s="5"/>
      <c r="S46" s="5"/>
      <c r="T46" s="5"/>
      <c r="U46" s="5"/>
    </row>
    <row r="47" ht="14.25" customHeight="1">
      <c r="A47" s="5"/>
      <c r="B47" s="5"/>
      <c r="C47" s="5"/>
      <c r="D47" s="5"/>
      <c r="E47" s="5"/>
      <c r="F47" s="5"/>
      <c r="G47" s="5"/>
      <c r="H47" s="5"/>
      <c r="I47" s="5"/>
      <c r="J47" s="5"/>
      <c r="K47" s="5"/>
      <c r="L47" s="5"/>
      <c r="M47" s="5"/>
      <c r="N47" s="5"/>
      <c r="O47" s="5"/>
      <c r="P47" s="5"/>
      <c r="Q47" s="5"/>
      <c r="R47" s="5"/>
      <c r="S47" s="5"/>
      <c r="T47" s="5"/>
      <c r="U47" s="5"/>
    </row>
    <row r="48" ht="14.25" customHeight="1">
      <c r="A48" s="5"/>
      <c r="B48" s="5"/>
      <c r="C48" s="5"/>
      <c r="D48" s="5"/>
      <c r="E48" s="5"/>
      <c r="F48" s="5"/>
      <c r="G48" s="5"/>
      <c r="H48" s="5"/>
      <c r="I48" s="5"/>
      <c r="J48" s="5"/>
      <c r="K48" s="5"/>
      <c r="L48" s="5"/>
      <c r="M48" s="5"/>
      <c r="N48" s="5"/>
      <c r="O48" s="5"/>
      <c r="P48" s="5"/>
      <c r="Q48" s="5"/>
      <c r="R48" s="5"/>
      <c r="S48" s="5"/>
      <c r="T48" s="5"/>
      <c r="U48" s="5"/>
    </row>
    <row r="49" ht="14.25" customHeight="1">
      <c r="A49" s="5"/>
      <c r="B49" s="5"/>
      <c r="C49" s="5"/>
      <c r="D49" s="5"/>
      <c r="E49" s="5"/>
      <c r="F49" s="5"/>
      <c r="G49" s="5"/>
      <c r="H49" s="5"/>
      <c r="I49" s="5"/>
      <c r="J49" s="5"/>
      <c r="K49" s="5"/>
      <c r="L49" s="5"/>
      <c r="M49" s="5"/>
      <c r="N49" s="5"/>
      <c r="O49" s="5"/>
      <c r="P49" s="5"/>
      <c r="Q49" s="5"/>
      <c r="R49" s="5"/>
      <c r="S49" s="5"/>
      <c r="T49" s="5"/>
      <c r="U49" s="5"/>
    </row>
    <row r="50" ht="14.25" customHeight="1">
      <c r="A50" s="5"/>
      <c r="B50" s="5"/>
      <c r="C50" s="5"/>
      <c r="D50" s="5"/>
      <c r="E50" s="5"/>
      <c r="F50" s="5"/>
      <c r="G50" s="5"/>
      <c r="H50" s="5"/>
      <c r="I50" s="5"/>
      <c r="J50" s="5"/>
      <c r="K50" s="5"/>
      <c r="L50" s="5"/>
      <c r="M50" s="5"/>
      <c r="N50" s="5"/>
      <c r="O50" s="5"/>
      <c r="P50" s="5"/>
      <c r="Q50" s="5"/>
      <c r="R50" s="5"/>
      <c r="S50" s="5"/>
      <c r="T50" s="5"/>
      <c r="U50" s="5"/>
    </row>
    <row r="51" ht="14.25" customHeight="1">
      <c r="A51" s="5"/>
      <c r="B51" s="5"/>
      <c r="C51" s="5"/>
      <c r="D51" s="5"/>
      <c r="E51" s="5"/>
      <c r="F51" s="5"/>
      <c r="G51" s="5"/>
      <c r="H51" s="5"/>
      <c r="I51" s="5"/>
      <c r="J51" s="5"/>
      <c r="K51" s="5"/>
      <c r="L51" s="5"/>
      <c r="M51" s="5"/>
      <c r="N51" s="5"/>
      <c r="O51" s="5"/>
      <c r="P51" s="5"/>
      <c r="Q51" s="5"/>
      <c r="R51" s="5"/>
      <c r="S51" s="5"/>
      <c r="T51" s="5"/>
      <c r="U51" s="5"/>
    </row>
    <row r="52" ht="14.25" customHeight="1">
      <c r="A52" s="5"/>
      <c r="B52" s="5"/>
      <c r="C52" s="5"/>
      <c r="D52" s="5"/>
      <c r="E52" s="5"/>
      <c r="F52" s="5"/>
      <c r="G52" s="5"/>
      <c r="H52" s="5"/>
      <c r="I52" s="5"/>
      <c r="J52" s="5"/>
      <c r="K52" s="5"/>
      <c r="L52" s="5"/>
      <c r="M52" s="5"/>
      <c r="N52" s="5"/>
      <c r="O52" s="5"/>
      <c r="P52" s="5"/>
      <c r="Q52" s="5"/>
      <c r="R52" s="5"/>
      <c r="S52" s="5"/>
      <c r="T52" s="5"/>
      <c r="U52" s="5"/>
    </row>
    <row r="53" ht="14.25" customHeight="1">
      <c r="A53" s="5"/>
      <c r="B53" s="5"/>
      <c r="C53" s="5"/>
      <c r="D53" s="5"/>
      <c r="E53" s="5"/>
      <c r="F53" s="5"/>
      <c r="G53" s="5"/>
      <c r="H53" s="5"/>
      <c r="I53" s="5"/>
      <c r="J53" s="5"/>
      <c r="K53" s="5"/>
      <c r="L53" s="5"/>
      <c r="M53" s="5"/>
      <c r="N53" s="5"/>
      <c r="O53" s="5"/>
      <c r="P53" s="5"/>
      <c r="Q53" s="5"/>
      <c r="R53" s="5"/>
      <c r="S53" s="5"/>
      <c r="T53" s="5"/>
      <c r="U53" s="5"/>
    </row>
    <row r="54" ht="14.25" customHeight="1">
      <c r="A54" s="5"/>
      <c r="B54" s="5"/>
      <c r="C54" s="5"/>
      <c r="D54" s="5"/>
      <c r="E54" s="5"/>
      <c r="F54" s="5"/>
      <c r="G54" s="5"/>
      <c r="H54" s="5"/>
      <c r="I54" s="5"/>
      <c r="J54" s="5"/>
      <c r="K54" s="5"/>
      <c r="L54" s="5"/>
      <c r="M54" s="5"/>
      <c r="N54" s="5"/>
      <c r="O54" s="5"/>
      <c r="P54" s="5"/>
      <c r="Q54" s="5"/>
      <c r="R54" s="5"/>
      <c r="S54" s="5"/>
      <c r="T54" s="5"/>
      <c r="U54" s="5"/>
    </row>
    <row r="55" ht="14.25" customHeight="1">
      <c r="A55" s="5"/>
      <c r="B55" s="5"/>
      <c r="C55" s="5"/>
      <c r="D55" s="5"/>
      <c r="E55" s="5"/>
      <c r="F55" s="5"/>
      <c r="G55" s="5"/>
      <c r="H55" s="5"/>
      <c r="I55" s="5"/>
      <c r="J55" s="5"/>
      <c r="K55" s="5"/>
      <c r="L55" s="5"/>
      <c r="M55" s="5"/>
      <c r="N55" s="5"/>
      <c r="O55" s="5"/>
      <c r="P55" s="5"/>
      <c r="Q55" s="5"/>
      <c r="R55" s="5"/>
      <c r="S55" s="5"/>
      <c r="T55" s="5"/>
      <c r="U55" s="5"/>
    </row>
    <row r="56" ht="14.25" customHeight="1">
      <c r="A56" s="5"/>
      <c r="B56" s="5"/>
      <c r="C56" s="5"/>
      <c r="D56" s="5"/>
      <c r="E56" s="5"/>
      <c r="F56" s="5"/>
      <c r="G56" s="5"/>
      <c r="H56" s="5"/>
      <c r="I56" s="5"/>
      <c r="J56" s="5"/>
      <c r="K56" s="5"/>
      <c r="L56" s="5"/>
      <c r="M56" s="5"/>
      <c r="N56" s="5"/>
      <c r="O56" s="5"/>
      <c r="P56" s="5"/>
      <c r="Q56" s="5"/>
      <c r="R56" s="5"/>
      <c r="S56" s="5"/>
      <c r="T56" s="5"/>
      <c r="U56" s="5"/>
    </row>
    <row r="57" ht="14.25" customHeight="1">
      <c r="A57" s="5"/>
      <c r="B57" s="5"/>
      <c r="C57" s="5"/>
      <c r="D57" s="5"/>
      <c r="E57" s="5"/>
      <c r="F57" s="5"/>
      <c r="G57" s="5"/>
      <c r="H57" s="5"/>
      <c r="I57" s="5"/>
      <c r="J57" s="5"/>
      <c r="K57" s="5"/>
      <c r="L57" s="5"/>
      <c r="M57" s="5"/>
      <c r="N57" s="5"/>
      <c r="O57" s="5"/>
      <c r="P57" s="5"/>
      <c r="Q57" s="5"/>
      <c r="R57" s="5"/>
      <c r="S57" s="5"/>
      <c r="T57" s="5"/>
      <c r="U57" s="5"/>
    </row>
    <row r="58" ht="14.25" customHeight="1">
      <c r="A58" s="5"/>
      <c r="B58" s="5"/>
      <c r="C58" s="5"/>
      <c r="D58" s="5"/>
      <c r="E58" s="5"/>
      <c r="F58" s="5"/>
      <c r="G58" s="5"/>
      <c r="H58" s="5"/>
      <c r="I58" s="5"/>
      <c r="J58" s="5"/>
      <c r="K58" s="5"/>
      <c r="L58" s="5"/>
      <c r="M58" s="5"/>
      <c r="N58" s="5"/>
      <c r="O58" s="5"/>
      <c r="P58" s="5"/>
      <c r="Q58" s="5"/>
      <c r="R58" s="5"/>
      <c r="S58" s="5"/>
      <c r="T58" s="5"/>
      <c r="U58" s="5"/>
    </row>
    <row r="59" ht="14.25" customHeight="1">
      <c r="A59" s="5"/>
      <c r="B59" s="5"/>
      <c r="C59" s="5"/>
      <c r="D59" s="5"/>
      <c r="E59" s="5"/>
      <c r="F59" s="5"/>
      <c r="G59" s="5"/>
      <c r="H59" s="5"/>
      <c r="I59" s="5"/>
      <c r="J59" s="5"/>
      <c r="K59" s="5"/>
      <c r="L59" s="5"/>
      <c r="M59" s="5"/>
      <c r="N59" s="5"/>
      <c r="O59" s="5"/>
      <c r="P59" s="5"/>
      <c r="Q59" s="5"/>
      <c r="R59" s="5"/>
      <c r="S59" s="5"/>
      <c r="T59" s="5"/>
      <c r="U59" s="5"/>
    </row>
    <row r="60" ht="14.25" customHeight="1">
      <c r="A60" s="5"/>
      <c r="B60" s="5"/>
      <c r="C60" s="5"/>
      <c r="D60" s="5"/>
      <c r="E60" s="5"/>
      <c r="F60" s="5"/>
      <c r="G60" s="5"/>
      <c r="H60" s="5"/>
      <c r="I60" s="5"/>
      <c r="J60" s="5"/>
      <c r="K60" s="5"/>
      <c r="L60" s="5"/>
      <c r="M60" s="5"/>
      <c r="N60" s="5"/>
      <c r="O60" s="5"/>
      <c r="P60" s="5"/>
      <c r="Q60" s="5"/>
      <c r="R60" s="5"/>
      <c r="S60" s="5"/>
      <c r="T60" s="5"/>
      <c r="U60" s="5"/>
    </row>
    <row r="61" ht="14.25" customHeight="1">
      <c r="A61" s="5"/>
      <c r="B61" s="5"/>
      <c r="C61" s="5"/>
      <c r="D61" s="5"/>
      <c r="E61" s="5"/>
      <c r="F61" s="5"/>
      <c r="G61" s="5"/>
      <c r="H61" s="5"/>
      <c r="I61" s="5"/>
      <c r="J61" s="5"/>
      <c r="K61" s="5"/>
      <c r="L61" s="5"/>
      <c r="M61" s="5"/>
      <c r="N61" s="5"/>
      <c r="O61" s="5"/>
      <c r="P61" s="5"/>
      <c r="Q61" s="5"/>
      <c r="R61" s="5"/>
      <c r="S61" s="5"/>
      <c r="T61" s="5"/>
      <c r="U61" s="5"/>
    </row>
    <row r="62" ht="14.25" customHeight="1">
      <c r="A62" s="5"/>
      <c r="B62" s="5"/>
      <c r="C62" s="5"/>
      <c r="D62" s="5"/>
      <c r="E62" s="5"/>
      <c r="F62" s="5"/>
      <c r="G62" s="5"/>
      <c r="H62" s="5"/>
      <c r="I62" s="5"/>
      <c r="J62" s="5"/>
      <c r="K62" s="5"/>
      <c r="L62" s="5"/>
      <c r="M62" s="5"/>
      <c r="N62" s="5"/>
      <c r="O62" s="5"/>
      <c r="P62" s="5"/>
      <c r="Q62" s="5"/>
      <c r="R62" s="5"/>
      <c r="S62" s="5"/>
      <c r="T62" s="5"/>
      <c r="U62" s="5"/>
    </row>
    <row r="63" ht="14.25" customHeight="1">
      <c r="A63" s="5"/>
      <c r="B63" s="5"/>
      <c r="C63" s="5"/>
      <c r="D63" s="5"/>
      <c r="E63" s="5"/>
      <c r="F63" s="5"/>
      <c r="G63" s="5"/>
      <c r="H63" s="5"/>
      <c r="I63" s="5"/>
      <c r="J63" s="5"/>
      <c r="K63" s="5"/>
      <c r="L63" s="5"/>
      <c r="M63" s="5"/>
      <c r="N63" s="5"/>
      <c r="O63" s="5"/>
      <c r="P63" s="5"/>
      <c r="Q63" s="5"/>
      <c r="R63" s="5"/>
      <c r="S63" s="5"/>
      <c r="T63" s="5"/>
      <c r="U63" s="5"/>
    </row>
    <row r="64" ht="14.25" customHeight="1">
      <c r="A64" s="5"/>
      <c r="B64" s="5"/>
      <c r="C64" s="5"/>
      <c r="D64" s="5"/>
      <c r="E64" s="5"/>
      <c r="F64" s="5"/>
      <c r="G64" s="5"/>
      <c r="H64" s="5"/>
      <c r="I64" s="5"/>
      <c r="J64" s="5"/>
      <c r="K64" s="5"/>
      <c r="L64" s="5"/>
      <c r="M64" s="5"/>
      <c r="N64" s="5"/>
      <c r="O64" s="5"/>
      <c r="P64" s="5"/>
      <c r="Q64" s="5"/>
      <c r="R64" s="5"/>
      <c r="S64" s="5"/>
      <c r="T64" s="5"/>
      <c r="U64" s="5"/>
    </row>
    <row r="65" ht="14.25" customHeight="1">
      <c r="A65" s="5"/>
      <c r="B65" s="5"/>
      <c r="C65" s="5"/>
      <c r="D65" s="5"/>
      <c r="E65" s="5"/>
      <c r="F65" s="5"/>
      <c r="G65" s="5"/>
      <c r="H65" s="5"/>
      <c r="I65" s="5"/>
      <c r="J65" s="5"/>
      <c r="K65" s="5"/>
      <c r="L65" s="5"/>
      <c r="M65" s="5"/>
      <c r="N65" s="5"/>
      <c r="O65" s="5"/>
      <c r="P65" s="5"/>
      <c r="Q65" s="5"/>
      <c r="R65" s="5"/>
      <c r="S65" s="5"/>
      <c r="T65" s="5"/>
      <c r="U65" s="5"/>
    </row>
    <row r="66" ht="14.25" customHeight="1">
      <c r="A66" s="5"/>
      <c r="B66" s="5"/>
      <c r="C66" s="5"/>
      <c r="D66" s="5"/>
      <c r="E66" s="5"/>
      <c r="F66" s="5"/>
      <c r="G66" s="5"/>
      <c r="H66" s="5"/>
      <c r="I66" s="5"/>
      <c r="J66" s="5"/>
      <c r="K66" s="5"/>
      <c r="L66" s="5"/>
      <c r="M66" s="5"/>
      <c r="N66" s="5"/>
      <c r="O66" s="5"/>
      <c r="P66" s="5"/>
      <c r="Q66" s="5"/>
      <c r="R66" s="5"/>
      <c r="S66" s="5"/>
      <c r="T66" s="5"/>
      <c r="U66" s="5"/>
    </row>
    <row r="67" ht="14.25" customHeight="1">
      <c r="A67" s="5"/>
      <c r="B67" s="5"/>
      <c r="C67" s="5"/>
      <c r="D67" s="5"/>
      <c r="E67" s="5"/>
      <c r="F67" s="5"/>
      <c r="G67" s="5"/>
      <c r="H67" s="5"/>
      <c r="I67" s="5"/>
      <c r="J67" s="5"/>
      <c r="K67" s="5"/>
      <c r="L67" s="5"/>
      <c r="M67" s="5"/>
      <c r="N67" s="5"/>
      <c r="O67" s="5"/>
      <c r="P67" s="5"/>
      <c r="Q67" s="5"/>
      <c r="R67" s="5"/>
      <c r="S67" s="5"/>
      <c r="T67" s="5"/>
      <c r="U67" s="5"/>
    </row>
    <row r="68" ht="14.25" customHeight="1">
      <c r="A68" s="5"/>
      <c r="B68" s="5"/>
      <c r="C68" s="5"/>
      <c r="D68" s="5"/>
      <c r="E68" s="5"/>
      <c r="F68" s="5"/>
      <c r="G68" s="5"/>
      <c r="H68" s="5"/>
      <c r="I68" s="5"/>
      <c r="J68" s="5"/>
      <c r="K68" s="5"/>
      <c r="L68" s="5"/>
      <c r="M68" s="5"/>
      <c r="N68" s="5"/>
      <c r="O68" s="5"/>
      <c r="P68" s="5"/>
      <c r="Q68" s="5"/>
      <c r="R68" s="5"/>
      <c r="S68" s="5"/>
      <c r="T68" s="5"/>
      <c r="U68" s="5"/>
    </row>
    <row r="69" ht="14.25" customHeight="1">
      <c r="A69" s="5"/>
      <c r="B69" s="5"/>
      <c r="C69" s="5"/>
      <c r="D69" s="5"/>
      <c r="E69" s="5"/>
      <c r="F69" s="5"/>
      <c r="G69" s="5"/>
      <c r="H69" s="5"/>
      <c r="I69" s="5"/>
      <c r="J69" s="5"/>
      <c r="K69" s="5"/>
      <c r="L69" s="5"/>
      <c r="M69" s="5"/>
      <c r="N69" s="5"/>
      <c r="O69" s="5"/>
      <c r="P69" s="5"/>
      <c r="Q69" s="5"/>
      <c r="R69" s="5"/>
      <c r="S69" s="5"/>
      <c r="T69" s="5"/>
      <c r="U69" s="5"/>
    </row>
    <row r="70" ht="14.25" customHeight="1">
      <c r="A70" s="5"/>
      <c r="B70" s="5"/>
      <c r="C70" s="5"/>
      <c r="D70" s="5"/>
      <c r="E70" s="5"/>
      <c r="F70" s="5"/>
      <c r="G70" s="5"/>
      <c r="H70" s="5"/>
      <c r="I70" s="5"/>
      <c r="J70" s="5"/>
      <c r="K70" s="5"/>
      <c r="L70" s="5"/>
      <c r="M70" s="5"/>
      <c r="N70" s="5"/>
      <c r="O70" s="5"/>
      <c r="P70" s="5"/>
      <c r="Q70" s="5"/>
      <c r="R70" s="5"/>
      <c r="S70" s="5"/>
      <c r="T70" s="5"/>
      <c r="U70" s="5"/>
    </row>
    <row r="71" ht="14.25" customHeight="1">
      <c r="A71" s="5"/>
      <c r="B71" s="5"/>
      <c r="C71" s="5"/>
      <c r="D71" s="5"/>
      <c r="E71" s="5"/>
      <c r="F71" s="5"/>
      <c r="G71" s="5"/>
      <c r="H71" s="5"/>
      <c r="I71" s="5"/>
      <c r="J71" s="5"/>
      <c r="K71" s="5"/>
      <c r="L71" s="5"/>
      <c r="M71" s="5"/>
      <c r="N71" s="5"/>
      <c r="O71" s="5"/>
      <c r="P71" s="5"/>
      <c r="Q71" s="5"/>
      <c r="R71" s="5"/>
      <c r="S71" s="5"/>
      <c r="T71" s="5"/>
      <c r="U71" s="5"/>
    </row>
    <row r="72" ht="14.25" customHeight="1">
      <c r="A72" s="5"/>
      <c r="B72" s="5"/>
      <c r="C72" s="5"/>
      <c r="D72" s="5"/>
      <c r="E72" s="5"/>
      <c r="F72" s="5"/>
      <c r="G72" s="5"/>
      <c r="H72" s="5"/>
      <c r="I72" s="5"/>
      <c r="J72" s="5"/>
      <c r="K72" s="5"/>
      <c r="L72" s="5"/>
      <c r="M72" s="5"/>
      <c r="N72" s="5"/>
      <c r="O72" s="5"/>
      <c r="P72" s="5"/>
      <c r="Q72" s="5"/>
      <c r="R72" s="5"/>
      <c r="S72" s="5"/>
      <c r="T72" s="5"/>
      <c r="U72" s="5"/>
    </row>
    <row r="73" ht="14.25" customHeight="1">
      <c r="A73" s="5"/>
      <c r="B73" s="5"/>
      <c r="C73" s="5"/>
      <c r="D73" s="5"/>
      <c r="E73" s="5"/>
      <c r="F73" s="5"/>
      <c r="G73" s="5"/>
      <c r="H73" s="5"/>
      <c r="I73" s="5"/>
      <c r="J73" s="5"/>
      <c r="K73" s="5"/>
      <c r="L73" s="5"/>
      <c r="M73" s="5"/>
      <c r="N73" s="5"/>
      <c r="O73" s="5"/>
      <c r="P73" s="5"/>
      <c r="Q73" s="5"/>
      <c r="R73" s="5"/>
      <c r="S73" s="5"/>
      <c r="T73" s="5"/>
      <c r="U73" s="5"/>
    </row>
    <row r="74" ht="14.25" customHeight="1">
      <c r="A74" s="5"/>
      <c r="B74" s="5"/>
      <c r="C74" s="5"/>
      <c r="D74" s="5"/>
      <c r="E74" s="5"/>
      <c r="F74" s="5"/>
      <c r="G74" s="5"/>
      <c r="H74" s="5"/>
      <c r="I74" s="5"/>
      <c r="J74" s="5"/>
      <c r="K74" s="5"/>
      <c r="L74" s="5"/>
      <c r="M74" s="5"/>
      <c r="N74" s="5"/>
      <c r="O74" s="5"/>
      <c r="P74" s="5"/>
      <c r="Q74" s="5"/>
      <c r="R74" s="5"/>
      <c r="S74" s="5"/>
      <c r="T74" s="5"/>
      <c r="U74" s="5"/>
    </row>
    <row r="75" ht="14.25" customHeight="1">
      <c r="A75" s="5"/>
      <c r="B75" s="5"/>
      <c r="C75" s="5"/>
      <c r="D75" s="5"/>
      <c r="E75" s="5"/>
      <c r="F75" s="5"/>
      <c r="G75" s="5"/>
      <c r="H75" s="5"/>
      <c r="I75" s="5"/>
      <c r="J75" s="5"/>
      <c r="K75" s="5"/>
      <c r="L75" s="5"/>
      <c r="M75" s="5"/>
      <c r="N75" s="5"/>
      <c r="O75" s="5"/>
      <c r="P75" s="5"/>
      <c r="Q75" s="5"/>
      <c r="R75" s="5"/>
      <c r="S75" s="5"/>
      <c r="T75" s="5"/>
      <c r="U75" s="5"/>
    </row>
    <row r="76" ht="14.25" customHeight="1">
      <c r="A76" s="5"/>
      <c r="B76" s="5"/>
      <c r="C76" s="5"/>
      <c r="D76" s="5"/>
      <c r="E76" s="5"/>
      <c r="F76" s="5"/>
      <c r="G76" s="5"/>
      <c r="H76" s="5"/>
      <c r="I76" s="5"/>
      <c r="J76" s="5"/>
      <c r="K76" s="5"/>
      <c r="L76" s="5"/>
      <c r="M76" s="5"/>
      <c r="N76" s="5"/>
      <c r="O76" s="5"/>
      <c r="P76" s="5"/>
      <c r="Q76" s="5"/>
      <c r="R76" s="5"/>
      <c r="S76" s="5"/>
      <c r="T76" s="5"/>
      <c r="U76" s="5"/>
    </row>
    <row r="77" ht="14.25" customHeight="1">
      <c r="A77" s="5"/>
      <c r="B77" s="5"/>
      <c r="C77" s="5"/>
      <c r="D77" s="5"/>
      <c r="E77" s="5"/>
      <c r="F77" s="5"/>
      <c r="G77" s="5"/>
      <c r="H77" s="5"/>
      <c r="I77" s="5"/>
      <c r="J77" s="5"/>
      <c r="K77" s="5"/>
      <c r="L77" s="5"/>
      <c r="M77" s="5"/>
      <c r="N77" s="5"/>
      <c r="O77" s="5"/>
      <c r="P77" s="5"/>
      <c r="Q77" s="5"/>
      <c r="R77" s="5"/>
      <c r="S77" s="5"/>
      <c r="T77" s="5"/>
      <c r="U77" s="5"/>
    </row>
    <row r="78" ht="14.25" customHeight="1">
      <c r="A78" s="5"/>
      <c r="B78" s="5"/>
      <c r="C78" s="5"/>
      <c r="D78" s="5"/>
      <c r="E78" s="5"/>
      <c r="F78" s="5"/>
      <c r="G78" s="5"/>
      <c r="H78" s="5"/>
      <c r="I78" s="5"/>
      <c r="J78" s="5"/>
      <c r="K78" s="5"/>
      <c r="L78" s="5"/>
      <c r="M78" s="5"/>
      <c r="N78" s="5"/>
      <c r="O78" s="5"/>
      <c r="P78" s="5"/>
      <c r="Q78" s="5"/>
      <c r="R78" s="5"/>
      <c r="S78" s="5"/>
      <c r="T78" s="5"/>
      <c r="U78" s="5"/>
    </row>
    <row r="79" ht="14.25" customHeight="1">
      <c r="A79" s="5"/>
      <c r="B79" s="5"/>
      <c r="C79" s="5"/>
      <c r="D79" s="5"/>
      <c r="E79" s="5"/>
      <c r="F79" s="5"/>
      <c r="G79" s="5"/>
      <c r="H79" s="5"/>
      <c r="I79" s="5"/>
      <c r="J79" s="5"/>
      <c r="K79" s="5"/>
      <c r="L79" s="5"/>
      <c r="M79" s="5"/>
      <c r="N79" s="5"/>
      <c r="O79" s="5"/>
      <c r="P79" s="5"/>
      <c r="Q79" s="5"/>
      <c r="R79" s="5"/>
      <c r="S79" s="5"/>
      <c r="T79" s="5"/>
      <c r="U79" s="5"/>
    </row>
    <row r="80" ht="14.25" customHeight="1">
      <c r="A80" s="5"/>
      <c r="B80" s="5"/>
      <c r="C80" s="5"/>
      <c r="D80" s="5"/>
      <c r="E80" s="5"/>
      <c r="F80" s="5"/>
      <c r="G80" s="5"/>
      <c r="H80" s="5"/>
      <c r="I80" s="5"/>
      <c r="J80" s="5"/>
      <c r="K80" s="5"/>
      <c r="L80" s="5"/>
      <c r="M80" s="5"/>
      <c r="N80" s="5"/>
      <c r="O80" s="5"/>
      <c r="P80" s="5"/>
      <c r="Q80" s="5"/>
      <c r="R80" s="5"/>
      <c r="S80" s="5"/>
      <c r="T80" s="5"/>
      <c r="U80" s="5"/>
    </row>
    <row r="81" ht="14.25" customHeight="1">
      <c r="A81" s="5"/>
      <c r="B81" s="5"/>
      <c r="C81" s="5"/>
      <c r="D81" s="5"/>
      <c r="E81" s="5"/>
      <c r="F81" s="5"/>
      <c r="G81" s="5"/>
      <c r="H81" s="5"/>
      <c r="I81" s="5"/>
      <c r="J81" s="5"/>
      <c r="K81" s="5"/>
      <c r="L81" s="5"/>
      <c r="M81" s="5"/>
      <c r="N81" s="5"/>
      <c r="O81" s="5"/>
      <c r="P81" s="5"/>
      <c r="Q81" s="5"/>
      <c r="R81" s="5"/>
      <c r="S81" s="5"/>
      <c r="T81" s="5"/>
      <c r="U81" s="5"/>
    </row>
    <row r="82" ht="14.25" customHeight="1">
      <c r="A82" s="5"/>
      <c r="B82" s="5"/>
      <c r="C82" s="5"/>
      <c r="D82" s="5"/>
      <c r="E82" s="5"/>
      <c r="F82" s="5"/>
      <c r="G82" s="5"/>
      <c r="H82" s="5"/>
      <c r="I82" s="5"/>
      <c r="J82" s="5"/>
      <c r="K82" s="5"/>
      <c r="L82" s="5"/>
      <c r="M82" s="5"/>
      <c r="N82" s="5"/>
      <c r="O82" s="5"/>
      <c r="P82" s="5"/>
      <c r="Q82" s="5"/>
      <c r="R82" s="5"/>
      <c r="S82" s="5"/>
      <c r="T82" s="5"/>
      <c r="U82" s="5"/>
    </row>
    <row r="83" ht="14.25" customHeight="1">
      <c r="A83" s="5"/>
      <c r="B83" s="5"/>
      <c r="C83" s="5"/>
      <c r="D83" s="5"/>
      <c r="E83" s="5"/>
      <c r="F83" s="5"/>
      <c r="G83" s="5"/>
      <c r="H83" s="5"/>
      <c r="I83" s="5"/>
      <c r="J83" s="5"/>
      <c r="K83" s="5"/>
      <c r="L83" s="5"/>
      <c r="M83" s="5"/>
      <c r="N83" s="5"/>
      <c r="O83" s="5"/>
      <c r="P83" s="5"/>
      <c r="Q83" s="5"/>
      <c r="R83" s="5"/>
      <c r="S83" s="5"/>
      <c r="T83" s="5"/>
      <c r="U83" s="5"/>
    </row>
    <row r="84" ht="14.25" customHeight="1">
      <c r="A84" s="5"/>
      <c r="B84" s="5"/>
      <c r="C84" s="5"/>
      <c r="D84" s="5"/>
      <c r="E84" s="5"/>
      <c r="F84" s="5"/>
      <c r="G84" s="5"/>
      <c r="H84" s="5"/>
      <c r="I84" s="5"/>
      <c r="J84" s="5"/>
      <c r="K84" s="5"/>
      <c r="L84" s="5"/>
      <c r="M84" s="5"/>
      <c r="N84" s="5"/>
      <c r="O84" s="5"/>
      <c r="P84" s="5"/>
      <c r="Q84" s="5"/>
      <c r="R84" s="5"/>
      <c r="S84" s="5"/>
      <c r="T84" s="5"/>
      <c r="U84" s="5"/>
    </row>
    <row r="85" ht="14.25" customHeight="1">
      <c r="A85" s="5"/>
      <c r="B85" s="5"/>
      <c r="C85" s="5"/>
      <c r="D85" s="5"/>
      <c r="E85" s="5"/>
      <c r="F85" s="5"/>
      <c r="G85" s="5"/>
      <c r="H85" s="5"/>
      <c r="I85" s="5"/>
      <c r="J85" s="5"/>
      <c r="K85" s="5"/>
      <c r="L85" s="5"/>
      <c r="M85" s="5"/>
      <c r="N85" s="5"/>
      <c r="O85" s="5"/>
      <c r="P85" s="5"/>
      <c r="Q85" s="5"/>
      <c r="R85" s="5"/>
      <c r="S85" s="5"/>
      <c r="T85" s="5"/>
      <c r="U85" s="5"/>
    </row>
    <row r="86" ht="14.25" customHeight="1">
      <c r="A86" s="5"/>
      <c r="B86" s="5"/>
      <c r="C86" s="5"/>
      <c r="D86" s="5"/>
      <c r="E86" s="5"/>
      <c r="F86" s="5"/>
      <c r="G86" s="5"/>
      <c r="H86" s="5"/>
      <c r="I86" s="5"/>
      <c r="J86" s="5"/>
      <c r="K86" s="5"/>
      <c r="L86" s="5"/>
      <c r="M86" s="5"/>
      <c r="N86" s="5"/>
      <c r="O86" s="5"/>
      <c r="P86" s="5"/>
      <c r="Q86" s="5"/>
      <c r="R86" s="5"/>
      <c r="S86" s="5"/>
      <c r="T86" s="5"/>
      <c r="U86" s="5"/>
    </row>
    <row r="87" ht="14.25" customHeight="1">
      <c r="A87" s="5"/>
      <c r="B87" s="5"/>
      <c r="C87" s="5"/>
      <c r="D87" s="5"/>
      <c r="E87" s="5"/>
      <c r="F87" s="5"/>
      <c r="G87" s="5"/>
      <c r="H87" s="5"/>
      <c r="I87" s="5"/>
      <c r="J87" s="5"/>
      <c r="K87" s="5"/>
      <c r="L87" s="5"/>
      <c r="M87" s="5"/>
      <c r="N87" s="5"/>
      <c r="O87" s="5"/>
      <c r="P87" s="5"/>
      <c r="Q87" s="5"/>
      <c r="R87" s="5"/>
      <c r="S87" s="5"/>
      <c r="T87" s="5"/>
      <c r="U87" s="5"/>
    </row>
    <row r="88" ht="14.25" customHeight="1">
      <c r="A88" s="5"/>
      <c r="B88" s="5"/>
      <c r="C88" s="5"/>
      <c r="D88" s="5"/>
      <c r="E88" s="5"/>
      <c r="F88" s="5"/>
      <c r="G88" s="5"/>
      <c r="H88" s="5"/>
      <c r="I88" s="5"/>
      <c r="J88" s="5"/>
      <c r="K88" s="5"/>
      <c r="L88" s="5"/>
      <c r="M88" s="5"/>
      <c r="N88" s="5"/>
      <c r="O88" s="5"/>
      <c r="P88" s="5"/>
      <c r="Q88" s="5"/>
      <c r="R88" s="5"/>
      <c r="S88" s="5"/>
      <c r="T88" s="5"/>
      <c r="U88" s="5"/>
    </row>
    <row r="89" ht="14.25" customHeight="1">
      <c r="A89" s="5"/>
      <c r="B89" s="5"/>
      <c r="C89" s="5"/>
      <c r="D89" s="5"/>
      <c r="E89" s="5"/>
      <c r="F89" s="5"/>
      <c r="G89" s="5"/>
      <c r="H89" s="5"/>
      <c r="I89" s="5"/>
      <c r="J89" s="5"/>
      <c r="K89" s="5"/>
      <c r="L89" s="5"/>
      <c r="M89" s="5"/>
      <c r="N89" s="5"/>
      <c r="O89" s="5"/>
      <c r="P89" s="5"/>
      <c r="Q89" s="5"/>
      <c r="R89" s="5"/>
      <c r="S89" s="5"/>
      <c r="T89" s="5"/>
      <c r="U89" s="5"/>
    </row>
    <row r="90" ht="14.25" customHeight="1">
      <c r="A90" s="5"/>
      <c r="B90" s="5"/>
      <c r="C90" s="5"/>
      <c r="D90" s="5"/>
      <c r="E90" s="5"/>
      <c r="F90" s="5"/>
      <c r="G90" s="5"/>
      <c r="H90" s="5"/>
      <c r="I90" s="5"/>
      <c r="J90" s="5"/>
      <c r="K90" s="5"/>
      <c r="L90" s="5"/>
      <c r="M90" s="5"/>
      <c r="N90" s="5"/>
      <c r="O90" s="5"/>
      <c r="P90" s="5"/>
      <c r="Q90" s="5"/>
      <c r="R90" s="5"/>
      <c r="S90" s="5"/>
      <c r="T90" s="5"/>
      <c r="U90" s="5"/>
    </row>
    <row r="91" ht="14.25" customHeight="1">
      <c r="A91" s="5"/>
      <c r="B91" s="5"/>
      <c r="C91" s="5"/>
      <c r="D91" s="5"/>
      <c r="E91" s="5"/>
      <c r="F91" s="5"/>
      <c r="G91" s="5"/>
      <c r="H91" s="5"/>
      <c r="I91" s="5"/>
      <c r="J91" s="5"/>
      <c r="K91" s="5"/>
      <c r="L91" s="5"/>
      <c r="M91" s="5"/>
      <c r="N91" s="5"/>
      <c r="O91" s="5"/>
      <c r="P91" s="5"/>
      <c r="Q91" s="5"/>
      <c r="R91" s="5"/>
      <c r="S91" s="5"/>
      <c r="T91" s="5"/>
      <c r="U91" s="5"/>
    </row>
    <row r="92" ht="14.25" customHeight="1">
      <c r="A92" s="5"/>
      <c r="B92" s="5"/>
      <c r="C92" s="5"/>
      <c r="D92" s="5"/>
      <c r="E92" s="5"/>
      <c r="F92" s="5"/>
      <c r="G92" s="5"/>
      <c r="H92" s="5"/>
      <c r="I92" s="5"/>
      <c r="J92" s="5"/>
      <c r="K92" s="5"/>
      <c r="L92" s="5"/>
      <c r="M92" s="5"/>
      <c r="N92" s="5"/>
      <c r="O92" s="5"/>
      <c r="P92" s="5"/>
      <c r="Q92" s="5"/>
      <c r="R92" s="5"/>
      <c r="S92" s="5"/>
      <c r="T92" s="5"/>
      <c r="U92" s="5"/>
    </row>
    <row r="93" ht="14.25" customHeight="1">
      <c r="A93" s="5"/>
      <c r="B93" s="5"/>
      <c r="C93" s="5"/>
      <c r="D93" s="5"/>
      <c r="E93" s="5"/>
      <c r="F93" s="5"/>
      <c r="G93" s="5"/>
      <c r="H93" s="5"/>
      <c r="I93" s="5"/>
      <c r="J93" s="5"/>
      <c r="K93" s="5"/>
      <c r="L93" s="5"/>
      <c r="M93" s="5"/>
      <c r="N93" s="5"/>
      <c r="O93" s="5"/>
      <c r="P93" s="5"/>
      <c r="Q93" s="5"/>
      <c r="R93" s="5"/>
      <c r="S93" s="5"/>
      <c r="T93" s="5"/>
      <c r="U93" s="5"/>
    </row>
    <row r="94" ht="14.25" customHeight="1">
      <c r="A94" s="5"/>
      <c r="B94" s="5"/>
      <c r="C94" s="5"/>
      <c r="D94" s="5"/>
      <c r="E94" s="5"/>
      <c r="F94" s="5"/>
      <c r="G94" s="5"/>
      <c r="H94" s="5"/>
      <c r="I94" s="5"/>
      <c r="J94" s="5"/>
      <c r="K94" s="5"/>
      <c r="L94" s="5"/>
      <c r="M94" s="5"/>
      <c r="N94" s="5"/>
      <c r="O94" s="5"/>
      <c r="P94" s="5"/>
      <c r="Q94" s="5"/>
      <c r="R94" s="5"/>
      <c r="S94" s="5"/>
      <c r="T94" s="5"/>
      <c r="U94" s="5"/>
    </row>
    <row r="95" ht="14.25" customHeight="1">
      <c r="A95" s="5"/>
      <c r="B95" s="5"/>
      <c r="C95" s="5"/>
      <c r="D95" s="5"/>
      <c r="E95" s="5"/>
      <c r="F95" s="5"/>
      <c r="G95" s="5"/>
      <c r="H95" s="5"/>
      <c r="I95" s="5"/>
      <c r="J95" s="5"/>
      <c r="K95" s="5"/>
      <c r="L95" s="5"/>
      <c r="M95" s="5"/>
      <c r="N95" s="5"/>
      <c r="O95" s="5"/>
      <c r="P95" s="5"/>
      <c r="Q95" s="5"/>
      <c r="R95" s="5"/>
      <c r="S95" s="5"/>
      <c r="T95" s="5"/>
      <c r="U95" s="5"/>
    </row>
    <row r="96" ht="14.25" customHeight="1">
      <c r="A96" s="5"/>
      <c r="B96" s="5"/>
      <c r="C96" s="5"/>
      <c r="D96" s="5"/>
      <c r="E96" s="5"/>
      <c r="F96" s="5"/>
      <c r="G96" s="5"/>
      <c r="H96" s="5"/>
      <c r="I96" s="5"/>
      <c r="J96" s="5"/>
      <c r="K96" s="5"/>
      <c r="L96" s="5"/>
      <c r="M96" s="5"/>
      <c r="N96" s="5"/>
      <c r="O96" s="5"/>
      <c r="P96" s="5"/>
      <c r="Q96" s="5"/>
      <c r="R96" s="5"/>
      <c r="S96" s="5"/>
      <c r="T96" s="5"/>
      <c r="U96" s="5"/>
    </row>
    <row r="97" ht="14.25" customHeight="1">
      <c r="A97" s="5"/>
      <c r="B97" s="5"/>
      <c r="C97" s="5"/>
      <c r="D97" s="5"/>
      <c r="E97" s="5"/>
      <c r="F97" s="5"/>
      <c r="G97" s="5"/>
      <c r="H97" s="5"/>
      <c r="I97" s="5"/>
      <c r="J97" s="5"/>
      <c r="K97" s="5"/>
      <c r="L97" s="5"/>
      <c r="M97" s="5"/>
      <c r="N97" s="5"/>
      <c r="O97" s="5"/>
      <c r="P97" s="5"/>
      <c r="Q97" s="5"/>
      <c r="R97" s="5"/>
      <c r="S97" s="5"/>
      <c r="T97" s="5"/>
      <c r="U97" s="5"/>
    </row>
    <row r="98" ht="14.25" customHeight="1">
      <c r="A98" s="5"/>
      <c r="B98" s="5"/>
      <c r="C98" s="5"/>
      <c r="D98" s="5"/>
      <c r="E98" s="5"/>
      <c r="F98" s="5"/>
      <c r="G98" s="5"/>
      <c r="H98" s="5"/>
      <c r="I98" s="5"/>
      <c r="J98" s="5"/>
      <c r="K98" s="5"/>
      <c r="L98" s="5"/>
      <c r="M98" s="5"/>
      <c r="N98" s="5"/>
      <c r="O98" s="5"/>
      <c r="P98" s="5"/>
      <c r="Q98" s="5"/>
      <c r="R98" s="5"/>
      <c r="S98" s="5"/>
      <c r="T98" s="5"/>
      <c r="U98" s="5"/>
    </row>
    <row r="99" ht="14.25" customHeight="1">
      <c r="A99" s="5"/>
      <c r="B99" s="5"/>
      <c r="C99" s="5"/>
      <c r="D99" s="5"/>
      <c r="E99" s="5"/>
      <c r="F99" s="5"/>
      <c r="G99" s="5"/>
      <c r="H99" s="5"/>
      <c r="I99" s="5"/>
      <c r="J99" s="5"/>
      <c r="K99" s="5"/>
      <c r="L99" s="5"/>
      <c r="M99" s="5"/>
      <c r="N99" s="5"/>
      <c r="O99" s="5"/>
      <c r="P99" s="5"/>
      <c r="Q99" s="5"/>
      <c r="R99" s="5"/>
      <c r="S99" s="5"/>
      <c r="T99" s="5"/>
      <c r="U99" s="5"/>
    </row>
    <row r="100" ht="14.25" customHeight="1">
      <c r="A100" s="5"/>
      <c r="B100" s="5"/>
      <c r="C100" s="5"/>
      <c r="D100" s="5"/>
      <c r="E100" s="5"/>
      <c r="F100" s="5"/>
      <c r="G100" s="5"/>
      <c r="H100" s="5"/>
      <c r="I100" s="5"/>
      <c r="J100" s="5"/>
      <c r="K100" s="5"/>
      <c r="L100" s="5"/>
      <c r="M100" s="5"/>
      <c r="N100" s="5"/>
      <c r="O100" s="5"/>
      <c r="P100" s="5"/>
      <c r="Q100" s="5"/>
      <c r="R100" s="5"/>
      <c r="S100" s="5"/>
      <c r="T100" s="5"/>
      <c r="U100" s="5"/>
    </row>
    <row r="101" ht="14.25" customHeight="1">
      <c r="A101" s="5"/>
      <c r="B101" s="5"/>
      <c r="C101" s="5"/>
      <c r="D101" s="5"/>
      <c r="E101" s="5"/>
      <c r="F101" s="5"/>
      <c r="G101" s="5"/>
      <c r="H101" s="5"/>
      <c r="I101" s="5"/>
      <c r="J101" s="5"/>
      <c r="K101" s="5"/>
      <c r="L101" s="5"/>
      <c r="M101" s="5"/>
      <c r="N101" s="5"/>
      <c r="O101" s="5"/>
      <c r="P101" s="5"/>
      <c r="Q101" s="5"/>
      <c r="R101" s="5"/>
      <c r="S101" s="5"/>
      <c r="T101" s="5"/>
      <c r="U101" s="5"/>
    </row>
    <row r="102" ht="14.25" customHeight="1">
      <c r="A102" s="5"/>
      <c r="B102" s="5"/>
      <c r="C102" s="5"/>
      <c r="D102" s="5"/>
      <c r="E102" s="5"/>
      <c r="F102" s="5"/>
      <c r="G102" s="5"/>
      <c r="H102" s="5"/>
      <c r="I102" s="5"/>
      <c r="J102" s="5"/>
      <c r="K102" s="5"/>
      <c r="L102" s="5"/>
      <c r="M102" s="5"/>
      <c r="N102" s="5"/>
      <c r="O102" s="5"/>
      <c r="P102" s="5"/>
      <c r="Q102" s="5"/>
      <c r="R102" s="5"/>
      <c r="S102" s="5"/>
      <c r="T102" s="5"/>
      <c r="U102" s="5"/>
    </row>
    <row r="103" ht="14.25" customHeight="1">
      <c r="A103" s="5"/>
      <c r="B103" s="5"/>
      <c r="C103" s="5"/>
      <c r="D103" s="5"/>
      <c r="E103" s="5"/>
      <c r="F103" s="5"/>
      <c r="G103" s="5"/>
      <c r="H103" s="5"/>
      <c r="I103" s="5"/>
      <c r="J103" s="5"/>
      <c r="K103" s="5"/>
      <c r="L103" s="5"/>
      <c r="M103" s="5"/>
      <c r="N103" s="5"/>
      <c r="O103" s="5"/>
      <c r="P103" s="5"/>
      <c r="Q103" s="5"/>
      <c r="R103" s="5"/>
      <c r="S103" s="5"/>
      <c r="T103" s="5"/>
      <c r="U103" s="5"/>
    </row>
    <row r="104" ht="14.25" customHeight="1">
      <c r="A104" s="5"/>
      <c r="B104" s="5"/>
      <c r="C104" s="5"/>
      <c r="D104" s="5"/>
      <c r="E104" s="5"/>
      <c r="F104" s="5"/>
      <c r="G104" s="5"/>
      <c r="H104" s="5"/>
      <c r="I104" s="5"/>
      <c r="J104" s="5"/>
      <c r="K104" s="5"/>
      <c r="L104" s="5"/>
      <c r="M104" s="5"/>
      <c r="N104" s="5"/>
      <c r="O104" s="5"/>
      <c r="P104" s="5"/>
      <c r="Q104" s="5"/>
      <c r="R104" s="5"/>
      <c r="S104" s="5"/>
      <c r="T104" s="5"/>
      <c r="U104" s="5"/>
    </row>
    <row r="105" ht="14.25" customHeight="1">
      <c r="A105" s="5"/>
      <c r="B105" s="5"/>
      <c r="C105" s="5"/>
      <c r="D105" s="5"/>
      <c r="E105" s="5"/>
      <c r="F105" s="5"/>
      <c r="G105" s="5"/>
      <c r="H105" s="5"/>
      <c r="I105" s="5"/>
      <c r="J105" s="5"/>
      <c r="K105" s="5"/>
      <c r="L105" s="5"/>
      <c r="M105" s="5"/>
      <c r="N105" s="5"/>
      <c r="O105" s="5"/>
      <c r="P105" s="5"/>
      <c r="Q105" s="5"/>
      <c r="R105" s="5"/>
      <c r="S105" s="5"/>
      <c r="T105" s="5"/>
      <c r="U105" s="5"/>
    </row>
    <row r="106" ht="14.25" customHeight="1">
      <c r="A106" s="5"/>
      <c r="B106" s="5"/>
      <c r="C106" s="5"/>
      <c r="D106" s="5"/>
      <c r="E106" s="5"/>
      <c r="F106" s="5"/>
      <c r="G106" s="5"/>
      <c r="H106" s="5"/>
      <c r="I106" s="5"/>
      <c r="J106" s="5"/>
      <c r="K106" s="5"/>
      <c r="L106" s="5"/>
      <c r="M106" s="5"/>
      <c r="N106" s="5"/>
      <c r="O106" s="5"/>
      <c r="P106" s="5"/>
      <c r="Q106" s="5"/>
      <c r="R106" s="5"/>
      <c r="S106" s="5"/>
      <c r="T106" s="5"/>
      <c r="U106" s="5"/>
    </row>
    <row r="107" ht="14.25" customHeight="1">
      <c r="A107" s="5"/>
      <c r="B107" s="5"/>
      <c r="C107" s="5"/>
      <c r="D107" s="5"/>
      <c r="E107" s="5"/>
      <c r="F107" s="5"/>
      <c r="G107" s="5"/>
      <c r="H107" s="5"/>
      <c r="I107" s="5"/>
      <c r="J107" s="5"/>
      <c r="K107" s="5"/>
      <c r="L107" s="5"/>
      <c r="M107" s="5"/>
      <c r="N107" s="5"/>
      <c r="O107" s="5"/>
      <c r="P107" s="5"/>
      <c r="Q107" s="5"/>
      <c r="R107" s="5"/>
      <c r="S107" s="5"/>
      <c r="T107" s="5"/>
      <c r="U107" s="5"/>
    </row>
    <row r="108" ht="14.25" customHeight="1">
      <c r="A108" s="5"/>
      <c r="B108" s="5"/>
      <c r="C108" s="5"/>
      <c r="D108" s="5"/>
      <c r="E108" s="5"/>
      <c r="F108" s="5"/>
      <c r="G108" s="5"/>
      <c r="H108" s="5"/>
      <c r="I108" s="5"/>
      <c r="J108" s="5"/>
      <c r="K108" s="5"/>
      <c r="L108" s="5"/>
      <c r="M108" s="5"/>
      <c r="N108" s="5"/>
      <c r="O108" s="5"/>
      <c r="P108" s="5"/>
      <c r="Q108" s="5"/>
      <c r="R108" s="5"/>
      <c r="S108" s="5"/>
      <c r="T108" s="5"/>
      <c r="U108" s="5"/>
    </row>
    <row r="109" ht="14.25" customHeight="1">
      <c r="A109" s="5"/>
      <c r="B109" s="5"/>
      <c r="C109" s="5"/>
      <c r="D109" s="5"/>
      <c r="E109" s="5"/>
      <c r="F109" s="5"/>
      <c r="G109" s="5"/>
      <c r="H109" s="5"/>
      <c r="I109" s="5"/>
      <c r="J109" s="5"/>
      <c r="K109" s="5"/>
      <c r="L109" s="5"/>
      <c r="M109" s="5"/>
      <c r="N109" s="5"/>
      <c r="O109" s="5"/>
      <c r="P109" s="5"/>
      <c r="Q109" s="5"/>
      <c r="R109" s="5"/>
      <c r="S109" s="5"/>
      <c r="T109" s="5"/>
      <c r="U109" s="5"/>
    </row>
    <row r="110" ht="14.25" customHeight="1">
      <c r="A110" s="5"/>
      <c r="B110" s="5"/>
      <c r="C110" s="5"/>
      <c r="D110" s="5"/>
      <c r="E110" s="5"/>
      <c r="F110" s="5"/>
      <c r="G110" s="5"/>
      <c r="H110" s="5"/>
      <c r="I110" s="5"/>
      <c r="J110" s="5"/>
      <c r="K110" s="5"/>
      <c r="L110" s="5"/>
      <c r="M110" s="5"/>
      <c r="N110" s="5"/>
      <c r="O110" s="5"/>
      <c r="P110" s="5"/>
      <c r="Q110" s="5"/>
      <c r="R110" s="5"/>
      <c r="S110" s="5"/>
      <c r="T110" s="5"/>
      <c r="U110" s="5"/>
    </row>
    <row r="111" ht="14.25" customHeight="1">
      <c r="A111" s="5"/>
      <c r="B111" s="5"/>
      <c r="C111" s="5"/>
      <c r="D111" s="5"/>
      <c r="E111" s="5"/>
      <c r="F111" s="5"/>
      <c r="G111" s="5"/>
      <c r="H111" s="5"/>
      <c r="I111" s="5"/>
      <c r="J111" s="5"/>
      <c r="K111" s="5"/>
      <c r="L111" s="5"/>
      <c r="M111" s="5"/>
      <c r="N111" s="5"/>
      <c r="O111" s="5"/>
      <c r="P111" s="5"/>
      <c r="Q111" s="5"/>
      <c r="R111" s="5"/>
      <c r="S111" s="5"/>
      <c r="T111" s="5"/>
      <c r="U111" s="5"/>
    </row>
    <row r="112" ht="14.25" customHeight="1">
      <c r="A112" s="5"/>
      <c r="B112" s="5"/>
      <c r="C112" s="5"/>
      <c r="D112" s="5"/>
      <c r="E112" s="5"/>
      <c r="F112" s="5"/>
      <c r="G112" s="5"/>
      <c r="H112" s="5"/>
      <c r="I112" s="5"/>
      <c r="J112" s="5"/>
      <c r="K112" s="5"/>
      <c r="L112" s="5"/>
      <c r="M112" s="5"/>
      <c r="N112" s="5"/>
      <c r="O112" s="5"/>
      <c r="P112" s="5"/>
      <c r="Q112" s="5"/>
      <c r="R112" s="5"/>
      <c r="S112" s="5"/>
      <c r="T112" s="5"/>
      <c r="U112" s="5"/>
    </row>
    <row r="113" ht="14.25" customHeight="1">
      <c r="A113" s="5"/>
      <c r="B113" s="5"/>
      <c r="C113" s="5"/>
      <c r="D113" s="5"/>
      <c r="E113" s="5"/>
      <c r="F113" s="5"/>
      <c r="G113" s="5"/>
      <c r="H113" s="5"/>
      <c r="I113" s="5"/>
      <c r="J113" s="5"/>
      <c r="K113" s="5"/>
      <c r="L113" s="5"/>
      <c r="M113" s="5"/>
      <c r="N113" s="5"/>
      <c r="O113" s="5"/>
      <c r="P113" s="5"/>
      <c r="Q113" s="5"/>
      <c r="R113" s="5"/>
      <c r="S113" s="5"/>
      <c r="T113" s="5"/>
      <c r="U113" s="5"/>
    </row>
    <row r="114" ht="14.25" customHeight="1">
      <c r="A114" s="5"/>
      <c r="B114" s="5"/>
      <c r="C114" s="5"/>
      <c r="D114" s="5"/>
      <c r="E114" s="5"/>
      <c r="F114" s="5"/>
      <c r="G114" s="5"/>
      <c r="H114" s="5"/>
      <c r="I114" s="5"/>
      <c r="J114" s="5"/>
      <c r="K114" s="5"/>
      <c r="L114" s="5"/>
      <c r="M114" s="5"/>
      <c r="N114" s="5"/>
      <c r="O114" s="5"/>
      <c r="P114" s="5"/>
      <c r="Q114" s="5"/>
      <c r="R114" s="5"/>
      <c r="S114" s="5"/>
      <c r="T114" s="5"/>
      <c r="U114" s="5"/>
    </row>
    <row r="115" ht="14.25" customHeight="1">
      <c r="A115" s="5"/>
      <c r="B115" s="5"/>
      <c r="C115" s="5"/>
      <c r="D115" s="5"/>
      <c r="E115" s="5"/>
      <c r="F115" s="5"/>
      <c r="G115" s="5"/>
      <c r="H115" s="5"/>
      <c r="I115" s="5"/>
      <c r="J115" s="5"/>
      <c r="K115" s="5"/>
      <c r="L115" s="5"/>
      <c r="M115" s="5"/>
      <c r="N115" s="5"/>
      <c r="O115" s="5"/>
      <c r="P115" s="5"/>
      <c r="Q115" s="5"/>
      <c r="R115" s="5"/>
      <c r="S115" s="5"/>
      <c r="T115" s="5"/>
      <c r="U115" s="5"/>
    </row>
    <row r="116" ht="14.25" customHeight="1">
      <c r="A116" s="5"/>
      <c r="B116" s="5"/>
      <c r="C116" s="5"/>
      <c r="D116" s="5"/>
      <c r="E116" s="5"/>
      <c r="F116" s="5"/>
      <c r="G116" s="5"/>
      <c r="H116" s="5"/>
      <c r="I116" s="5"/>
      <c r="J116" s="5"/>
      <c r="K116" s="5"/>
      <c r="L116" s="5"/>
      <c r="M116" s="5"/>
      <c r="N116" s="5"/>
      <c r="O116" s="5"/>
      <c r="P116" s="5"/>
      <c r="Q116" s="5"/>
      <c r="R116" s="5"/>
      <c r="S116" s="5"/>
      <c r="T116" s="5"/>
      <c r="U116" s="5"/>
    </row>
    <row r="117" ht="14.25" customHeight="1">
      <c r="A117" s="5"/>
      <c r="B117" s="5"/>
      <c r="C117" s="5"/>
      <c r="D117" s="5"/>
      <c r="E117" s="5"/>
      <c r="F117" s="5"/>
      <c r="G117" s="5"/>
      <c r="H117" s="5"/>
      <c r="I117" s="5"/>
      <c r="J117" s="5"/>
      <c r="K117" s="5"/>
      <c r="L117" s="5"/>
      <c r="M117" s="5"/>
      <c r="N117" s="5"/>
      <c r="O117" s="5"/>
      <c r="P117" s="5"/>
      <c r="Q117" s="5"/>
      <c r="R117" s="5"/>
      <c r="S117" s="5"/>
      <c r="T117" s="5"/>
      <c r="U117" s="5"/>
    </row>
    <row r="118" ht="14.25" customHeight="1">
      <c r="A118" s="5"/>
      <c r="B118" s="5"/>
      <c r="C118" s="5"/>
      <c r="D118" s="5"/>
      <c r="E118" s="5"/>
      <c r="F118" s="5"/>
      <c r="G118" s="5"/>
      <c r="H118" s="5"/>
      <c r="I118" s="5"/>
      <c r="J118" s="5"/>
      <c r="K118" s="5"/>
      <c r="L118" s="5"/>
      <c r="M118" s="5"/>
      <c r="N118" s="5"/>
      <c r="O118" s="5"/>
      <c r="P118" s="5"/>
      <c r="Q118" s="5"/>
      <c r="R118" s="5"/>
      <c r="S118" s="5"/>
      <c r="T118" s="5"/>
      <c r="U118" s="5"/>
    </row>
    <row r="119" ht="14.25" customHeight="1">
      <c r="A119" s="5"/>
      <c r="B119" s="5"/>
      <c r="C119" s="5"/>
      <c r="D119" s="5"/>
      <c r="E119" s="5"/>
      <c r="F119" s="5"/>
      <c r="G119" s="5"/>
      <c r="H119" s="5"/>
      <c r="I119" s="5"/>
      <c r="J119" s="5"/>
      <c r="K119" s="5"/>
      <c r="L119" s="5"/>
      <c r="M119" s="5"/>
      <c r="N119" s="5"/>
      <c r="O119" s="5"/>
      <c r="P119" s="5"/>
      <c r="Q119" s="5"/>
      <c r="R119" s="5"/>
      <c r="S119" s="5"/>
      <c r="T119" s="5"/>
      <c r="U119" s="5"/>
    </row>
    <row r="120" ht="14.25" customHeight="1">
      <c r="A120" s="5"/>
      <c r="B120" s="5"/>
      <c r="C120" s="5"/>
      <c r="D120" s="5"/>
      <c r="E120" s="5"/>
      <c r="F120" s="5"/>
      <c r="G120" s="5"/>
      <c r="H120" s="5"/>
      <c r="I120" s="5"/>
      <c r="J120" s="5"/>
      <c r="K120" s="5"/>
      <c r="L120" s="5"/>
      <c r="M120" s="5"/>
      <c r="N120" s="5"/>
      <c r="O120" s="5"/>
      <c r="P120" s="5"/>
      <c r="Q120" s="5"/>
      <c r="R120" s="5"/>
      <c r="S120" s="5"/>
      <c r="T120" s="5"/>
      <c r="U120" s="5"/>
    </row>
    <row r="121" ht="14.25" customHeight="1">
      <c r="A121" s="5"/>
      <c r="B121" s="5"/>
      <c r="C121" s="5"/>
      <c r="D121" s="5"/>
      <c r="E121" s="5"/>
      <c r="F121" s="5"/>
      <c r="G121" s="5"/>
      <c r="H121" s="5"/>
      <c r="I121" s="5"/>
      <c r="J121" s="5"/>
      <c r="K121" s="5"/>
      <c r="L121" s="5"/>
      <c r="M121" s="5"/>
      <c r="N121" s="5"/>
      <c r="O121" s="5"/>
      <c r="P121" s="5"/>
      <c r="Q121" s="5"/>
      <c r="R121" s="5"/>
      <c r="S121" s="5"/>
      <c r="T121" s="5"/>
      <c r="U121" s="5"/>
    </row>
    <row r="122" ht="14.25" customHeight="1">
      <c r="A122" s="5"/>
      <c r="B122" s="5"/>
      <c r="C122" s="5"/>
      <c r="D122" s="5"/>
      <c r="E122" s="5"/>
      <c r="F122" s="5"/>
      <c r="G122" s="5"/>
      <c r="H122" s="5"/>
      <c r="I122" s="5"/>
      <c r="J122" s="5"/>
      <c r="K122" s="5"/>
      <c r="L122" s="5"/>
      <c r="M122" s="5"/>
      <c r="N122" s="5"/>
      <c r="O122" s="5"/>
      <c r="P122" s="5"/>
      <c r="Q122" s="5"/>
      <c r="R122" s="5"/>
      <c r="S122" s="5"/>
      <c r="T122" s="5"/>
      <c r="U122" s="5"/>
    </row>
    <row r="123" ht="14.25" customHeight="1">
      <c r="A123" s="5"/>
      <c r="B123" s="5"/>
      <c r="C123" s="5"/>
      <c r="D123" s="5"/>
      <c r="E123" s="5"/>
      <c r="F123" s="5"/>
      <c r="G123" s="5"/>
      <c r="H123" s="5"/>
      <c r="I123" s="5"/>
      <c r="J123" s="5"/>
      <c r="K123" s="5"/>
      <c r="L123" s="5"/>
      <c r="M123" s="5"/>
      <c r="N123" s="5"/>
      <c r="O123" s="5"/>
      <c r="P123" s="5"/>
      <c r="Q123" s="5"/>
      <c r="R123" s="5"/>
      <c r="S123" s="5"/>
      <c r="T123" s="5"/>
      <c r="U123" s="5"/>
    </row>
    <row r="124" ht="14.25" customHeight="1">
      <c r="A124" s="5"/>
      <c r="B124" s="5"/>
      <c r="C124" s="5"/>
      <c r="D124" s="5"/>
      <c r="E124" s="5"/>
      <c r="F124" s="5"/>
      <c r="G124" s="5"/>
      <c r="H124" s="5"/>
      <c r="I124" s="5"/>
      <c r="J124" s="5"/>
      <c r="K124" s="5"/>
      <c r="L124" s="5"/>
      <c r="M124" s="5"/>
      <c r="N124" s="5"/>
      <c r="O124" s="5"/>
      <c r="P124" s="5"/>
      <c r="Q124" s="5"/>
      <c r="R124" s="5"/>
      <c r="S124" s="5"/>
      <c r="T124" s="5"/>
      <c r="U124" s="5"/>
    </row>
    <row r="125" ht="14.25" customHeight="1">
      <c r="A125" s="5"/>
      <c r="B125" s="5"/>
      <c r="C125" s="5"/>
      <c r="D125" s="5"/>
      <c r="E125" s="5"/>
      <c r="F125" s="5"/>
      <c r="G125" s="5"/>
      <c r="H125" s="5"/>
      <c r="I125" s="5"/>
      <c r="J125" s="5"/>
      <c r="K125" s="5"/>
      <c r="L125" s="5"/>
      <c r="M125" s="5"/>
      <c r="N125" s="5"/>
      <c r="O125" s="5"/>
      <c r="P125" s="5"/>
      <c r="Q125" s="5"/>
      <c r="R125" s="5"/>
      <c r="S125" s="5"/>
      <c r="T125" s="5"/>
      <c r="U125" s="5"/>
    </row>
    <row r="126" ht="14.25" customHeight="1">
      <c r="A126" s="5"/>
      <c r="B126" s="5"/>
      <c r="C126" s="5"/>
      <c r="D126" s="5"/>
      <c r="E126" s="5"/>
      <c r="F126" s="5"/>
      <c r="G126" s="5"/>
      <c r="H126" s="5"/>
      <c r="I126" s="5"/>
      <c r="J126" s="5"/>
      <c r="K126" s="5"/>
      <c r="L126" s="5"/>
      <c r="M126" s="5"/>
      <c r="N126" s="5"/>
      <c r="O126" s="5"/>
      <c r="P126" s="5"/>
      <c r="Q126" s="5"/>
      <c r="R126" s="5"/>
      <c r="S126" s="5"/>
      <c r="T126" s="5"/>
      <c r="U126" s="5"/>
    </row>
    <row r="127" ht="14.25" customHeight="1">
      <c r="A127" s="5"/>
      <c r="B127" s="5"/>
      <c r="C127" s="5"/>
      <c r="D127" s="5"/>
      <c r="E127" s="5"/>
      <c r="F127" s="5"/>
      <c r="G127" s="5"/>
      <c r="H127" s="5"/>
      <c r="I127" s="5"/>
      <c r="J127" s="5"/>
      <c r="K127" s="5"/>
      <c r="L127" s="5"/>
      <c r="M127" s="5"/>
      <c r="N127" s="5"/>
      <c r="O127" s="5"/>
      <c r="P127" s="5"/>
      <c r="Q127" s="5"/>
      <c r="R127" s="5"/>
      <c r="S127" s="5"/>
      <c r="T127" s="5"/>
      <c r="U127" s="5"/>
    </row>
    <row r="128" ht="14.25" customHeight="1">
      <c r="A128" s="5"/>
      <c r="B128" s="5"/>
      <c r="C128" s="5"/>
      <c r="D128" s="5"/>
      <c r="E128" s="5"/>
      <c r="F128" s="5"/>
      <c r="G128" s="5"/>
      <c r="H128" s="5"/>
      <c r="I128" s="5"/>
      <c r="J128" s="5"/>
      <c r="K128" s="5"/>
      <c r="L128" s="5"/>
      <c r="M128" s="5"/>
      <c r="N128" s="5"/>
      <c r="O128" s="5"/>
      <c r="P128" s="5"/>
      <c r="Q128" s="5"/>
      <c r="R128" s="5"/>
      <c r="S128" s="5"/>
      <c r="T128" s="5"/>
      <c r="U128" s="5"/>
    </row>
    <row r="129" ht="14.25" customHeight="1">
      <c r="A129" s="5"/>
      <c r="B129" s="5"/>
      <c r="C129" s="5"/>
      <c r="D129" s="5"/>
      <c r="E129" s="5"/>
      <c r="F129" s="5"/>
      <c r="G129" s="5"/>
      <c r="H129" s="5"/>
      <c r="I129" s="5"/>
      <c r="J129" s="5"/>
      <c r="K129" s="5"/>
      <c r="L129" s="5"/>
      <c r="M129" s="5"/>
      <c r="N129" s="5"/>
      <c r="O129" s="5"/>
      <c r="P129" s="5"/>
      <c r="Q129" s="5"/>
      <c r="R129" s="5"/>
      <c r="S129" s="5"/>
      <c r="T129" s="5"/>
      <c r="U129" s="5"/>
    </row>
    <row r="130" ht="14.25" customHeight="1">
      <c r="A130" s="5"/>
      <c r="B130" s="5"/>
      <c r="C130" s="5"/>
      <c r="D130" s="5"/>
      <c r="E130" s="5"/>
      <c r="F130" s="5"/>
      <c r="G130" s="5"/>
      <c r="H130" s="5"/>
      <c r="I130" s="5"/>
      <c r="J130" s="5"/>
      <c r="K130" s="5"/>
      <c r="L130" s="5"/>
      <c r="M130" s="5"/>
      <c r="N130" s="5"/>
      <c r="O130" s="5"/>
      <c r="P130" s="5"/>
      <c r="Q130" s="5"/>
      <c r="R130" s="5"/>
      <c r="S130" s="5"/>
      <c r="T130" s="5"/>
      <c r="U130" s="5"/>
    </row>
    <row r="131" ht="14.25" customHeight="1">
      <c r="A131" s="5"/>
      <c r="B131" s="5"/>
      <c r="C131" s="5"/>
      <c r="D131" s="5"/>
      <c r="E131" s="5"/>
      <c r="F131" s="5"/>
      <c r="G131" s="5"/>
      <c r="H131" s="5"/>
      <c r="I131" s="5"/>
      <c r="J131" s="5"/>
      <c r="K131" s="5"/>
      <c r="L131" s="5"/>
      <c r="M131" s="5"/>
      <c r="N131" s="5"/>
      <c r="O131" s="5"/>
      <c r="P131" s="5"/>
      <c r="Q131" s="5"/>
      <c r="R131" s="5"/>
      <c r="S131" s="5"/>
      <c r="T131" s="5"/>
      <c r="U131" s="5"/>
    </row>
    <row r="132" ht="14.25" customHeight="1">
      <c r="A132" s="5"/>
      <c r="B132" s="5"/>
      <c r="C132" s="5"/>
      <c r="D132" s="5"/>
      <c r="E132" s="5"/>
      <c r="F132" s="5"/>
      <c r="G132" s="5"/>
      <c r="H132" s="5"/>
      <c r="I132" s="5"/>
      <c r="J132" s="5"/>
      <c r="K132" s="5"/>
      <c r="L132" s="5"/>
      <c r="M132" s="5"/>
      <c r="N132" s="5"/>
      <c r="O132" s="5"/>
      <c r="P132" s="5"/>
      <c r="Q132" s="5"/>
      <c r="R132" s="5"/>
      <c r="S132" s="5"/>
      <c r="T132" s="5"/>
      <c r="U132" s="5"/>
    </row>
    <row r="133" ht="14.25" customHeight="1">
      <c r="A133" s="5"/>
      <c r="B133" s="5"/>
      <c r="C133" s="5"/>
      <c r="D133" s="5"/>
      <c r="E133" s="5"/>
      <c r="F133" s="5"/>
      <c r="G133" s="5"/>
      <c r="H133" s="5"/>
      <c r="I133" s="5"/>
      <c r="J133" s="5"/>
      <c r="K133" s="5"/>
      <c r="L133" s="5"/>
      <c r="M133" s="5"/>
      <c r="N133" s="5"/>
      <c r="O133" s="5"/>
      <c r="P133" s="5"/>
      <c r="Q133" s="5"/>
      <c r="R133" s="5"/>
      <c r="S133" s="5"/>
      <c r="T133" s="5"/>
      <c r="U133" s="5"/>
    </row>
    <row r="134" ht="14.25" customHeight="1">
      <c r="A134" s="5"/>
      <c r="B134" s="5"/>
      <c r="C134" s="5"/>
      <c r="D134" s="5"/>
      <c r="E134" s="5"/>
      <c r="F134" s="5"/>
      <c r="G134" s="5"/>
      <c r="H134" s="5"/>
      <c r="I134" s="5"/>
      <c r="J134" s="5"/>
      <c r="K134" s="5"/>
      <c r="L134" s="5"/>
      <c r="M134" s="5"/>
      <c r="N134" s="5"/>
      <c r="O134" s="5"/>
      <c r="P134" s="5"/>
      <c r="Q134" s="5"/>
      <c r="R134" s="5"/>
      <c r="S134" s="5"/>
      <c r="T134" s="5"/>
      <c r="U134" s="5"/>
    </row>
    <row r="135" ht="14.25" customHeight="1">
      <c r="A135" s="5"/>
      <c r="B135" s="5"/>
      <c r="C135" s="5"/>
      <c r="D135" s="5"/>
      <c r="E135" s="5"/>
      <c r="F135" s="5"/>
      <c r="G135" s="5"/>
      <c r="H135" s="5"/>
      <c r="I135" s="5"/>
      <c r="J135" s="5"/>
      <c r="K135" s="5"/>
      <c r="L135" s="5"/>
      <c r="M135" s="5"/>
      <c r="N135" s="5"/>
      <c r="O135" s="5"/>
      <c r="P135" s="5"/>
      <c r="Q135" s="5"/>
      <c r="R135" s="5"/>
      <c r="S135" s="5"/>
      <c r="T135" s="5"/>
      <c r="U135" s="5"/>
    </row>
    <row r="136" ht="14.25" customHeight="1">
      <c r="A136" s="5"/>
      <c r="B136" s="5"/>
      <c r="C136" s="5"/>
      <c r="D136" s="5"/>
      <c r="E136" s="5"/>
      <c r="F136" s="5"/>
      <c r="G136" s="5"/>
      <c r="H136" s="5"/>
      <c r="I136" s="5"/>
      <c r="J136" s="5"/>
      <c r="K136" s="5"/>
      <c r="L136" s="5"/>
      <c r="M136" s="5"/>
      <c r="N136" s="5"/>
      <c r="O136" s="5"/>
      <c r="P136" s="5"/>
      <c r="Q136" s="5"/>
      <c r="R136" s="5"/>
      <c r="S136" s="5"/>
      <c r="T136" s="5"/>
      <c r="U136" s="5"/>
    </row>
    <row r="137" ht="14.25" customHeight="1">
      <c r="A137" s="5"/>
      <c r="B137" s="5"/>
      <c r="C137" s="5"/>
      <c r="D137" s="5"/>
      <c r="E137" s="5"/>
      <c r="F137" s="5"/>
      <c r="G137" s="5"/>
      <c r="H137" s="5"/>
      <c r="I137" s="5"/>
      <c r="J137" s="5"/>
      <c r="K137" s="5"/>
      <c r="L137" s="5"/>
      <c r="M137" s="5"/>
      <c r="N137" s="5"/>
      <c r="O137" s="5"/>
      <c r="P137" s="5"/>
      <c r="Q137" s="5"/>
      <c r="R137" s="5"/>
      <c r="S137" s="5"/>
      <c r="T137" s="5"/>
      <c r="U137" s="5"/>
    </row>
    <row r="138" ht="14.25" customHeight="1">
      <c r="A138" s="5"/>
      <c r="B138" s="5"/>
      <c r="C138" s="5"/>
      <c r="D138" s="5"/>
      <c r="E138" s="5"/>
      <c r="F138" s="5"/>
      <c r="G138" s="5"/>
      <c r="H138" s="5"/>
      <c r="I138" s="5"/>
      <c r="J138" s="5"/>
      <c r="K138" s="5"/>
      <c r="L138" s="5"/>
      <c r="M138" s="5"/>
      <c r="N138" s="5"/>
      <c r="O138" s="5"/>
      <c r="P138" s="5"/>
      <c r="Q138" s="5"/>
      <c r="R138" s="5"/>
      <c r="S138" s="5"/>
      <c r="T138" s="5"/>
      <c r="U138" s="5"/>
    </row>
    <row r="139" ht="14.25" customHeight="1">
      <c r="A139" s="5"/>
      <c r="B139" s="5"/>
      <c r="C139" s="5"/>
      <c r="D139" s="5"/>
      <c r="E139" s="5"/>
      <c r="F139" s="5"/>
      <c r="G139" s="5"/>
      <c r="H139" s="5"/>
      <c r="I139" s="5"/>
      <c r="J139" s="5"/>
      <c r="K139" s="5"/>
      <c r="L139" s="5"/>
      <c r="M139" s="5"/>
      <c r="N139" s="5"/>
      <c r="O139" s="5"/>
      <c r="P139" s="5"/>
      <c r="Q139" s="5"/>
      <c r="R139" s="5"/>
      <c r="S139" s="5"/>
      <c r="T139" s="5"/>
      <c r="U139" s="5"/>
    </row>
    <row r="140" ht="14.25" customHeight="1">
      <c r="A140" s="5"/>
      <c r="B140" s="5"/>
      <c r="C140" s="5"/>
      <c r="D140" s="5"/>
      <c r="E140" s="5"/>
      <c r="F140" s="5"/>
      <c r="G140" s="5"/>
      <c r="H140" s="5"/>
      <c r="I140" s="5"/>
      <c r="J140" s="5"/>
      <c r="K140" s="5"/>
      <c r="L140" s="5"/>
      <c r="M140" s="5"/>
      <c r="N140" s="5"/>
      <c r="O140" s="5"/>
      <c r="P140" s="5"/>
      <c r="Q140" s="5"/>
      <c r="R140" s="5"/>
      <c r="S140" s="5"/>
      <c r="T140" s="5"/>
      <c r="U140" s="5"/>
    </row>
    <row r="141" ht="14.25" customHeight="1">
      <c r="A141" s="5"/>
      <c r="B141" s="5"/>
      <c r="C141" s="5"/>
      <c r="D141" s="5"/>
      <c r="E141" s="5"/>
      <c r="F141" s="5"/>
      <c r="G141" s="5"/>
      <c r="H141" s="5"/>
      <c r="I141" s="5"/>
      <c r="J141" s="5"/>
      <c r="K141" s="5"/>
      <c r="L141" s="5"/>
      <c r="M141" s="5"/>
      <c r="N141" s="5"/>
      <c r="O141" s="5"/>
      <c r="P141" s="5"/>
      <c r="Q141" s="5"/>
      <c r="R141" s="5"/>
      <c r="S141" s="5"/>
      <c r="T141" s="5"/>
      <c r="U141" s="5"/>
    </row>
    <row r="142" ht="14.25" customHeight="1">
      <c r="A142" s="5"/>
      <c r="B142" s="5"/>
      <c r="C142" s="5"/>
      <c r="D142" s="5"/>
      <c r="E142" s="5"/>
      <c r="F142" s="5"/>
      <c r="G142" s="5"/>
      <c r="H142" s="5"/>
      <c r="I142" s="5"/>
      <c r="J142" s="5"/>
      <c r="K142" s="5"/>
      <c r="L142" s="5"/>
      <c r="M142" s="5"/>
      <c r="N142" s="5"/>
      <c r="O142" s="5"/>
      <c r="P142" s="5"/>
      <c r="Q142" s="5"/>
      <c r="R142" s="5"/>
      <c r="S142" s="5"/>
      <c r="T142" s="5"/>
      <c r="U142" s="5"/>
    </row>
    <row r="143" ht="14.25" customHeight="1">
      <c r="A143" s="5"/>
      <c r="B143" s="5"/>
      <c r="C143" s="5"/>
      <c r="D143" s="5"/>
      <c r="E143" s="5"/>
      <c r="F143" s="5"/>
      <c r="G143" s="5"/>
      <c r="H143" s="5"/>
      <c r="I143" s="5"/>
      <c r="J143" s="5"/>
      <c r="K143" s="5"/>
      <c r="L143" s="5"/>
      <c r="M143" s="5"/>
      <c r="N143" s="5"/>
      <c r="O143" s="5"/>
      <c r="P143" s="5"/>
      <c r="Q143" s="5"/>
      <c r="R143" s="5"/>
      <c r="S143" s="5"/>
      <c r="T143" s="5"/>
      <c r="U143" s="5"/>
    </row>
    <row r="144" ht="14.25" customHeight="1">
      <c r="A144" s="5"/>
      <c r="B144" s="5"/>
      <c r="C144" s="5"/>
      <c r="D144" s="5"/>
      <c r="E144" s="5"/>
      <c r="F144" s="5"/>
      <c r="G144" s="5"/>
      <c r="H144" s="5"/>
      <c r="I144" s="5"/>
      <c r="J144" s="5"/>
      <c r="K144" s="5"/>
      <c r="L144" s="5"/>
      <c r="M144" s="5"/>
      <c r="N144" s="5"/>
      <c r="O144" s="5"/>
      <c r="P144" s="5"/>
      <c r="Q144" s="5"/>
      <c r="R144" s="5"/>
      <c r="S144" s="5"/>
      <c r="T144" s="5"/>
      <c r="U144" s="5"/>
    </row>
    <row r="145" ht="14.25" customHeight="1">
      <c r="A145" s="5"/>
      <c r="B145" s="5"/>
      <c r="C145" s="5"/>
      <c r="D145" s="5"/>
      <c r="E145" s="5"/>
      <c r="F145" s="5"/>
      <c r="G145" s="5"/>
      <c r="H145" s="5"/>
      <c r="I145" s="5"/>
      <c r="J145" s="5"/>
      <c r="K145" s="5"/>
      <c r="L145" s="5"/>
      <c r="M145" s="5"/>
      <c r="N145" s="5"/>
      <c r="O145" s="5"/>
      <c r="P145" s="5"/>
      <c r="Q145" s="5"/>
      <c r="R145" s="5"/>
      <c r="S145" s="5"/>
      <c r="T145" s="5"/>
      <c r="U145" s="5"/>
    </row>
    <row r="146" ht="14.25" customHeight="1">
      <c r="A146" s="5"/>
      <c r="B146" s="5"/>
      <c r="C146" s="5"/>
      <c r="D146" s="5"/>
      <c r="E146" s="5"/>
      <c r="F146" s="5"/>
      <c r="G146" s="5"/>
      <c r="H146" s="5"/>
      <c r="I146" s="5"/>
      <c r="J146" s="5"/>
      <c r="K146" s="5"/>
      <c r="L146" s="5"/>
      <c r="M146" s="5"/>
      <c r="N146" s="5"/>
      <c r="O146" s="5"/>
      <c r="P146" s="5"/>
      <c r="Q146" s="5"/>
      <c r="R146" s="5"/>
      <c r="S146" s="5"/>
      <c r="T146" s="5"/>
      <c r="U146" s="5"/>
    </row>
    <row r="147" ht="14.25" customHeight="1">
      <c r="A147" s="5"/>
      <c r="B147" s="5"/>
      <c r="C147" s="5"/>
      <c r="D147" s="5"/>
      <c r="E147" s="5"/>
      <c r="F147" s="5"/>
      <c r="G147" s="5"/>
      <c r="H147" s="5"/>
      <c r="I147" s="5"/>
      <c r="J147" s="5"/>
      <c r="K147" s="5"/>
      <c r="L147" s="5"/>
      <c r="M147" s="5"/>
      <c r="N147" s="5"/>
      <c r="O147" s="5"/>
      <c r="P147" s="5"/>
      <c r="Q147" s="5"/>
      <c r="R147" s="5"/>
      <c r="S147" s="5"/>
      <c r="T147" s="5"/>
      <c r="U147" s="5"/>
    </row>
    <row r="148" ht="14.25" customHeight="1">
      <c r="A148" s="5"/>
      <c r="B148" s="5"/>
      <c r="C148" s="5"/>
      <c r="D148" s="5"/>
      <c r="E148" s="5"/>
      <c r="F148" s="5"/>
      <c r="G148" s="5"/>
      <c r="H148" s="5"/>
      <c r="I148" s="5"/>
      <c r="J148" s="5"/>
      <c r="K148" s="5"/>
      <c r="L148" s="5"/>
      <c r="M148" s="5"/>
      <c r="N148" s="5"/>
      <c r="O148" s="5"/>
      <c r="P148" s="5"/>
      <c r="Q148" s="5"/>
      <c r="R148" s="5"/>
      <c r="S148" s="5"/>
      <c r="T148" s="5"/>
      <c r="U148" s="5"/>
    </row>
    <row r="149" ht="14.25" customHeight="1">
      <c r="A149" s="5"/>
      <c r="B149" s="5"/>
      <c r="C149" s="5"/>
      <c r="D149" s="5"/>
      <c r="E149" s="5"/>
      <c r="F149" s="5"/>
      <c r="G149" s="5"/>
      <c r="H149" s="5"/>
      <c r="I149" s="5"/>
      <c r="J149" s="5"/>
      <c r="K149" s="5"/>
      <c r="L149" s="5"/>
      <c r="M149" s="5"/>
      <c r="N149" s="5"/>
      <c r="O149" s="5"/>
      <c r="P149" s="5"/>
      <c r="Q149" s="5"/>
      <c r="R149" s="5"/>
      <c r="S149" s="5"/>
      <c r="T149" s="5"/>
      <c r="U149" s="5"/>
    </row>
    <row r="150" ht="14.25" customHeight="1">
      <c r="A150" s="5"/>
      <c r="B150" s="5"/>
      <c r="C150" s="5"/>
      <c r="D150" s="5"/>
      <c r="E150" s="5"/>
      <c r="F150" s="5"/>
      <c r="G150" s="5"/>
      <c r="H150" s="5"/>
      <c r="I150" s="5"/>
      <c r="J150" s="5"/>
      <c r="K150" s="5"/>
      <c r="L150" s="5"/>
      <c r="M150" s="5"/>
      <c r="N150" s="5"/>
      <c r="O150" s="5"/>
      <c r="P150" s="5"/>
      <c r="Q150" s="5"/>
      <c r="R150" s="5"/>
      <c r="S150" s="5"/>
      <c r="T150" s="5"/>
      <c r="U150" s="5"/>
    </row>
    <row r="151" ht="14.25" customHeight="1">
      <c r="A151" s="5"/>
      <c r="B151" s="5"/>
      <c r="C151" s="5"/>
      <c r="D151" s="5"/>
      <c r="E151" s="5"/>
      <c r="F151" s="5"/>
      <c r="G151" s="5"/>
      <c r="H151" s="5"/>
      <c r="I151" s="5"/>
      <c r="J151" s="5"/>
      <c r="K151" s="5"/>
      <c r="L151" s="5"/>
      <c r="M151" s="5"/>
      <c r="N151" s="5"/>
      <c r="O151" s="5"/>
      <c r="P151" s="5"/>
      <c r="Q151" s="5"/>
      <c r="R151" s="5"/>
      <c r="S151" s="5"/>
      <c r="T151" s="5"/>
      <c r="U151" s="5"/>
    </row>
    <row r="152" ht="14.25" customHeight="1">
      <c r="A152" s="5"/>
      <c r="B152" s="5"/>
      <c r="C152" s="5"/>
      <c r="D152" s="5"/>
      <c r="E152" s="5"/>
      <c r="F152" s="5"/>
      <c r="G152" s="5"/>
      <c r="H152" s="5"/>
      <c r="I152" s="5"/>
      <c r="J152" s="5"/>
      <c r="K152" s="5"/>
      <c r="L152" s="5"/>
      <c r="M152" s="5"/>
      <c r="N152" s="5"/>
      <c r="O152" s="5"/>
      <c r="P152" s="5"/>
      <c r="Q152" s="5"/>
      <c r="R152" s="5"/>
      <c r="S152" s="5"/>
      <c r="T152" s="5"/>
      <c r="U152" s="5"/>
    </row>
    <row r="153" ht="14.25" customHeight="1">
      <c r="A153" s="5"/>
      <c r="B153" s="5"/>
      <c r="C153" s="5"/>
      <c r="D153" s="5"/>
      <c r="E153" s="5"/>
      <c r="F153" s="5"/>
      <c r="G153" s="5"/>
      <c r="H153" s="5"/>
      <c r="I153" s="5"/>
      <c r="J153" s="5"/>
      <c r="K153" s="5"/>
      <c r="L153" s="5"/>
      <c r="M153" s="5"/>
      <c r="N153" s="5"/>
      <c r="O153" s="5"/>
      <c r="P153" s="5"/>
      <c r="Q153" s="5"/>
      <c r="R153" s="5"/>
      <c r="S153" s="5"/>
      <c r="T153" s="5"/>
      <c r="U153" s="5"/>
    </row>
    <row r="154" ht="14.25" customHeight="1">
      <c r="A154" s="5"/>
      <c r="B154" s="5"/>
      <c r="C154" s="5"/>
      <c r="D154" s="5"/>
      <c r="E154" s="5"/>
      <c r="F154" s="5"/>
      <c r="G154" s="5"/>
      <c r="H154" s="5"/>
      <c r="I154" s="5"/>
      <c r="J154" s="5"/>
      <c r="K154" s="5"/>
      <c r="L154" s="5"/>
      <c r="M154" s="5"/>
      <c r="N154" s="5"/>
      <c r="O154" s="5"/>
      <c r="P154" s="5"/>
      <c r="Q154" s="5"/>
      <c r="R154" s="5"/>
      <c r="S154" s="5"/>
      <c r="T154" s="5"/>
      <c r="U154" s="5"/>
    </row>
    <row r="155" ht="14.25" customHeight="1">
      <c r="A155" s="5"/>
      <c r="B155" s="5"/>
      <c r="C155" s="5"/>
      <c r="D155" s="5"/>
      <c r="E155" s="5"/>
      <c r="F155" s="5"/>
      <c r="G155" s="5"/>
      <c r="H155" s="5"/>
      <c r="I155" s="5"/>
      <c r="J155" s="5"/>
      <c r="K155" s="5"/>
      <c r="L155" s="5"/>
      <c r="M155" s="5"/>
      <c r="N155" s="5"/>
      <c r="O155" s="5"/>
      <c r="P155" s="5"/>
      <c r="Q155" s="5"/>
      <c r="R155" s="5"/>
      <c r="S155" s="5"/>
      <c r="T155" s="5"/>
      <c r="U155" s="5"/>
    </row>
    <row r="156" ht="14.25" customHeight="1">
      <c r="A156" s="5"/>
      <c r="B156" s="5"/>
      <c r="C156" s="5"/>
      <c r="D156" s="5"/>
      <c r="E156" s="5"/>
      <c r="F156" s="5"/>
      <c r="G156" s="5"/>
      <c r="H156" s="5"/>
      <c r="I156" s="5"/>
      <c r="J156" s="5"/>
      <c r="K156" s="5"/>
      <c r="L156" s="5"/>
      <c r="M156" s="5"/>
      <c r="N156" s="5"/>
      <c r="O156" s="5"/>
      <c r="P156" s="5"/>
      <c r="Q156" s="5"/>
      <c r="R156" s="5"/>
      <c r="S156" s="5"/>
      <c r="T156" s="5"/>
      <c r="U156" s="5"/>
    </row>
    <row r="157" ht="14.25" customHeight="1">
      <c r="A157" s="5"/>
      <c r="B157" s="5"/>
      <c r="C157" s="5"/>
      <c r="D157" s="5"/>
      <c r="E157" s="5"/>
      <c r="F157" s="5"/>
      <c r="G157" s="5"/>
      <c r="H157" s="5"/>
      <c r="I157" s="5"/>
      <c r="J157" s="5"/>
      <c r="K157" s="5"/>
      <c r="L157" s="5"/>
      <c r="M157" s="5"/>
      <c r="N157" s="5"/>
      <c r="O157" s="5"/>
      <c r="P157" s="5"/>
      <c r="Q157" s="5"/>
      <c r="R157" s="5"/>
      <c r="S157" s="5"/>
      <c r="T157" s="5"/>
      <c r="U157" s="5"/>
    </row>
    <row r="158" ht="14.25" customHeight="1">
      <c r="A158" s="5"/>
      <c r="B158" s="5"/>
      <c r="C158" s="5"/>
      <c r="D158" s="5"/>
      <c r="E158" s="5"/>
      <c r="F158" s="5"/>
      <c r="G158" s="5"/>
      <c r="H158" s="5"/>
      <c r="I158" s="5"/>
      <c r="J158" s="5"/>
      <c r="K158" s="5"/>
      <c r="L158" s="5"/>
      <c r="M158" s="5"/>
      <c r="N158" s="5"/>
      <c r="O158" s="5"/>
      <c r="P158" s="5"/>
      <c r="Q158" s="5"/>
      <c r="R158" s="5"/>
      <c r="S158" s="5"/>
      <c r="T158" s="5"/>
      <c r="U158" s="5"/>
    </row>
    <row r="159" ht="14.25" customHeight="1">
      <c r="A159" s="5"/>
      <c r="B159" s="5"/>
      <c r="C159" s="5"/>
      <c r="D159" s="5"/>
      <c r="E159" s="5"/>
      <c r="F159" s="5"/>
      <c r="G159" s="5"/>
      <c r="H159" s="5"/>
      <c r="I159" s="5"/>
      <c r="J159" s="5"/>
      <c r="K159" s="5"/>
      <c r="L159" s="5"/>
      <c r="M159" s="5"/>
      <c r="N159" s="5"/>
      <c r="O159" s="5"/>
      <c r="P159" s="5"/>
      <c r="Q159" s="5"/>
      <c r="R159" s="5"/>
      <c r="S159" s="5"/>
      <c r="T159" s="5"/>
      <c r="U159" s="5"/>
    </row>
    <row r="160" ht="14.25" customHeight="1">
      <c r="A160" s="5"/>
      <c r="B160" s="5"/>
      <c r="C160" s="5"/>
      <c r="D160" s="5"/>
      <c r="E160" s="5"/>
      <c r="F160" s="5"/>
      <c r="G160" s="5"/>
      <c r="H160" s="5"/>
      <c r="I160" s="5"/>
      <c r="J160" s="5"/>
      <c r="K160" s="5"/>
      <c r="L160" s="5"/>
      <c r="M160" s="5"/>
      <c r="N160" s="5"/>
      <c r="O160" s="5"/>
      <c r="P160" s="5"/>
      <c r="Q160" s="5"/>
      <c r="R160" s="5"/>
      <c r="S160" s="5"/>
      <c r="T160" s="5"/>
      <c r="U160" s="5"/>
    </row>
    <row r="161" ht="14.25" customHeight="1">
      <c r="A161" s="5"/>
      <c r="B161" s="5"/>
      <c r="C161" s="5"/>
      <c r="D161" s="5"/>
      <c r="E161" s="5"/>
      <c r="F161" s="5"/>
      <c r="G161" s="5"/>
      <c r="H161" s="5"/>
      <c r="I161" s="5"/>
      <c r="J161" s="5"/>
      <c r="K161" s="5"/>
      <c r="L161" s="5"/>
      <c r="M161" s="5"/>
      <c r="N161" s="5"/>
      <c r="O161" s="5"/>
      <c r="P161" s="5"/>
      <c r="Q161" s="5"/>
      <c r="R161" s="5"/>
      <c r="S161" s="5"/>
      <c r="T161" s="5"/>
      <c r="U161" s="5"/>
    </row>
    <row r="162" ht="14.25" customHeight="1">
      <c r="A162" s="5"/>
      <c r="B162" s="5"/>
      <c r="C162" s="5"/>
      <c r="D162" s="5"/>
      <c r="E162" s="5"/>
      <c r="F162" s="5"/>
      <c r="G162" s="5"/>
      <c r="H162" s="5"/>
      <c r="I162" s="5"/>
      <c r="J162" s="5"/>
      <c r="K162" s="5"/>
      <c r="L162" s="5"/>
      <c r="M162" s="5"/>
      <c r="N162" s="5"/>
      <c r="O162" s="5"/>
      <c r="P162" s="5"/>
      <c r="Q162" s="5"/>
      <c r="R162" s="5"/>
      <c r="S162" s="5"/>
      <c r="T162" s="5"/>
      <c r="U162" s="5"/>
    </row>
    <row r="163" ht="14.25" customHeight="1">
      <c r="A163" s="5"/>
      <c r="B163" s="5"/>
      <c r="C163" s="5"/>
      <c r="D163" s="5"/>
      <c r="E163" s="5"/>
      <c r="F163" s="5"/>
      <c r="G163" s="5"/>
      <c r="H163" s="5"/>
      <c r="I163" s="5"/>
      <c r="J163" s="5"/>
      <c r="K163" s="5"/>
      <c r="L163" s="5"/>
      <c r="M163" s="5"/>
      <c r="N163" s="5"/>
      <c r="O163" s="5"/>
      <c r="P163" s="5"/>
      <c r="Q163" s="5"/>
      <c r="R163" s="5"/>
      <c r="S163" s="5"/>
      <c r="T163" s="5"/>
      <c r="U163" s="5"/>
    </row>
    <row r="164" ht="14.25" customHeight="1">
      <c r="A164" s="5"/>
      <c r="B164" s="5"/>
      <c r="C164" s="5"/>
      <c r="D164" s="5"/>
      <c r="E164" s="5"/>
      <c r="F164" s="5"/>
      <c r="G164" s="5"/>
      <c r="H164" s="5"/>
      <c r="I164" s="5"/>
      <c r="J164" s="5"/>
      <c r="K164" s="5"/>
      <c r="L164" s="5"/>
      <c r="M164" s="5"/>
      <c r="N164" s="5"/>
      <c r="O164" s="5"/>
      <c r="P164" s="5"/>
      <c r="Q164" s="5"/>
      <c r="R164" s="5"/>
      <c r="S164" s="5"/>
      <c r="T164" s="5"/>
      <c r="U164" s="5"/>
    </row>
    <row r="165" ht="14.25" customHeight="1">
      <c r="A165" s="5"/>
      <c r="B165" s="5"/>
      <c r="C165" s="5"/>
      <c r="D165" s="5"/>
      <c r="E165" s="5"/>
      <c r="F165" s="5"/>
      <c r="G165" s="5"/>
      <c r="H165" s="5"/>
      <c r="I165" s="5"/>
      <c r="J165" s="5"/>
      <c r="K165" s="5"/>
      <c r="L165" s="5"/>
      <c r="M165" s="5"/>
      <c r="N165" s="5"/>
      <c r="O165" s="5"/>
      <c r="P165" s="5"/>
      <c r="Q165" s="5"/>
      <c r="R165" s="5"/>
      <c r="S165" s="5"/>
      <c r="T165" s="5"/>
      <c r="U165" s="5"/>
    </row>
    <row r="166" ht="14.25" customHeight="1">
      <c r="A166" s="5"/>
      <c r="B166" s="5"/>
      <c r="C166" s="5"/>
      <c r="D166" s="5"/>
      <c r="E166" s="5"/>
      <c r="F166" s="5"/>
      <c r="G166" s="5"/>
      <c r="H166" s="5"/>
      <c r="I166" s="5"/>
      <c r="J166" s="5"/>
      <c r="K166" s="5"/>
      <c r="L166" s="5"/>
      <c r="M166" s="5"/>
      <c r="N166" s="5"/>
      <c r="O166" s="5"/>
      <c r="P166" s="5"/>
      <c r="Q166" s="5"/>
      <c r="R166" s="5"/>
      <c r="S166" s="5"/>
      <c r="T166" s="5"/>
      <c r="U166" s="5"/>
    </row>
    <row r="167" ht="14.25" customHeight="1">
      <c r="A167" s="5"/>
      <c r="B167" s="5"/>
      <c r="C167" s="5"/>
      <c r="D167" s="5"/>
      <c r="E167" s="5"/>
      <c r="F167" s="5"/>
      <c r="G167" s="5"/>
      <c r="H167" s="5"/>
      <c r="I167" s="5"/>
      <c r="J167" s="5"/>
      <c r="K167" s="5"/>
      <c r="L167" s="5"/>
      <c r="M167" s="5"/>
      <c r="N167" s="5"/>
      <c r="O167" s="5"/>
      <c r="P167" s="5"/>
      <c r="Q167" s="5"/>
      <c r="R167" s="5"/>
      <c r="S167" s="5"/>
      <c r="T167" s="5"/>
      <c r="U167" s="5"/>
    </row>
    <row r="168" ht="14.25" customHeight="1">
      <c r="A168" s="5"/>
      <c r="B168" s="5"/>
      <c r="C168" s="5"/>
      <c r="D168" s="5"/>
      <c r="E168" s="5"/>
      <c r="F168" s="5"/>
      <c r="G168" s="5"/>
      <c r="H168" s="5"/>
      <c r="I168" s="5"/>
      <c r="J168" s="5"/>
      <c r="K168" s="5"/>
      <c r="L168" s="5"/>
      <c r="M168" s="5"/>
      <c r="N168" s="5"/>
      <c r="O168" s="5"/>
      <c r="P168" s="5"/>
      <c r="Q168" s="5"/>
      <c r="R168" s="5"/>
      <c r="S168" s="5"/>
      <c r="T168" s="5"/>
      <c r="U168" s="5"/>
    </row>
    <row r="169" ht="14.25" customHeight="1">
      <c r="A169" s="5"/>
      <c r="B169" s="5"/>
      <c r="C169" s="5"/>
      <c r="D169" s="5"/>
      <c r="E169" s="5"/>
      <c r="F169" s="5"/>
      <c r="G169" s="5"/>
      <c r="H169" s="5"/>
      <c r="I169" s="5"/>
      <c r="J169" s="5"/>
      <c r="K169" s="5"/>
      <c r="L169" s="5"/>
      <c r="M169" s="5"/>
      <c r="N169" s="5"/>
      <c r="O169" s="5"/>
      <c r="P169" s="5"/>
      <c r="Q169" s="5"/>
      <c r="R169" s="5"/>
      <c r="S169" s="5"/>
      <c r="T169" s="5"/>
      <c r="U169" s="5"/>
    </row>
    <row r="170" ht="14.25" customHeight="1">
      <c r="A170" s="5"/>
      <c r="B170" s="5"/>
      <c r="C170" s="5"/>
      <c r="D170" s="5"/>
      <c r="E170" s="5"/>
      <c r="F170" s="5"/>
      <c r="G170" s="5"/>
      <c r="H170" s="5"/>
      <c r="I170" s="5"/>
      <c r="J170" s="5"/>
      <c r="K170" s="5"/>
      <c r="L170" s="5"/>
      <c r="M170" s="5"/>
      <c r="N170" s="5"/>
      <c r="O170" s="5"/>
      <c r="P170" s="5"/>
      <c r="Q170" s="5"/>
      <c r="R170" s="5"/>
      <c r="S170" s="5"/>
      <c r="T170" s="5"/>
      <c r="U170" s="5"/>
    </row>
    <row r="171" ht="14.25" customHeight="1">
      <c r="A171" s="5"/>
      <c r="B171" s="5"/>
      <c r="C171" s="5"/>
      <c r="D171" s="5"/>
      <c r="E171" s="5"/>
      <c r="F171" s="5"/>
      <c r="G171" s="5"/>
      <c r="H171" s="5"/>
      <c r="I171" s="5"/>
      <c r="J171" s="5"/>
      <c r="K171" s="5"/>
      <c r="L171" s="5"/>
      <c r="M171" s="5"/>
      <c r="N171" s="5"/>
      <c r="O171" s="5"/>
      <c r="P171" s="5"/>
      <c r="Q171" s="5"/>
      <c r="R171" s="5"/>
      <c r="S171" s="5"/>
      <c r="T171" s="5"/>
      <c r="U171" s="5"/>
    </row>
    <row r="172" ht="14.25" customHeight="1">
      <c r="A172" s="5"/>
      <c r="B172" s="5"/>
      <c r="C172" s="5"/>
      <c r="D172" s="5"/>
      <c r="E172" s="5"/>
      <c r="F172" s="5"/>
      <c r="G172" s="5"/>
      <c r="H172" s="5"/>
      <c r="I172" s="5"/>
      <c r="J172" s="5"/>
      <c r="K172" s="5"/>
      <c r="L172" s="5"/>
      <c r="M172" s="5"/>
      <c r="N172" s="5"/>
      <c r="O172" s="5"/>
      <c r="P172" s="5"/>
      <c r="Q172" s="5"/>
      <c r="R172" s="5"/>
      <c r="S172" s="5"/>
      <c r="T172" s="5"/>
      <c r="U172" s="5"/>
    </row>
    <row r="173" ht="14.25" customHeight="1">
      <c r="A173" s="5"/>
      <c r="B173" s="5"/>
      <c r="C173" s="5"/>
      <c r="D173" s="5"/>
      <c r="E173" s="5"/>
      <c r="F173" s="5"/>
      <c r="G173" s="5"/>
      <c r="H173" s="5"/>
      <c r="I173" s="5"/>
      <c r="J173" s="5"/>
      <c r="K173" s="5"/>
      <c r="L173" s="5"/>
      <c r="M173" s="5"/>
      <c r="N173" s="5"/>
      <c r="O173" s="5"/>
      <c r="P173" s="5"/>
      <c r="Q173" s="5"/>
      <c r="R173" s="5"/>
      <c r="S173" s="5"/>
      <c r="T173" s="5"/>
      <c r="U173" s="5"/>
    </row>
    <row r="174" ht="14.25" customHeight="1">
      <c r="A174" s="5"/>
      <c r="B174" s="5"/>
      <c r="C174" s="5"/>
      <c r="D174" s="5"/>
      <c r="E174" s="5"/>
      <c r="F174" s="5"/>
      <c r="G174" s="5"/>
      <c r="H174" s="5"/>
      <c r="I174" s="5"/>
      <c r="J174" s="5"/>
      <c r="K174" s="5"/>
      <c r="L174" s="5"/>
      <c r="M174" s="5"/>
      <c r="N174" s="5"/>
      <c r="O174" s="5"/>
      <c r="P174" s="5"/>
      <c r="Q174" s="5"/>
      <c r="R174" s="5"/>
      <c r="S174" s="5"/>
      <c r="T174" s="5"/>
      <c r="U174" s="5"/>
    </row>
    <row r="175" ht="14.25" customHeight="1">
      <c r="A175" s="5"/>
      <c r="B175" s="5"/>
      <c r="C175" s="5"/>
      <c r="D175" s="5"/>
      <c r="E175" s="5"/>
      <c r="F175" s="5"/>
      <c r="G175" s="5"/>
      <c r="H175" s="5"/>
      <c r="I175" s="5"/>
      <c r="J175" s="5"/>
      <c r="K175" s="5"/>
      <c r="L175" s="5"/>
      <c r="M175" s="5"/>
      <c r="N175" s="5"/>
      <c r="O175" s="5"/>
      <c r="P175" s="5"/>
      <c r="Q175" s="5"/>
      <c r="R175" s="5"/>
      <c r="S175" s="5"/>
      <c r="T175" s="5"/>
      <c r="U175" s="5"/>
    </row>
    <row r="176" ht="14.25" customHeight="1">
      <c r="A176" s="5"/>
      <c r="B176" s="5"/>
      <c r="C176" s="5"/>
      <c r="D176" s="5"/>
      <c r="E176" s="5"/>
      <c r="F176" s="5"/>
      <c r="G176" s="5"/>
      <c r="H176" s="5"/>
      <c r="I176" s="5"/>
      <c r="J176" s="5"/>
      <c r="K176" s="5"/>
      <c r="L176" s="5"/>
      <c r="M176" s="5"/>
      <c r="N176" s="5"/>
      <c r="O176" s="5"/>
      <c r="P176" s="5"/>
      <c r="Q176" s="5"/>
      <c r="R176" s="5"/>
      <c r="S176" s="5"/>
      <c r="T176" s="5"/>
      <c r="U176" s="5"/>
    </row>
    <row r="177" ht="14.25" customHeight="1">
      <c r="A177" s="5"/>
      <c r="B177" s="5"/>
      <c r="C177" s="5"/>
      <c r="D177" s="5"/>
      <c r="E177" s="5"/>
      <c r="F177" s="5"/>
      <c r="G177" s="5"/>
      <c r="H177" s="5"/>
      <c r="I177" s="5"/>
      <c r="J177" s="5"/>
      <c r="K177" s="5"/>
      <c r="L177" s="5"/>
      <c r="M177" s="5"/>
      <c r="N177" s="5"/>
      <c r="O177" s="5"/>
      <c r="P177" s="5"/>
      <c r="Q177" s="5"/>
      <c r="R177" s="5"/>
      <c r="S177" s="5"/>
      <c r="T177" s="5"/>
      <c r="U177" s="5"/>
    </row>
    <row r="178" ht="14.25" customHeight="1">
      <c r="A178" s="5"/>
      <c r="B178" s="5"/>
      <c r="C178" s="5"/>
      <c r="D178" s="5"/>
      <c r="E178" s="5"/>
      <c r="F178" s="5"/>
      <c r="G178" s="5"/>
      <c r="H178" s="5"/>
      <c r="I178" s="5"/>
      <c r="J178" s="5"/>
      <c r="K178" s="5"/>
      <c r="L178" s="5"/>
      <c r="M178" s="5"/>
      <c r="N178" s="5"/>
      <c r="O178" s="5"/>
      <c r="P178" s="5"/>
      <c r="Q178" s="5"/>
      <c r="R178" s="5"/>
      <c r="S178" s="5"/>
      <c r="T178" s="5"/>
      <c r="U178" s="5"/>
    </row>
    <row r="179" ht="14.25" customHeight="1">
      <c r="A179" s="5"/>
      <c r="B179" s="5"/>
      <c r="C179" s="5"/>
      <c r="D179" s="5"/>
      <c r="E179" s="5"/>
      <c r="F179" s="5"/>
      <c r="G179" s="5"/>
      <c r="H179" s="5"/>
      <c r="I179" s="5"/>
      <c r="J179" s="5"/>
      <c r="K179" s="5"/>
      <c r="L179" s="5"/>
      <c r="M179" s="5"/>
      <c r="N179" s="5"/>
      <c r="O179" s="5"/>
      <c r="P179" s="5"/>
      <c r="Q179" s="5"/>
      <c r="R179" s="5"/>
      <c r="S179" s="5"/>
      <c r="T179" s="5"/>
      <c r="U179" s="5"/>
    </row>
    <row r="180" ht="14.25" customHeight="1">
      <c r="A180" s="5"/>
      <c r="B180" s="5"/>
      <c r="C180" s="5"/>
      <c r="D180" s="5"/>
      <c r="E180" s="5"/>
      <c r="F180" s="5"/>
      <c r="G180" s="5"/>
      <c r="H180" s="5"/>
      <c r="I180" s="5"/>
      <c r="J180" s="5"/>
      <c r="K180" s="5"/>
      <c r="L180" s="5"/>
      <c r="M180" s="5"/>
      <c r="N180" s="5"/>
      <c r="O180" s="5"/>
      <c r="P180" s="5"/>
      <c r="Q180" s="5"/>
      <c r="R180" s="5"/>
      <c r="S180" s="5"/>
      <c r="T180" s="5"/>
      <c r="U180" s="5"/>
    </row>
    <row r="181" ht="14.25" customHeight="1">
      <c r="A181" s="5"/>
      <c r="B181" s="5"/>
      <c r="C181" s="5"/>
      <c r="D181" s="5"/>
      <c r="E181" s="5"/>
      <c r="F181" s="5"/>
      <c r="G181" s="5"/>
      <c r="H181" s="5"/>
      <c r="I181" s="5"/>
      <c r="J181" s="5"/>
      <c r="K181" s="5"/>
      <c r="L181" s="5"/>
      <c r="M181" s="5"/>
      <c r="N181" s="5"/>
      <c r="O181" s="5"/>
      <c r="P181" s="5"/>
      <c r="Q181" s="5"/>
      <c r="R181" s="5"/>
      <c r="S181" s="5"/>
      <c r="T181" s="5"/>
      <c r="U181" s="5"/>
    </row>
    <row r="182" ht="14.25" customHeight="1">
      <c r="A182" s="5"/>
      <c r="B182" s="5"/>
      <c r="C182" s="5"/>
      <c r="D182" s="5"/>
      <c r="E182" s="5"/>
      <c r="F182" s="5"/>
      <c r="G182" s="5"/>
      <c r="H182" s="5"/>
      <c r="I182" s="5"/>
      <c r="J182" s="5"/>
      <c r="K182" s="5"/>
      <c r="L182" s="5"/>
      <c r="M182" s="5"/>
      <c r="N182" s="5"/>
      <c r="O182" s="5"/>
      <c r="P182" s="5"/>
      <c r="Q182" s="5"/>
      <c r="R182" s="5"/>
      <c r="S182" s="5"/>
      <c r="T182" s="5"/>
      <c r="U182" s="5"/>
    </row>
    <row r="183" ht="14.25" customHeight="1">
      <c r="A183" s="5"/>
      <c r="B183" s="5"/>
      <c r="C183" s="5"/>
      <c r="D183" s="5"/>
      <c r="E183" s="5"/>
      <c r="F183" s="5"/>
      <c r="G183" s="5"/>
      <c r="H183" s="5"/>
      <c r="I183" s="5"/>
      <c r="J183" s="5"/>
      <c r="K183" s="5"/>
      <c r="L183" s="5"/>
      <c r="M183" s="5"/>
      <c r="N183" s="5"/>
      <c r="O183" s="5"/>
      <c r="P183" s="5"/>
      <c r="Q183" s="5"/>
      <c r="R183" s="5"/>
      <c r="S183" s="5"/>
      <c r="T183" s="5"/>
      <c r="U183" s="5"/>
    </row>
    <row r="184" ht="14.25" customHeight="1">
      <c r="A184" s="5"/>
      <c r="B184" s="5"/>
      <c r="C184" s="5"/>
      <c r="D184" s="5"/>
      <c r="E184" s="5"/>
      <c r="F184" s="5"/>
      <c r="G184" s="5"/>
      <c r="H184" s="5"/>
      <c r="I184" s="5"/>
      <c r="J184" s="5"/>
      <c r="K184" s="5"/>
      <c r="L184" s="5"/>
      <c r="M184" s="5"/>
      <c r="N184" s="5"/>
      <c r="O184" s="5"/>
      <c r="P184" s="5"/>
      <c r="Q184" s="5"/>
      <c r="R184" s="5"/>
      <c r="S184" s="5"/>
      <c r="T184" s="5"/>
      <c r="U184" s="5"/>
    </row>
    <row r="185" ht="14.25" customHeight="1">
      <c r="A185" s="5"/>
      <c r="B185" s="5"/>
      <c r="C185" s="5"/>
      <c r="D185" s="5"/>
      <c r="E185" s="5"/>
      <c r="F185" s="5"/>
      <c r="G185" s="5"/>
      <c r="H185" s="5"/>
      <c r="I185" s="5"/>
      <c r="J185" s="5"/>
      <c r="K185" s="5"/>
      <c r="L185" s="5"/>
      <c r="M185" s="5"/>
      <c r="N185" s="5"/>
      <c r="O185" s="5"/>
      <c r="P185" s="5"/>
      <c r="Q185" s="5"/>
      <c r="R185" s="5"/>
      <c r="S185" s="5"/>
      <c r="T185" s="5"/>
      <c r="U185" s="5"/>
    </row>
    <row r="186" ht="14.25" customHeight="1">
      <c r="A186" s="5"/>
      <c r="B186" s="5"/>
      <c r="C186" s="5"/>
      <c r="D186" s="5"/>
      <c r="E186" s="5"/>
      <c r="F186" s="5"/>
      <c r="G186" s="5"/>
      <c r="H186" s="5"/>
      <c r="I186" s="5"/>
      <c r="J186" s="5"/>
      <c r="K186" s="5"/>
      <c r="L186" s="5"/>
      <c r="M186" s="5"/>
      <c r="N186" s="5"/>
      <c r="O186" s="5"/>
      <c r="P186" s="5"/>
      <c r="Q186" s="5"/>
      <c r="R186" s="5"/>
      <c r="S186" s="5"/>
      <c r="T186" s="5"/>
      <c r="U186" s="5"/>
    </row>
    <row r="187" ht="14.25" customHeight="1">
      <c r="A187" s="5"/>
      <c r="B187" s="5"/>
      <c r="C187" s="5"/>
      <c r="D187" s="5"/>
      <c r="E187" s="5"/>
      <c r="F187" s="5"/>
      <c r="G187" s="5"/>
      <c r="H187" s="5"/>
      <c r="I187" s="5"/>
      <c r="J187" s="5"/>
      <c r="K187" s="5"/>
      <c r="L187" s="5"/>
      <c r="M187" s="5"/>
      <c r="N187" s="5"/>
      <c r="O187" s="5"/>
      <c r="P187" s="5"/>
      <c r="Q187" s="5"/>
      <c r="R187" s="5"/>
      <c r="S187" s="5"/>
      <c r="T187" s="5"/>
      <c r="U187" s="5"/>
    </row>
    <row r="188" ht="14.25" customHeight="1">
      <c r="A188" s="5"/>
      <c r="B188" s="5"/>
      <c r="C188" s="5"/>
      <c r="D188" s="5"/>
      <c r="E188" s="5"/>
      <c r="F188" s="5"/>
      <c r="G188" s="5"/>
      <c r="H188" s="5"/>
      <c r="I188" s="5"/>
      <c r="J188" s="5"/>
      <c r="K188" s="5"/>
      <c r="L188" s="5"/>
      <c r="M188" s="5"/>
      <c r="N188" s="5"/>
      <c r="O188" s="5"/>
      <c r="P188" s="5"/>
      <c r="Q188" s="5"/>
      <c r="R188" s="5"/>
      <c r="S188" s="5"/>
      <c r="T188" s="5"/>
      <c r="U188" s="5"/>
    </row>
    <row r="189" ht="14.25" customHeight="1">
      <c r="A189" s="5"/>
      <c r="B189" s="5"/>
      <c r="C189" s="5"/>
      <c r="D189" s="5"/>
      <c r="E189" s="5"/>
      <c r="F189" s="5"/>
      <c r="G189" s="5"/>
      <c r="H189" s="5"/>
      <c r="I189" s="5"/>
      <c r="J189" s="5"/>
      <c r="K189" s="5"/>
      <c r="L189" s="5"/>
      <c r="M189" s="5"/>
      <c r="N189" s="5"/>
      <c r="O189" s="5"/>
      <c r="P189" s="5"/>
      <c r="Q189" s="5"/>
      <c r="R189" s="5"/>
      <c r="S189" s="5"/>
      <c r="T189" s="5"/>
      <c r="U189" s="5"/>
    </row>
    <row r="190" ht="14.25" customHeight="1">
      <c r="A190" s="5"/>
      <c r="B190" s="5"/>
      <c r="C190" s="5"/>
      <c r="D190" s="5"/>
      <c r="E190" s="5"/>
      <c r="F190" s="5"/>
      <c r="G190" s="5"/>
      <c r="H190" s="5"/>
      <c r="I190" s="5"/>
      <c r="J190" s="5"/>
      <c r="K190" s="5"/>
      <c r="L190" s="5"/>
      <c r="M190" s="5"/>
      <c r="N190" s="5"/>
      <c r="O190" s="5"/>
      <c r="P190" s="5"/>
      <c r="Q190" s="5"/>
      <c r="R190" s="5"/>
      <c r="S190" s="5"/>
      <c r="T190" s="5"/>
      <c r="U190" s="5"/>
    </row>
    <row r="191" ht="14.25" customHeight="1">
      <c r="A191" s="5"/>
      <c r="B191" s="5"/>
      <c r="C191" s="5"/>
      <c r="D191" s="5"/>
      <c r="E191" s="5"/>
      <c r="F191" s="5"/>
      <c r="G191" s="5"/>
      <c r="H191" s="5"/>
      <c r="I191" s="5"/>
      <c r="J191" s="5"/>
      <c r="K191" s="5"/>
      <c r="L191" s="5"/>
      <c r="M191" s="5"/>
      <c r="N191" s="5"/>
      <c r="O191" s="5"/>
      <c r="P191" s="5"/>
      <c r="Q191" s="5"/>
      <c r="R191" s="5"/>
      <c r="S191" s="5"/>
      <c r="T191" s="5"/>
      <c r="U191" s="5"/>
    </row>
    <row r="192" ht="14.25" customHeight="1">
      <c r="A192" s="5"/>
      <c r="B192" s="5"/>
      <c r="C192" s="5"/>
      <c r="D192" s="5"/>
      <c r="E192" s="5"/>
      <c r="F192" s="5"/>
      <c r="G192" s="5"/>
      <c r="H192" s="5"/>
      <c r="I192" s="5"/>
      <c r="J192" s="5"/>
      <c r="K192" s="5"/>
      <c r="L192" s="5"/>
      <c r="M192" s="5"/>
      <c r="N192" s="5"/>
      <c r="O192" s="5"/>
      <c r="P192" s="5"/>
      <c r="Q192" s="5"/>
      <c r="R192" s="5"/>
      <c r="S192" s="5"/>
      <c r="T192" s="5"/>
      <c r="U192" s="5"/>
    </row>
    <row r="193" ht="14.25" customHeight="1">
      <c r="A193" s="5"/>
      <c r="B193" s="5"/>
      <c r="C193" s="5"/>
      <c r="D193" s="5"/>
      <c r="E193" s="5"/>
      <c r="F193" s="5"/>
      <c r="G193" s="5"/>
      <c r="H193" s="5"/>
      <c r="I193" s="5"/>
      <c r="J193" s="5"/>
      <c r="K193" s="5"/>
      <c r="L193" s="5"/>
      <c r="M193" s="5"/>
      <c r="N193" s="5"/>
      <c r="O193" s="5"/>
      <c r="P193" s="5"/>
      <c r="Q193" s="5"/>
      <c r="R193" s="5"/>
      <c r="S193" s="5"/>
      <c r="T193" s="5"/>
      <c r="U193" s="5"/>
    </row>
    <row r="194" ht="14.25" customHeight="1">
      <c r="A194" s="5"/>
      <c r="B194" s="5"/>
      <c r="C194" s="5"/>
      <c r="D194" s="5"/>
      <c r="E194" s="5"/>
      <c r="F194" s="5"/>
      <c r="G194" s="5"/>
      <c r="H194" s="5"/>
      <c r="I194" s="5"/>
      <c r="J194" s="5"/>
      <c r="K194" s="5"/>
      <c r="L194" s="5"/>
      <c r="M194" s="5"/>
      <c r="N194" s="5"/>
      <c r="O194" s="5"/>
      <c r="P194" s="5"/>
      <c r="Q194" s="5"/>
      <c r="R194" s="5"/>
      <c r="S194" s="5"/>
      <c r="T194" s="5"/>
      <c r="U194" s="5"/>
    </row>
    <row r="195" ht="14.25" customHeight="1">
      <c r="A195" s="5"/>
      <c r="B195" s="5"/>
      <c r="C195" s="5"/>
      <c r="D195" s="5"/>
      <c r="E195" s="5"/>
      <c r="F195" s="5"/>
      <c r="G195" s="5"/>
      <c r="H195" s="5"/>
      <c r="I195" s="5"/>
      <c r="J195" s="5"/>
      <c r="K195" s="5"/>
      <c r="L195" s="5"/>
      <c r="M195" s="5"/>
      <c r="N195" s="5"/>
      <c r="O195" s="5"/>
      <c r="P195" s="5"/>
      <c r="Q195" s="5"/>
      <c r="R195" s="5"/>
      <c r="S195" s="5"/>
      <c r="T195" s="5"/>
      <c r="U195" s="5"/>
    </row>
    <row r="196" ht="14.25" customHeight="1">
      <c r="A196" s="5"/>
      <c r="B196" s="5"/>
      <c r="C196" s="5"/>
      <c r="D196" s="5"/>
      <c r="E196" s="5"/>
      <c r="F196" s="5"/>
      <c r="G196" s="5"/>
      <c r="H196" s="5"/>
      <c r="I196" s="5"/>
      <c r="J196" s="5"/>
      <c r="K196" s="5"/>
      <c r="L196" s="5"/>
      <c r="M196" s="5"/>
      <c r="N196" s="5"/>
      <c r="O196" s="5"/>
      <c r="P196" s="5"/>
      <c r="Q196" s="5"/>
      <c r="R196" s="5"/>
      <c r="S196" s="5"/>
      <c r="T196" s="5"/>
      <c r="U196" s="5"/>
    </row>
    <row r="197" ht="14.25" customHeight="1">
      <c r="A197" s="5"/>
      <c r="B197" s="5"/>
      <c r="C197" s="5"/>
      <c r="D197" s="5"/>
      <c r="E197" s="5"/>
      <c r="F197" s="5"/>
      <c r="G197" s="5"/>
      <c r="H197" s="5"/>
      <c r="I197" s="5"/>
      <c r="J197" s="5"/>
      <c r="K197" s="5"/>
      <c r="L197" s="5"/>
      <c r="M197" s="5"/>
      <c r="N197" s="5"/>
      <c r="O197" s="5"/>
      <c r="P197" s="5"/>
      <c r="Q197" s="5"/>
      <c r="R197" s="5"/>
      <c r="S197" s="5"/>
      <c r="T197" s="5"/>
      <c r="U197" s="5"/>
    </row>
    <row r="198" ht="14.25" customHeight="1">
      <c r="A198" s="5"/>
      <c r="B198" s="5"/>
      <c r="C198" s="5"/>
      <c r="D198" s="5"/>
      <c r="E198" s="5"/>
      <c r="F198" s="5"/>
      <c r="G198" s="5"/>
      <c r="H198" s="5"/>
      <c r="I198" s="5"/>
      <c r="J198" s="5"/>
      <c r="K198" s="5"/>
      <c r="L198" s="5"/>
      <c r="M198" s="5"/>
      <c r="N198" s="5"/>
      <c r="O198" s="5"/>
      <c r="P198" s="5"/>
      <c r="Q198" s="5"/>
      <c r="R198" s="5"/>
      <c r="S198" s="5"/>
      <c r="T198" s="5"/>
      <c r="U198" s="5"/>
    </row>
    <row r="199" ht="14.25" customHeight="1">
      <c r="A199" s="5"/>
      <c r="B199" s="5"/>
      <c r="C199" s="5"/>
      <c r="D199" s="5"/>
      <c r="E199" s="5"/>
      <c r="F199" s="5"/>
      <c r="G199" s="5"/>
      <c r="H199" s="5"/>
      <c r="I199" s="5"/>
      <c r="J199" s="5"/>
      <c r="K199" s="5"/>
      <c r="L199" s="5"/>
      <c r="M199" s="5"/>
      <c r="N199" s="5"/>
      <c r="O199" s="5"/>
      <c r="P199" s="5"/>
      <c r="Q199" s="5"/>
      <c r="R199" s="5"/>
      <c r="S199" s="5"/>
      <c r="T199" s="5"/>
      <c r="U199" s="5"/>
    </row>
    <row r="200" ht="14.25" customHeight="1">
      <c r="A200" s="5"/>
      <c r="B200" s="5"/>
      <c r="C200" s="5"/>
      <c r="D200" s="5"/>
      <c r="E200" s="5"/>
      <c r="F200" s="5"/>
      <c r="G200" s="5"/>
      <c r="H200" s="5"/>
      <c r="I200" s="5"/>
      <c r="J200" s="5"/>
      <c r="K200" s="5"/>
      <c r="L200" s="5"/>
      <c r="M200" s="5"/>
      <c r="N200" s="5"/>
      <c r="O200" s="5"/>
      <c r="P200" s="5"/>
      <c r="Q200" s="5"/>
      <c r="R200" s="5"/>
      <c r="S200" s="5"/>
      <c r="T200" s="5"/>
      <c r="U200" s="5"/>
    </row>
    <row r="201" ht="14.25" customHeight="1">
      <c r="A201" s="5"/>
      <c r="B201" s="5"/>
      <c r="C201" s="5"/>
      <c r="D201" s="5"/>
      <c r="E201" s="5"/>
      <c r="F201" s="5"/>
      <c r="G201" s="5"/>
      <c r="H201" s="5"/>
      <c r="I201" s="5"/>
      <c r="J201" s="5"/>
      <c r="K201" s="5"/>
      <c r="L201" s="5"/>
      <c r="M201" s="5"/>
      <c r="N201" s="5"/>
      <c r="O201" s="5"/>
      <c r="P201" s="5"/>
      <c r="Q201" s="5"/>
      <c r="R201" s="5"/>
      <c r="S201" s="5"/>
      <c r="T201" s="5"/>
      <c r="U201" s="5"/>
    </row>
    <row r="202" ht="14.25" customHeight="1">
      <c r="A202" s="5"/>
      <c r="B202" s="5"/>
      <c r="C202" s="5"/>
      <c r="D202" s="5"/>
      <c r="E202" s="5"/>
      <c r="F202" s="5"/>
      <c r="G202" s="5"/>
      <c r="H202" s="5"/>
      <c r="I202" s="5"/>
      <c r="J202" s="5"/>
      <c r="K202" s="5"/>
      <c r="L202" s="5"/>
      <c r="M202" s="5"/>
      <c r="N202" s="5"/>
      <c r="O202" s="5"/>
      <c r="P202" s="5"/>
      <c r="Q202" s="5"/>
      <c r="R202" s="5"/>
      <c r="S202" s="5"/>
      <c r="T202" s="5"/>
      <c r="U202" s="5"/>
    </row>
    <row r="203" ht="14.25" customHeight="1">
      <c r="A203" s="5"/>
      <c r="B203" s="5"/>
      <c r="C203" s="5"/>
      <c r="D203" s="5"/>
      <c r="E203" s="5"/>
      <c r="F203" s="5"/>
      <c r="G203" s="5"/>
      <c r="H203" s="5"/>
      <c r="I203" s="5"/>
      <c r="J203" s="5"/>
      <c r="K203" s="5"/>
      <c r="L203" s="5"/>
      <c r="M203" s="5"/>
      <c r="N203" s="5"/>
      <c r="O203" s="5"/>
      <c r="P203" s="5"/>
      <c r="Q203" s="5"/>
      <c r="R203" s="5"/>
      <c r="S203" s="5"/>
      <c r="T203" s="5"/>
      <c r="U203" s="5"/>
    </row>
    <row r="204" ht="14.25" customHeight="1">
      <c r="A204" s="5"/>
      <c r="B204" s="5"/>
      <c r="C204" s="5"/>
      <c r="D204" s="5"/>
      <c r="E204" s="5"/>
      <c r="F204" s="5"/>
      <c r="G204" s="5"/>
      <c r="H204" s="5"/>
      <c r="I204" s="5"/>
      <c r="J204" s="5"/>
      <c r="K204" s="5"/>
      <c r="L204" s="5"/>
      <c r="M204" s="5"/>
      <c r="N204" s="5"/>
      <c r="O204" s="5"/>
      <c r="P204" s="5"/>
      <c r="Q204" s="5"/>
      <c r="R204" s="5"/>
      <c r="S204" s="5"/>
      <c r="T204" s="5"/>
      <c r="U204" s="5"/>
    </row>
    <row r="205" ht="14.25" customHeight="1">
      <c r="A205" s="5"/>
      <c r="B205" s="5"/>
      <c r="C205" s="5"/>
      <c r="D205" s="5"/>
      <c r="E205" s="5"/>
      <c r="F205" s="5"/>
      <c r="G205" s="5"/>
      <c r="H205" s="5"/>
      <c r="I205" s="5"/>
      <c r="J205" s="5"/>
      <c r="K205" s="5"/>
      <c r="L205" s="5"/>
      <c r="M205" s="5"/>
      <c r="N205" s="5"/>
      <c r="O205" s="5"/>
      <c r="P205" s="5"/>
      <c r="Q205" s="5"/>
      <c r="R205" s="5"/>
      <c r="S205" s="5"/>
      <c r="T205" s="5"/>
      <c r="U205" s="5"/>
    </row>
    <row r="206" ht="14.25" customHeight="1">
      <c r="A206" s="5"/>
      <c r="B206" s="5"/>
      <c r="C206" s="5"/>
      <c r="D206" s="5"/>
      <c r="E206" s="5"/>
      <c r="F206" s="5"/>
      <c r="G206" s="5"/>
      <c r="H206" s="5"/>
      <c r="I206" s="5"/>
      <c r="J206" s="5"/>
      <c r="K206" s="5"/>
      <c r="L206" s="5"/>
      <c r="M206" s="5"/>
      <c r="N206" s="5"/>
      <c r="O206" s="5"/>
      <c r="P206" s="5"/>
      <c r="Q206" s="5"/>
      <c r="R206" s="5"/>
      <c r="S206" s="5"/>
      <c r="T206" s="5"/>
      <c r="U206" s="5"/>
    </row>
    <row r="207" ht="14.25" customHeight="1">
      <c r="A207" s="5"/>
      <c r="B207" s="5"/>
      <c r="C207" s="5"/>
      <c r="D207" s="5"/>
      <c r="E207" s="5"/>
      <c r="F207" s="5"/>
      <c r="G207" s="5"/>
      <c r="H207" s="5"/>
      <c r="I207" s="5"/>
      <c r="J207" s="5"/>
      <c r="K207" s="5"/>
      <c r="L207" s="5"/>
      <c r="M207" s="5"/>
      <c r="N207" s="5"/>
      <c r="O207" s="5"/>
      <c r="P207" s="5"/>
      <c r="Q207" s="5"/>
      <c r="R207" s="5"/>
      <c r="S207" s="5"/>
      <c r="T207" s="5"/>
      <c r="U207" s="5"/>
    </row>
    <row r="208" ht="14.25" customHeight="1">
      <c r="A208" s="5"/>
      <c r="B208" s="5"/>
      <c r="C208" s="5"/>
      <c r="D208" s="5"/>
      <c r="E208" s="5"/>
      <c r="F208" s="5"/>
      <c r="G208" s="5"/>
      <c r="H208" s="5"/>
      <c r="I208" s="5"/>
      <c r="J208" s="5"/>
      <c r="K208" s="5"/>
      <c r="L208" s="5"/>
      <c r="M208" s="5"/>
      <c r="N208" s="5"/>
      <c r="O208" s="5"/>
      <c r="P208" s="5"/>
      <c r="Q208" s="5"/>
      <c r="R208" s="5"/>
      <c r="S208" s="5"/>
      <c r="T208" s="5"/>
      <c r="U208" s="5"/>
    </row>
    <row r="209" ht="14.25" customHeight="1">
      <c r="A209" s="5"/>
      <c r="B209" s="5"/>
      <c r="C209" s="5"/>
      <c r="D209" s="5"/>
      <c r="E209" s="5"/>
      <c r="F209" s="5"/>
      <c r="G209" s="5"/>
      <c r="H209" s="5"/>
      <c r="I209" s="5"/>
      <c r="J209" s="5"/>
      <c r="K209" s="5"/>
      <c r="L209" s="5"/>
      <c r="M209" s="5"/>
      <c r="N209" s="5"/>
      <c r="O209" s="5"/>
      <c r="P209" s="5"/>
      <c r="Q209" s="5"/>
      <c r="R209" s="5"/>
      <c r="S209" s="5"/>
      <c r="T209" s="5"/>
      <c r="U209" s="5"/>
    </row>
    <row r="210" ht="14.25" customHeight="1">
      <c r="A210" s="5"/>
      <c r="B210" s="5"/>
      <c r="C210" s="5"/>
      <c r="D210" s="5"/>
      <c r="E210" s="5"/>
      <c r="F210" s="5"/>
      <c r="G210" s="5"/>
      <c r="H210" s="5"/>
      <c r="I210" s="5"/>
      <c r="J210" s="5"/>
      <c r="K210" s="5"/>
      <c r="L210" s="5"/>
      <c r="M210" s="5"/>
      <c r="N210" s="5"/>
      <c r="O210" s="5"/>
      <c r="P210" s="5"/>
      <c r="Q210" s="5"/>
      <c r="R210" s="5"/>
      <c r="S210" s="5"/>
      <c r="T210" s="5"/>
      <c r="U210" s="5"/>
    </row>
    <row r="211" ht="14.25" customHeight="1">
      <c r="A211" s="5"/>
      <c r="B211" s="5"/>
      <c r="C211" s="5"/>
      <c r="D211" s="5"/>
      <c r="E211" s="5"/>
      <c r="F211" s="5"/>
      <c r="G211" s="5"/>
      <c r="H211" s="5"/>
      <c r="I211" s="5"/>
      <c r="J211" s="5"/>
      <c r="K211" s="5"/>
      <c r="L211" s="5"/>
      <c r="M211" s="5"/>
      <c r="N211" s="5"/>
      <c r="O211" s="5"/>
      <c r="P211" s="5"/>
      <c r="Q211" s="5"/>
      <c r="R211" s="5"/>
      <c r="S211" s="5"/>
      <c r="T211" s="5"/>
      <c r="U211" s="5"/>
    </row>
    <row r="212" ht="14.25" customHeight="1">
      <c r="A212" s="5"/>
      <c r="B212" s="5"/>
      <c r="C212" s="5"/>
      <c r="D212" s="5"/>
      <c r="E212" s="5"/>
      <c r="F212" s="5"/>
      <c r="G212" s="5"/>
      <c r="H212" s="5"/>
      <c r="I212" s="5"/>
      <c r="J212" s="5"/>
      <c r="K212" s="5"/>
      <c r="L212" s="5"/>
      <c r="M212" s="5"/>
      <c r="N212" s="5"/>
      <c r="O212" s="5"/>
      <c r="P212" s="5"/>
      <c r="Q212" s="5"/>
      <c r="R212" s="5"/>
      <c r="S212" s="5"/>
      <c r="T212" s="5"/>
      <c r="U212" s="5"/>
    </row>
    <row r="213" ht="14.25" customHeight="1">
      <c r="A213" s="5"/>
      <c r="B213" s="5"/>
      <c r="C213" s="5"/>
      <c r="D213" s="5"/>
      <c r="E213" s="5"/>
      <c r="F213" s="5"/>
      <c r="G213" s="5"/>
      <c r="H213" s="5"/>
      <c r="I213" s="5"/>
      <c r="J213" s="5"/>
      <c r="K213" s="5"/>
      <c r="L213" s="5"/>
      <c r="M213" s="5"/>
      <c r="N213" s="5"/>
      <c r="O213" s="5"/>
      <c r="P213" s="5"/>
      <c r="Q213" s="5"/>
      <c r="R213" s="5"/>
      <c r="S213" s="5"/>
      <c r="T213" s="5"/>
      <c r="U213" s="5"/>
    </row>
    <row r="214" ht="14.25" customHeight="1">
      <c r="A214" s="5"/>
      <c r="B214" s="5"/>
      <c r="C214" s="5"/>
      <c r="D214" s="5"/>
      <c r="E214" s="5"/>
      <c r="F214" s="5"/>
      <c r="G214" s="5"/>
      <c r="H214" s="5"/>
      <c r="I214" s="5"/>
      <c r="J214" s="5"/>
      <c r="K214" s="5"/>
      <c r="L214" s="5"/>
      <c r="M214" s="5"/>
      <c r="N214" s="5"/>
      <c r="O214" s="5"/>
      <c r="P214" s="5"/>
      <c r="Q214" s="5"/>
      <c r="R214" s="5"/>
      <c r="S214" s="5"/>
      <c r="T214" s="5"/>
      <c r="U214" s="5"/>
    </row>
    <row r="215" ht="14.25" customHeight="1">
      <c r="A215" s="5"/>
      <c r="B215" s="5"/>
      <c r="C215" s="5"/>
      <c r="D215" s="5"/>
      <c r="E215" s="5"/>
      <c r="F215" s="5"/>
      <c r="G215" s="5"/>
      <c r="H215" s="5"/>
      <c r="I215" s="5"/>
      <c r="J215" s="5"/>
      <c r="K215" s="5"/>
      <c r="L215" s="5"/>
      <c r="M215" s="5"/>
      <c r="N215" s="5"/>
      <c r="O215" s="5"/>
      <c r="P215" s="5"/>
      <c r="Q215" s="5"/>
      <c r="R215" s="5"/>
      <c r="S215" s="5"/>
      <c r="T215" s="5"/>
      <c r="U215" s="5"/>
    </row>
    <row r="216" ht="14.25" customHeight="1">
      <c r="A216" s="5"/>
      <c r="B216" s="5"/>
      <c r="C216" s="5"/>
      <c r="D216" s="5"/>
      <c r="E216" s="5"/>
      <c r="F216" s="5"/>
      <c r="G216" s="5"/>
      <c r="H216" s="5"/>
      <c r="I216" s="5"/>
      <c r="J216" s="5"/>
      <c r="K216" s="5"/>
      <c r="L216" s="5"/>
      <c r="M216" s="5"/>
      <c r="N216" s="5"/>
      <c r="O216" s="5"/>
      <c r="P216" s="5"/>
      <c r="Q216" s="5"/>
      <c r="R216" s="5"/>
      <c r="S216" s="5"/>
      <c r="T216" s="5"/>
      <c r="U216" s="5"/>
    </row>
    <row r="217" ht="14.25" customHeight="1">
      <c r="A217" s="5"/>
      <c r="B217" s="5"/>
      <c r="C217" s="5"/>
      <c r="D217" s="5"/>
      <c r="E217" s="5"/>
      <c r="F217" s="5"/>
      <c r="G217" s="5"/>
      <c r="H217" s="5"/>
      <c r="I217" s="5"/>
      <c r="J217" s="5"/>
      <c r="K217" s="5"/>
      <c r="L217" s="5"/>
      <c r="M217" s="5"/>
      <c r="N217" s="5"/>
      <c r="O217" s="5"/>
      <c r="P217" s="5"/>
      <c r="Q217" s="5"/>
      <c r="R217" s="5"/>
      <c r="S217" s="5"/>
      <c r="T217" s="5"/>
      <c r="U217" s="5"/>
    </row>
    <row r="218" ht="14.25" customHeight="1">
      <c r="A218" s="5"/>
      <c r="B218" s="5"/>
      <c r="C218" s="5"/>
      <c r="D218" s="5"/>
      <c r="E218" s="5"/>
      <c r="F218" s="5"/>
      <c r="G218" s="5"/>
      <c r="H218" s="5"/>
      <c r="I218" s="5"/>
      <c r="J218" s="5"/>
      <c r="K218" s="5"/>
      <c r="L218" s="5"/>
      <c r="M218" s="5"/>
      <c r="N218" s="5"/>
      <c r="O218" s="5"/>
      <c r="P218" s="5"/>
      <c r="Q218" s="5"/>
      <c r="R218" s="5"/>
      <c r="S218" s="5"/>
      <c r="T218" s="5"/>
      <c r="U218" s="5"/>
    </row>
    <row r="219" ht="14.25" customHeight="1">
      <c r="A219" s="5"/>
      <c r="B219" s="5"/>
      <c r="C219" s="5"/>
      <c r="D219" s="5"/>
      <c r="E219" s="5"/>
      <c r="F219" s="5"/>
      <c r="G219" s="5"/>
      <c r="H219" s="5"/>
      <c r="I219" s="5"/>
      <c r="J219" s="5"/>
      <c r="K219" s="5"/>
      <c r="L219" s="5"/>
      <c r="M219" s="5"/>
      <c r="N219" s="5"/>
      <c r="O219" s="5"/>
      <c r="P219" s="5"/>
      <c r="Q219" s="5"/>
      <c r="R219" s="5"/>
      <c r="S219" s="5"/>
      <c r="T219" s="5"/>
      <c r="U219" s="5"/>
    </row>
    <row r="220" ht="14.25" customHeight="1">
      <c r="A220" s="5"/>
      <c r="B220" s="5"/>
      <c r="C220" s="5"/>
      <c r="D220" s="5"/>
      <c r="E220" s="5"/>
      <c r="F220" s="5"/>
      <c r="G220" s="5"/>
      <c r="H220" s="5"/>
      <c r="I220" s="5"/>
      <c r="J220" s="5"/>
      <c r="K220" s="5"/>
      <c r="L220" s="5"/>
      <c r="M220" s="5"/>
      <c r="N220" s="5"/>
      <c r="O220" s="5"/>
      <c r="P220" s="5"/>
      <c r="Q220" s="5"/>
      <c r="R220" s="5"/>
      <c r="S220" s="5"/>
      <c r="T220" s="5"/>
      <c r="U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E2:F2"/>
    <mergeCell ref="E3:F3"/>
    <mergeCell ref="E4:F4"/>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7.14"/>
    <col customWidth="1" min="2" max="2" width="21.86"/>
    <col customWidth="1" min="3" max="3" width="20.71"/>
    <col customWidth="1" min="4" max="4" width="16.14"/>
    <col customWidth="1" min="5" max="5" width="22.14"/>
    <col customWidth="1" min="6" max="6" width="11.43"/>
  </cols>
  <sheetData>
    <row r="1" ht="14.25" customHeight="1">
      <c r="A1" s="155" t="s">
        <v>533</v>
      </c>
      <c r="B1" s="155"/>
      <c r="C1" s="155"/>
      <c r="D1" s="155"/>
      <c r="E1" s="155"/>
    </row>
    <row r="2" ht="14.25" customHeight="1">
      <c r="A2" s="147" t="s">
        <v>10</v>
      </c>
      <c r="B2" s="147" t="s">
        <v>534</v>
      </c>
      <c r="C2" s="147" t="s">
        <v>424</v>
      </c>
      <c r="D2" s="147" t="s">
        <v>535</v>
      </c>
      <c r="E2" s="147"/>
      <c r="F2" s="147"/>
      <c r="G2" s="147"/>
      <c r="H2" s="147"/>
      <c r="I2" s="147"/>
      <c r="J2" s="147"/>
      <c r="K2" s="147"/>
      <c r="L2" s="147"/>
      <c r="M2" s="147"/>
      <c r="N2" s="147"/>
      <c r="O2" s="147"/>
      <c r="P2" s="147"/>
    </row>
    <row r="3" ht="14.25" customHeight="1">
      <c r="A3" s="147" t="s">
        <v>21</v>
      </c>
      <c r="B3" s="438" t="s">
        <v>536</v>
      </c>
      <c r="C3" s="147">
        <v>249.6344</v>
      </c>
      <c r="D3" s="147">
        <v>300.0</v>
      </c>
      <c r="E3" s="147"/>
      <c r="F3" s="147"/>
      <c r="G3" s="147"/>
      <c r="H3" s="439"/>
      <c r="I3" s="439"/>
      <c r="J3" s="147"/>
      <c r="K3" s="147"/>
      <c r="L3" s="147"/>
      <c r="M3" s="147"/>
      <c r="N3" s="147"/>
      <c r="O3" s="147"/>
      <c r="P3" s="147"/>
    </row>
    <row r="4" ht="14.25" customHeight="1">
      <c r="A4" s="147" t="s">
        <v>23</v>
      </c>
      <c r="B4" s="438" t="s">
        <v>537</v>
      </c>
      <c r="C4" s="147">
        <v>100.446</v>
      </c>
      <c r="D4" s="147">
        <v>121.0</v>
      </c>
      <c r="E4" s="147"/>
      <c r="F4" s="147"/>
      <c r="G4" s="147"/>
      <c r="H4" s="439"/>
      <c r="I4" s="147"/>
      <c r="J4" s="440"/>
      <c r="K4" s="147"/>
      <c r="L4" s="147"/>
      <c r="M4" s="147"/>
      <c r="N4" s="147"/>
      <c r="O4" s="147"/>
      <c r="P4" s="147"/>
    </row>
    <row r="5" ht="14.25" customHeight="1">
      <c r="A5" s="147" t="s">
        <v>25</v>
      </c>
      <c r="B5" s="441">
        <v>30232.0</v>
      </c>
      <c r="C5" s="147">
        <v>12.0928</v>
      </c>
      <c r="D5" s="147">
        <v>15.0</v>
      </c>
      <c r="E5" s="147"/>
      <c r="F5" s="147"/>
      <c r="G5" s="147"/>
      <c r="H5" s="439"/>
      <c r="I5" s="147"/>
      <c r="J5" s="147"/>
      <c r="K5" s="147"/>
      <c r="L5" s="147"/>
      <c r="M5" s="147"/>
      <c r="N5" s="147"/>
      <c r="O5" s="147"/>
      <c r="P5" s="147"/>
    </row>
    <row r="6" ht="14.25" customHeight="1">
      <c r="A6" s="147" t="s">
        <v>27</v>
      </c>
      <c r="B6" s="438" t="s">
        <v>538</v>
      </c>
      <c r="C6" s="147">
        <v>40.5532</v>
      </c>
      <c r="D6" s="147">
        <v>49.0</v>
      </c>
      <c r="E6" s="147"/>
      <c r="F6" s="147"/>
      <c r="G6" s="147"/>
      <c r="H6" s="147"/>
      <c r="I6" s="147"/>
      <c r="J6" s="147"/>
      <c r="K6" s="147"/>
      <c r="L6" s="147"/>
      <c r="M6" s="147"/>
      <c r="N6" s="147"/>
      <c r="O6" s="147"/>
      <c r="P6" s="147"/>
    </row>
    <row r="7" ht="14.25" customHeight="1">
      <c r="A7" s="147" t="s">
        <v>29</v>
      </c>
      <c r="B7" s="441">
        <v>73573.0</v>
      </c>
      <c r="C7" s="147">
        <v>29.4292</v>
      </c>
      <c r="D7" s="147">
        <v>35.0</v>
      </c>
      <c r="E7" s="147"/>
      <c r="F7" s="147"/>
      <c r="G7" s="147"/>
      <c r="H7" s="147"/>
      <c r="I7" s="147"/>
      <c r="J7" s="147"/>
      <c r="K7" s="147"/>
      <c r="L7" s="147"/>
      <c r="M7" s="147"/>
      <c r="N7" s="147"/>
      <c r="O7" s="147"/>
      <c r="P7" s="147"/>
    </row>
    <row r="8" ht="14.25" customHeight="1">
      <c r="A8" s="147" t="s">
        <v>31</v>
      </c>
      <c r="B8" s="441">
        <v>13933.0</v>
      </c>
      <c r="C8" s="147">
        <v>5.5732</v>
      </c>
      <c r="D8" s="147">
        <v>7.0</v>
      </c>
      <c r="E8" s="147"/>
      <c r="F8" s="147"/>
      <c r="G8" s="147"/>
      <c r="H8" s="147"/>
      <c r="I8" s="147"/>
      <c r="J8" s="147"/>
      <c r="K8" s="147"/>
      <c r="L8" s="147"/>
      <c r="M8" s="147"/>
      <c r="N8" s="147"/>
      <c r="O8" s="147"/>
      <c r="P8" s="147"/>
    </row>
    <row r="9" ht="14.25" customHeight="1">
      <c r="A9" s="147" t="s">
        <v>33</v>
      </c>
      <c r="B9" s="438">
        <v>10.0</v>
      </c>
      <c r="C9" s="147">
        <v>0.004</v>
      </c>
      <c r="D9" s="147">
        <v>0.0</v>
      </c>
      <c r="E9" s="147"/>
      <c r="F9" s="147"/>
      <c r="G9" s="147"/>
      <c r="H9" s="147"/>
      <c r="I9" s="147"/>
      <c r="J9" s="147"/>
      <c r="K9" s="147"/>
      <c r="L9" s="147"/>
      <c r="M9" s="147"/>
      <c r="N9" s="147"/>
      <c r="O9" s="147"/>
      <c r="P9" s="147"/>
    </row>
    <row r="10" ht="14.25" customHeight="1">
      <c r="A10" s="147" t="s">
        <v>35</v>
      </c>
      <c r="B10" s="438" t="s">
        <v>539</v>
      </c>
      <c r="C10" s="147">
        <v>44.4296</v>
      </c>
      <c r="D10" s="147">
        <v>53.0</v>
      </c>
      <c r="E10" s="147"/>
      <c r="F10" s="147"/>
      <c r="G10" s="147"/>
      <c r="H10" s="147"/>
      <c r="I10" s="147"/>
      <c r="J10" s="147"/>
      <c r="K10" s="147"/>
      <c r="L10" s="147"/>
      <c r="M10" s="147"/>
      <c r="N10" s="147"/>
      <c r="O10" s="147"/>
      <c r="P10" s="147"/>
    </row>
    <row r="11" ht="14.25" customHeight="1">
      <c r="A11" s="147"/>
      <c r="B11" s="147"/>
      <c r="C11" s="147">
        <f t="shared" ref="C11:D11" si="1">SUM(C3:C10)</f>
        <v>482.1624</v>
      </c>
      <c r="D11" s="147">
        <f t="shared" si="1"/>
        <v>580</v>
      </c>
      <c r="E11" s="147"/>
      <c r="F11" s="147"/>
      <c r="G11" s="147"/>
      <c r="H11" s="147"/>
      <c r="I11" s="147"/>
      <c r="J11" s="147"/>
      <c r="K11" s="147"/>
      <c r="L11" s="147"/>
      <c r="M11" s="147"/>
      <c r="N11" s="147"/>
      <c r="O11" s="147"/>
      <c r="P11" s="147"/>
    </row>
    <row r="12" ht="14.25" customHeight="1">
      <c r="A12" s="147"/>
      <c r="B12" s="147"/>
      <c r="C12" s="147"/>
      <c r="D12" s="147"/>
      <c r="E12" s="147"/>
      <c r="F12" s="147"/>
      <c r="G12" s="147"/>
      <c r="H12" s="147"/>
      <c r="I12" s="147"/>
      <c r="J12" s="147"/>
      <c r="K12" s="147"/>
      <c r="L12" s="147"/>
      <c r="M12" s="147"/>
      <c r="N12" s="147"/>
      <c r="O12" s="147"/>
      <c r="P12" s="147"/>
    </row>
    <row r="13" ht="14.25" customHeight="1">
      <c r="A13" s="147"/>
      <c r="B13" s="147"/>
      <c r="C13" s="147"/>
      <c r="D13" s="147"/>
      <c r="E13" s="147"/>
      <c r="F13" s="147"/>
      <c r="G13" s="147"/>
      <c r="H13" s="147"/>
      <c r="I13" s="147"/>
      <c r="J13" s="147"/>
      <c r="K13" s="147"/>
      <c r="L13" s="147"/>
      <c r="M13" s="147"/>
      <c r="N13" s="147"/>
      <c r="O13" s="147"/>
      <c r="P13" s="147"/>
    </row>
    <row r="14" ht="14.25" customHeight="1">
      <c r="A14" s="147"/>
      <c r="B14" s="147"/>
      <c r="C14" s="147"/>
      <c r="D14" s="147"/>
      <c r="E14" s="147"/>
      <c r="F14" s="147"/>
      <c r="G14" s="147"/>
      <c r="H14" s="147"/>
      <c r="I14" s="147"/>
      <c r="J14" s="147"/>
      <c r="K14" s="147"/>
      <c r="L14" s="147"/>
      <c r="M14" s="147"/>
      <c r="N14" s="147"/>
      <c r="O14" s="147"/>
      <c r="P14" s="147"/>
    </row>
    <row r="15" ht="14.25" customHeight="1">
      <c r="A15" s="147" t="s">
        <v>427</v>
      </c>
      <c r="B15" s="147"/>
      <c r="C15" s="147"/>
      <c r="D15" s="147"/>
      <c r="E15" s="147"/>
      <c r="F15" s="147"/>
      <c r="G15" s="147"/>
      <c r="H15" s="147"/>
      <c r="I15" s="147"/>
      <c r="J15" s="147"/>
      <c r="K15" s="147"/>
      <c r="L15" s="147"/>
      <c r="M15" s="147"/>
      <c r="N15" s="147"/>
      <c r="O15" s="147"/>
      <c r="P15" s="147"/>
    </row>
    <row r="16" ht="14.25" customHeight="1">
      <c r="A16" s="147" t="s">
        <v>428</v>
      </c>
      <c r="B16" s="147" t="s">
        <v>429</v>
      </c>
      <c r="C16" s="147" t="s">
        <v>430</v>
      </c>
      <c r="D16" s="428" t="s">
        <v>540</v>
      </c>
      <c r="E16" s="147" t="s">
        <v>541</v>
      </c>
      <c r="F16" s="147" t="s">
        <v>542</v>
      </c>
      <c r="G16" s="147"/>
      <c r="H16" s="147"/>
      <c r="I16" s="147"/>
      <c r="J16" s="147"/>
      <c r="K16" s="147"/>
      <c r="L16" s="147"/>
      <c r="M16" s="147"/>
      <c r="N16" s="147"/>
      <c r="O16" s="147"/>
      <c r="P16" s="147"/>
    </row>
    <row r="17" ht="14.25" customHeight="1">
      <c r="A17" s="147" t="s">
        <v>22</v>
      </c>
      <c r="B17" s="147">
        <v>1.2</v>
      </c>
      <c r="C17" s="147">
        <v>17.958819882510607</v>
      </c>
      <c r="D17" s="442">
        <f t="shared" ref="D17:D25" si="2">ROUND(C17,0)</f>
        <v>18</v>
      </c>
      <c r="E17" s="147">
        <f t="shared" ref="E17:E25" si="3">D17*2</f>
        <v>36</v>
      </c>
      <c r="F17" s="147">
        <f t="shared" ref="F17:F25" si="4">D17+E17</f>
        <v>54</v>
      </c>
      <c r="G17" s="147"/>
      <c r="H17" s="147"/>
      <c r="I17" s="147"/>
      <c r="J17" s="147"/>
      <c r="K17" s="147"/>
      <c r="L17" s="147"/>
      <c r="M17" s="147"/>
      <c r="N17" s="147"/>
      <c r="O17" s="147"/>
      <c r="P17" s="147"/>
    </row>
    <row r="18" ht="14.25" customHeight="1">
      <c r="A18" s="147" t="s">
        <v>24</v>
      </c>
      <c r="B18" s="147">
        <v>1.2</v>
      </c>
      <c r="C18" s="147">
        <v>71.2316217188656</v>
      </c>
      <c r="D18" s="442">
        <f t="shared" si="2"/>
        <v>71</v>
      </c>
      <c r="E18" s="147">
        <f t="shared" si="3"/>
        <v>142</v>
      </c>
      <c r="F18" s="147">
        <f t="shared" si="4"/>
        <v>213</v>
      </c>
      <c r="G18" s="147"/>
      <c r="H18" s="147"/>
      <c r="I18" s="147"/>
      <c r="J18" s="147"/>
      <c r="K18" s="147"/>
      <c r="L18" s="147"/>
      <c r="M18" s="147"/>
      <c r="N18" s="147"/>
      <c r="O18" s="147"/>
      <c r="P18" s="147"/>
    </row>
    <row r="19" ht="14.25" customHeight="1">
      <c r="A19" s="147" t="s">
        <v>26</v>
      </c>
      <c r="B19" s="147">
        <v>1.2</v>
      </c>
      <c r="C19" s="147">
        <v>41.54487911766184</v>
      </c>
      <c r="D19" s="442">
        <f t="shared" si="2"/>
        <v>42</v>
      </c>
      <c r="E19" s="147">
        <f t="shared" si="3"/>
        <v>84</v>
      </c>
      <c r="F19" s="147">
        <f t="shared" si="4"/>
        <v>126</v>
      </c>
      <c r="G19" s="147"/>
      <c r="H19" s="147"/>
      <c r="I19" s="147"/>
      <c r="J19" s="147"/>
      <c r="K19" s="147"/>
      <c r="L19" s="147"/>
      <c r="M19" s="147"/>
      <c r="N19" s="147"/>
      <c r="O19" s="147"/>
      <c r="P19" s="147"/>
    </row>
    <row r="20" ht="14.25" customHeight="1">
      <c r="A20" s="147" t="s">
        <v>28</v>
      </c>
      <c r="B20" s="147">
        <v>1.2</v>
      </c>
      <c r="C20" s="147">
        <v>18.796862529664274</v>
      </c>
      <c r="D20" s="442">
        <f t="shared" si="2"/>
        <v>19</v>
      </c>
      <c r="E20" s="147">
        <f t="shared" si="3"/>
        <v>38</v>
      </c>
      <c r="F20" s="147">
        <f t="shared" si="4"/>
        <v>57</v>
      </c>
      <c r="G20" s="147"/>
      <c r="H20" s="147"/>
      <c r="I20" s="147"/>
      <c r="J20" s="147"/>
      <c r="K20" s="147"/>
      <c r="L20" s="147"/>
      <c r="M20" s="147"/>
      <c r="N20" s="147"/>
      <c r="O20" s="147"/>
      <c r="P20" s="147"/>
    </row>
    <row r="21" ht="14.25" customHeight="1">
      <c r="A21" s="147" t="s">
        <v>30</v>
      </c>
      <c r="B21" s="147">
        <v>1.2</v>
      </c>
      <c r="C21" s="147">
        <v>25.809710243136667</v>
      </c>
      <c r="D21" s="442">
        <f t="shared" si="2"/>
        <v>26</v>
      </c>
      <c r="E21" s="147">
        <f t="shared" si="3"/>
        <v>52</v>
      </c>
      <c r="F21" s="147">
        <f t="shared" si="4"/>
        <v>78</v>
      </c>
      <c r="G21" s="147"/>
      <c r="H21" s="147"/>
      <c r="I21" s="147"/>
      <c r="J21" s="147"/>
      <c r="K21" s="147"/>
      <c r="L21" s="147"/>
      <c r="M21" s="147"/>
      <c r="N21" s="147"/>
      <c r="O21" s="147"/>
      <c r="P21" s="147"/>
    </row>
    <row r="22" ht="14.25" customHeight="1">
      <c r="A22" s="147" t="s">
        <v>32</v>
      </c>
      <c r="B22" s="147">
        <v>1.2</v>
      </c>
      <c r="C22" s="147">
        <v>19.98013868166133</v>
      </c>
      <c r="D22" s="442">
        <f t="shared" si="2"/>
        <v>20</v>
      </c>
      <c r="E22" s="147">
        <f t="shared" si="3"/>
        <v>40</v>
      </c>
      <c r="F22" s="147">
        <f t="shared" si="4"/>
        <v>60</v>
      </c>
      <c r="G22" s="147"/>
      <c r="H22" s="147"/>
      <c r="I22" s="147"/>
      <c r="J22" s="147"/>
      <c r="K22" s="147"/>
      <c r="L22" s="147"/>
      <c r="M22" s="147"/>
      <c r="N22" s="147"/>
      <c r="O22" s="147"/>
      <c r="P22" s="147"/>
    </row>
    <row r="23" ht="14.25" customHeight="1">
      <c r="A23" s="147" t="s">
        <v>34</v>
      </c>
      <c r="B23" s="147">
        <v>1.2</v>
      </c>
      <c r="C23" s="147">
        <v>31.641285093808385</v>
      </c>
      <c r="D23" s="442">
        <f t="shared" si="2"/>
        <v>32</v>
      </c>
      <c r="E23" s="147">
        <f t="shared" si="3"/>
        <v>64</v>
      </c>
      <c r="F23" s="147">
        <f t="shared" si="4"/>
        <v>96</v>
      </c>
      <c r="G23" s="147"/>
      <c r="H23" s="147"/>
      <c r="I23" s="147"/>
      <c r="J23" s="147"/>
      <c r="K23" s="147"/>
      <c r="L23" s="147"/>
      <c r="M23" s="147"/>
      <c r="N23" s="147"/>
      <c r="O23" s="147"/>
      <c r="P23" s="147"/>
    </row>
    <row r="24" ht="14.25" customHeight="1">
      <c r="A24" s="147" t="s">
        <v>36</v>
      </c>
      <c r="B24" s="147">
        <v>1.2</v>
      </c>
      <c r="C24" s="147">
        <v>103.76437050506453</v>
      </c>
      <c r="D24" s="442">
        <f t="shared" si="2"/>
        <v>104</v>
      </c>
      <c r="E24" s="147">
        <f t="shared" si="3"/>
        <v>208</v>
      </c>
      <c r="F24" s="147">
        <f t="shared" si="4"/>
        <v>312</v>
      </c>
      <c r="G24" s="147"/>
      <c r="H24" s="147"/>
      <c r="I24" s="147"/>
      <c r="J24" s="147"/>
      <c r="K24" s="147"/>
      <c r="L24" s="147"/>
      <c r="M24" s="147"/>
      <c r="N24" s="147"/>
      <c r="O24" s="147"/>
      <c r="P24" s="147"/>
    </row>
    <row r="25" ht="14.25" customHeight="1">
      <c r="A25" s="147" t="s">
        <v>38</v>
      </c>
      <c r="B25" s="147">
        <v>1.2</v>
      </c>
      <c r="C25" s="147">
        <v>76.9002623815648</v>
      </c>
      <c r="D25" s="442">
        <f t="shared" si="2"/>
        <v>77</v>
      </c>
      <c r="E25" s="147">
        <f t="shared" si="3"/>
        <v>154</v>
      </c>
      <c r="F25" s="147">
        <f t="shared" si="4"/>
        <v>231</v>
      </c>
      <c r="G25" s="147"/>
      <c r="H25" s="147"/>
      <c r="I25" s="147"/>
      <c r="J25" s="147"/>
      <c r="K25" s="147"/>
      <c r="L25" s="147"/>
      <c r="M25" s="147"/>
      <c r="N25" s="147"/>
      <c r="O25" s="147"/>
      <c r="P25" s="147"/>
    </row>
    <row r="26" ht="14.25" customHeight="1">
      <c r="A26" s="147"/>
      <c r="B26" s="147"/>
      <c r="C26" s="147">
        <f>SUM(C17:C25)</f>
        <v>407.6279502</v>
      </c>
      <c r="D26" s="147"/>
      <c r="E26" s="147"/>
      <c r="F26" s="147"/>
      <c r="G26" s="147"/>
      <c r="H26" s="147"/>
      <c r="I26" s="147"/>
      <c r="J26" s="147"/>
      <c r="K26" s="147"/>
      <c r="L26" s="147"/>
      <c r="M26" s="147"/>
      <c r="N26" s="147"/>
      <c r="O26" s="147"/>
      <c r="P26" s="147"/>
    </row>
    <row r="27" ht="14.25" customHeight="1">
      <c r="A27" s="147"/>
      <c r="B27" s="147"/>
      <c r="C27" s="147"/>
      <c r="D27" s="147"/>
      <c r="E27" s="147"/>
      <c r="F27" s="147"/>
      <c r="G27" s="147"/>
      <c r="H27" s="147"/>
      <c r="I27" s="147"/>
      <c r="J27" s="147"/>
      <c r="K27" s="147"/>
      <c r="L27" s="147"/>
      <c r="M27" s="147"/>
      <c r="N27" s="147"/>
      <c r="O27" s="147"/>
      <c r="P27" s="147"/>
    </row>
    <row r="28" ht="14.25" customHeight="1">
      <c r="A28" s="147" t="s">
        <v>543</v>
      </c>
      <c r="B28" s="147"/>
      <c r="C28" s="147"/>
      <c r="D28" s="147"/>
      <c r="E28" s="147"/>
      <c r="F28" s="147"/>
      <c r="G28" s="147"/>
      <c r="H28" s="147"/>
      <c r="I28" s="147"/>
      <c r="J28" s="147"/>
      <c r="K28" s="147"/>
      <c r="L28" s="147"/>
      <c r="M28" s="147"/>
      <c r="N28" s="147"/>
      <c r="O28" s="147"/>
      <c r="P28" s="147"/>
    </row>
    <row r="29" ht="14.25" customHeight="1">
      <c r="A29" s="147" t="s">
        <v>544</v>
      </c>
      <c r="B29" s="147" t="s">
        <v>545</v>
      </c>
      <c r="C29" s="147" t="s">
        <v>546</v>
      </c>
      <c r="D29" s="147" t="s">
        <v>547</v>
      </c>
      <c r="E29" s="147"/>
      <c r="F29" s="147"/>
      <c r="G29" s="147"/>
      <c r="H29" s="147"/>
      <c r="I29" s="147"/>
      <c r="J29" s="147"/>
      <c r="K29" s="147"/>
      <c r="L29" s="147"/>
      <c r="M29" s="147"/>
      <c r="N29" s="147"/>
      <c r="O29" s="147"/>
      <c r="P29" s="147"/>
    </row>
    <row r="30" ht="14.25" customHeight="1">
      <c r="A30" s="147">
        <v>10.0</v>
      </c>
      <c r="B30" s="147">
        <v>56.0</v>
      </c>
      <c r="C30" s="147">
        <f>A30*B30</f>
        <v>560</v>
      </c>
      <c r="D30" s="147">
        <f>C30*2</f>
        <v>1120</v>
      </c>
      <c r="E30" s="147"/>
      <c r="F30" s="147"/>
      <c r="G30" s="147"/>
      <c r="H30" s="147"/>
      <c r="I30" s="147"/>
      <c r="J30" s="147"/>
      <c r="K30" s="147"/>
      <c r="L30" s="147"/>
      <c r="M30" s="147"/>
      <c r="N30" s="147"/>
      <c r="O30" s="147"/>
      <c r="P30" s="147"/>
    </row>
    <row r="31" ht="14.25" customHeight="1">
      <c r="A31" s="147"/>
      <c r="B31" s="147"/>
      <c r="C31" s="147"/>
      <c r="D31" s="147"/>
      <c r="E31" s="147"/>
      <c r="F31" s="147"/>
      <c r="G31" s="147"/>
      <c r="H31" s="147"/>
      <c r="I31" s="147"/>
      <c r="J31" s="147"/>
      <c r="K31" s="147"/>
      <c r="L31" s="147"/>
      <c r="M31" s="147"/>
      <c r="N31" s="147"/>
      <c r="O31" s="147"/>
      <c r="P31" s="147"/>
    </row>
    <row r="32" ht="14.25" customHeight="1">
      <c r="A32" s="147"/>
      <c r="B32" s="443"/>
      <c r="C32" s="443"/>
      <c r="D32" s="443"/>
      <c r="E32" s="147"/>
      <c r="F32" s="147"/>
      <c r="G32" s="147"/>
      <c r="H32" s="147"/>
      <c r="I32" s="147"/>
      <c r="J32" s="147"/>
      <c r="K32" s="147"/>
      <c r="L32" s="147"/>
      <c r="M32" s="147"/>
      <c r="N32" s="147"/>
      <c r="O32" s="147"/>
      <c r="P32" s="147"/>
    </row>
    <row r="33" ht="14.25" customHeight="1">
      <c r="A33" s="147"/>
      <c r="B33" s="443"/>
      <c r="C33" s="443"/>
      <c r="D33" s="443"/>
      <c r="E33" s="147"/>
      <c r="F33" s="147"/>
      <c r="G33" s="147"/>
      <c r="H33" s="147"/>
      <c r="I33" s="147"/>
      <c r="J33" s="147"/>
      <c r="K33" s="147"/>
      <c r="L33" s="147"/>
      <c r="M33" s="147"/>
      <c r="N33" s="147"/>
      <c r="O33" s="147"/>
      <c r="P33" s="147"/>
    </row>
    <row r="34" ht="14.25" customHeight="1">
      <c r="A34" s="147"/>
      <c r="B34" s="443"/>
      <c r="C34" s="443"/>
      <c r="D34" s="443"/>
      <c r="E34" s="147"/>
      <c r="F34" s="147"/>
      <c r="G34" s="147"/>
      <c r="H34" s="147"/>
      <c r="I34" s="147"/>
      <c r="J34" s="147"/>
      <c r="K34" s="147"/>
      <c r="L34" s="147"/>
      <c r="M34" s="147"/>
      <c r="N34" s="147"/>
      <c r="O34" s="147"/>
      <c r="P34" s="147"/>
    </row>
    <row r="35" ht="14.25" customHeight="1">
      <c r="A35" s="147" t="s">
        <v>428</v>
      </c>
      <c r="B35" s="147" t="s">
        <v>548</v>
      </c>
      <c r="C35" s="428" t="s">
        <v>549</v>
      </c>
      <c r="D35" s="444"/>
      <c r="E35" s="444"/>
      <c r="F35" s="444"/>
      <c r="G35" s="147"/>
      <c r="H35" s="147"/>
      <c r="I35" s="147"/>
      <c r="J35" s="147"/>
      <c r="K35" s="147"/>
      <c r="L35" s="147"/>
      <c r="M35" s="147"/>
      <c r="N35" s="147"/>
      <c r="O35" s="147"/>
      <c r="P35" s="147"/>
    </row>
    <row r="36" ht="14.25" customHeight="1">
      <c r="A36" s="147"/>
      <c r="B36" s="147"/>
      <c r="C36" s="445" t="s">
        <v>544</v>
      </c>
      <c r="D36" s="446" t="s">
        <v>545</v>
      </c>
      <c r="E36" s="446" t="s">
        <v>546</v>
      </c>
      <c r="F36" s="447"/>
      <c r="G36" s="147"/>
      <c r="H36" s="147"/>
      <c r="I36" s="147"/>
      <c r="J36" s="147"/>
      <c r="K36" s="147"/>
      <c r="L36" s="147"/>
      <c r="M36" s="147"/>
      <c r="N36" s="147"/>
      <c r="O36" s="147"/>
      <c r="P36" s="147"/>
    </row>
    <row r="37" ht="14.25" customHeight="1">
      <c r="A37" s="147" t="s">
        <v>550</v>
      </c>
      <c r="B37" s="63">
        <v>54.0</v>
      </c>
      <c r="C37" s="147">
        <v>1.0</v>
      </c>
      <c r="D37" s="147">
        <v>56.0</v>
      </c>
      <c r="E37" s="147">
        <f t="shared" ref="E37:E45" si="5">C37*D37</f>
        <v>56</v>
      </c>
      <c r="F37" s="147"/>
      <c r="G37" s="147"/>
      <c r="H37" s="147"/>
      <c r="I37" s="147"/>
      <c r="J37" s="147"/>
      <c r="K37" s="147"/>
      <c r="L37" s="147"/>
      <c r="M37" s="147"/>
      <c r="N37" s="147"/>
      <c r="O37" s="147"/>
      <c r="P37" s="147"/>
    </row>
    <row r="38" ht="14.25" customHeight="1">
      <c r="A38" s="147" t="s">
        <v>551</v>
      </c>
      <c r="B38" s="63">
        <v>213.0</v>
      </c>
      <c r="C38" s="147">
        <v>2.0</v>
      </c>
      <c r="D38" s="147">
        <v>56.0</v>
      </c>
      <c r="E38" s="147">
        <f t="shared" si="5"/>
        <v>112</v>
      </c>
      <c r="F38" s="147"/>
      <c r="G38" s="147"/>
      <c r="H38" s="147"/>
      <c r="I38" s="147"/>
      <c r="J38" s="147"/>
      <c r="K38" s="147"/>
      <c r="L38" s="147"/>
      <c r="M38" s="147"/>
      <c r="N38" s="147"/>
      <c r="O38" s="147"/>
      <c r="P38" s="147"/>
    </row>
    <row r="39" ht="14.25" customHeight="1">
      <c r="A39" s="147" t="s">
        <v>552</v>
      </c>
      <c r="B39" s="63">
        <v>126.0</v>
      </c>
      <c r="C39" s="147">
        <v>2.0</v>
      </c>
      <c r="D39" s="147">
        <v>56.0</v>
      </c>
      <c r="E39" s="147">
        <f t="shared" si="5"/>
        <v>112</v>
      </c>
      <c r="F39" s="147"/>
      <c r="G39" s="147"/>
      <c r="H39" s="147"/>
      <c r="I39" s="147"/>
      <c r="J39" s="147"/>
      <c r="K39" s="147"/>
      <c r="L39" s="147"/>
      <c r="M39" s="147"/>
      <c r="N39" s="147"/>
      <c r="O39" s="147"/>
      <c r="P39" s="147"/>
    </row>
    <row r="40" ht="14.25" customHeight="1">
      <c r="A40" s="147" t="s">
        <v>553</v>
      </c>
      <c r="B40" s="63">
        <v>57.0</v>
      </c>
      <c r="C40" s="147">
        <v>1.0</v>
      </c>
      <c r="D40" s="147">
        <v>56.0</v>
      </c>
      <c r="E40" s="147">
        <f t="shared" si="5"/>
        <v>56</v>
      </c>
      <c r="F40" s="147"/>
      <c r="G40" s="147"/>
      <c r="H40" s="147"/>
      <c r="I40" s="147"/>
      <c r="J40" s="147"/>
      <c r="K40" s="147"/>
      <c r="L40" s="147"/>
      <c r="M40" s="147"/>
      <c r="N40" s="147"/>
      <c r="O40" s="147"/>
      <c r="P40" s="147"/>
    </row>
    <row r="41" ht="14.25" customHeight="1">
      <c r="A41" s="147" t="s">
        <v>554</v>
      </c>
      <c r="B41" s="63">
        <v>78.0</v>
      </c>
      <c r="C41" s="147">
        <v>1.0</v>
      </c>
      <c r="D41" s="147">
        <v>56.0</v>
      </c>
      <c r="E41" s="147">
        <f t="shared" si="5"/>
        <v>56</v>
      </c>
      <c r="F41" s="147"/>
      <c r="G41" s="147"/>
      <c r="H41" s="147"/>
      <c r="I41" s="147"/>
      <c r="J41" s="147"/>
      <c r="K41" s="147"/>
      <c r="L41" s="147"/>
      <c r="M41" s="147"/>
      <c r="N41" s="147"/>
      <c r="O41" s="147"/>
      <c r="P41" s="147"/>
    </row>
    <row r="42" ht="14.25" customHeight="1">
      <c r="A42" s="147" t="s">
        <v>555</v>
      </c>
      <c r="B42" s="63">
        <v>60.0</v>
      </c>
      <c r="C42" s="147">
        <v>1.0</v>
      </c>
      <c r="D42" s="147">
        <v>56.0</v>
      </c>
      <c r="E42" s="147">
        <f t="shared" si="5"/>
        <v>56</v>
      </c>
      <c r="F42" s="147"/>
      <c r="G42" s="147"/>
      <c r="H42" s="147"/>
      <c r="I42" s="147"/>
      <c r="J42" s="147"/>
      <c r="K42" s="147"/>
      <c r="L42" s="147"/>
      <c r="M42" s="147"/>
      <c r="N42" s="147"/>
      <c r="O42" s="147"/>
      <c r="P42" s="147"/>
    </row>
    <row r="43" ht="14.25" customHeight="1">
      <c r="A43" s="147" t="s">
        <v>556</v>
      </c>
      <c r="B43" s="63">
        <v>96.0</v>
      </c>
      <c r="C43" s="147">
        <v>1.0</v>
      </c>
      <c r="D43" s="147">
        <v>56.0</v>
      </c>
      <c r="E43" s="147">
        <f t="shared" si="5"/>
        <v>56</v>
      </c>
      <c r="F43" s="147"/>
      <c r="G43" s="147"/>
      <c r="H43" s="147"/>
      <c r="I43" s="147"/>
      <c r="J43" s="147"/>
      <c r="K43" s="147"/>
      <c r="L43" s="147"/>
      <c r="M43" s="147"/>
      <c r="N43" s="147"/>
      <c r="O43" s="147"/>
      <c r="P43" s="147"/>
    </row>
    <row r="44" ht="14.25" customHeight="1">
      <c r="A44" s="147" t="s">
        <v>557</v>
      </c>
      <c r="B44" s="63">
        <v>312.0</v>
      </c>
      <c r="C44" s="147">
        <v>3.0</v>
      </c>
      <c r="D44" s="147">
        <v>56.0</v>
      </c>
      <c r="E44" s="147">
        <f t="shared" si="5"/>
        <v>168</v>
      </c>
      <c r="F44" s="147"/>
      <c r="G44" s="147"/>
      <c r="H44" s="147"/>
      <c r="I44" s="147"/>
      <c r="J44" s="147"/>
      <c r="K44" s="147"/>
      <c r="L44" s="147"/>
      <c r="M44" s="147"/>
      <c r="N44" s="147"/>
      <c r="O44" s="147"/>
      <c r="P44" s="147"/>
    </row>
    <row r="45" ht="14.25" customHeight="1">
      <c r="A45" s="147" t="s">
        <v>558</v>
      </c>
      <c r="B45" s="63">
        <v>231.0</v>
      </c>
      <c r="C45" s="147">
        <v>2.0</v>
      </c>
      <c r="D45" s="147">
        <v>56.0</v>
      </c>
      <c r="E45" s="147">
        <f t="shared" si="5"/>
        <v>112</v>
      </c>
      <c r="F45" s="147"/>
      <c r="G45" s="147"/>
      <c r="H45" s="147"/>
      <c r="I45" s="147"/>
      <c r="J45" s="147"/>
      <c r="K45" s="147"/>
      <c r="L45" s="147"/>
      <c r="M45" s="147"/>
      <c r="N45" s="147"/>
      <c r="O45" s="147"/>
      <c r="P45" s="147"/>
    </row>
    <row r="46" ht="14.25" customHeight="1">
      <c r="A46" s="147"/>
      <c r="B46" s="147"/>
      <c r="C46" s="147"/>
      <c r="D46" s="147"/>
      <c r="E46" s="147"/>
      <c r="F46" s="147"/>
      <c r="G46" s="147"/>
      <c r="H46" s="147"/>
      <c r="I46" s="147"/>
      <c r="J46" s="147"/>
      <c r="K46" s="147"/>
      <c r="L46" s="147"/>
      <c r="M46" s="147"/>
      <c r="N46" s="147"/>
      <c r="O46" s="147"/>
      <c r="P46" s="147"/>
    </row>
    <row r="47" ht="14.25" customHeight="1">
      <c r="A47" s="448"/>
      <c r="B47" s="124"/>
      <c r="C47" s="147"/>
      <c r="D47" s="448"/>
      <c r="E47" s="124"/>
      <c r="F47" s="147"/>
      <c r="G47" s="147"/>
      <c r="H47" s="147"/>
      <c r="I47" s="147"/>
      <c r="J47" s="147"/>
      <c r="K47" s="147"/>
      <c r="L47" s="147"/>
      <c r="M47" s="147"/>
      <c r="N47" s="147"/>
      <c r="O47" s="147"/>
      <c r="P47" s="147"/>
    </row>
    <row r="48" ht="14.25" customHeight="1">
      <c r="A48" s="147"/>
      <c r="B48" s="147"/>
      <c r="C48" s="147"/>
      <c r="D48" s="147"/>
      <c r="E48" s="439"/>
      <c r="F48" s="439"/>
      <c r="G48" s="439"/>
      <c r="H48" s="439"/>
      <c r="I48" s="439"/>
      <c r="J48" s="439"/>
      <c r="K48" s="147"/>
      <c r="L48" s="147"/>
      <c r="M48" s="147"/>
      <c r="N48" s="147"/>
      <c r="O48" s="147"/>
      <c r="P48" s="147"/>
    </row>
    <row r="49" ht="14.25" customHeight="1">
      <c r="A49" s="147"/>
      <c r="B49" s="147"/>
      <c r="C49" s="147"/>
      <c r="D49" s="147"/>
      <c r="E49" s="439"/>
      <c r="F49" s="439"/>
      <c r="G49" s="147"/>
      <c r="H49" s="147"/>
      <c r="I49" s="147"/>
      <c r="J49" s="147"/>
      <c r="K49" s="147"/>
      <c r="L49" s="147"/>
      <c r="M49" s="147"/>
      <c r="N49" s="147"/>
      <c r="O49" s="147"/>
      <c r="P49" s="147"/>
    </row>
    <row r="50" ht="14.25" customHeight="1">
      <c r="A50" s="147"/>
      <c r="B50" s="147"/>
      <c r="C50" s="147"/>
      <c r="D50" s="147"/>
      <c r="E50" s="147"/>
      <c r="F50" s="147"/>
      <c r="G50" s="147"/>
      <c r="H50" s="147"/>
      <c r="I50" s="147"/>
      <c r="J50" s="147"/>
      <c r="K50" s="147"/>
      <c r="L50" s="147"/>
      <c r="M50" s="147"/>
      <c r="N50" s="147"/>
      <c r="O50" s="147"/>
      <c r="P50" s="147"/>
    </row>
    <row r="51" ht="14.25" customHeight="1">
      <c r="A51" s="147"/>
      <c r="B51" s="147"/>
      <c r="C51" s="147"/>
      <c r="D51" s="147"/>
      <c r="E51" s="439"/>
      <c r="F51" s="147"/>
      <c r="G51" s="147"/>
      <c r="H51" s="147"/>
      <c r="I51" s="147"/>
      <c r="J51" s="147"/>
      <c r="K51" s="147"/>
      <c r="L51" s="147"/>
      <c r="M51" s="147"/>
      <c r="N51" s="147"/>
      <c r="O51" s="147"/>
      <c r="P51" s="147"/>
    </row>
    <row r="52" ht="14.25" customHeight="1">
      <c r="A52" s="147"/>
      <c r="B52" s="147"/>
      <c r="C52" s="147"/>
      <c r="D52" s="147"/>
      <c r="E52" s="147"/>
      <c r="F52" s="147"/>
      <c r="G52" s="147"/>
      <c r="H52" s="147"/>
      <c r="I52" s="147"/>
      <c r="J52" s="147"/>
      <c r="K52" s="147"/>
      <c r="L52" s="147"/>
      <c r="M52" s="147"/>
      <c r="N52" s="147"/>
      <c r="O52" s="147"/>
      <c r="P52" s="147"/>
    </row>
    <row r="53" ht="14.25" customHeight="1">
      <c r="A53" s="147"/>
      <c r="B53" s="147"/>
      <c r="C53" s="147"/>
      <c r="D53" s="147"/>
      <c r="E53" s="147"/>
      <c r="F53" s="147"/>
      <c r="G53" s="147"/>
      <c r="H53" s="147"/>
      <c r="I53" s="147"/>
      <c r="J53" s="147"/>
      <c r="K53" s="147"/>
      <c r="L53" s="147"/>
      <c r="M53" s="147"/>
      <c r="N53" s="147"/>
      <c r="O53" s="147"/>
      <c r="P53" s="147"/>
    </row>
    <row r="54" ht="14.25" customHeight="1">
      <c r="A54" s="147"/>
      <c r="B54" s="147"/>
      <c r="C54" s="147"/>
      <c r="D54" s="147"/>
      <c r="E54" s="147"/>
      <c r="F54" s="147"/>
      <c r="G54" s="147"/>
      <c r="H54" s="147"/>
      <c r="I54" s="147"/>
      <c r="J54" s="147"/>
      <c r="K54" s="147"/>
      <c r="L54" s="147"/>
      <c r="M54" s="147"/>
      <c r="N54" s="147"/>
      <c r="O54" s="147"/>
      <c r="P54" s="147"/>
    </row>
    <row r="55" ht="14.25" customHeight="1">
      <c r="A55" s="147"/>
      <c r="B55" s="147"/>
      <c r="C55" s="147"/>
      <c r="D55" s="147"/>
      <c r="E55" s="147"/>
      <c r="F55" s="147"/>
      <c r="G55" s="147"/>
      <c r="H55" s="147"/>
      <c r="I55" s="147"/>
      <c r="J55" s="147"/>
      <c r="K55" s="147"/>
      <c r="L55" s="147"/>
      <c r="M55" s="147"/>
      <c r="N55" s="147"/>
      <c r="O55" s="147"/>
      <c r="P55" s="147"/>
    </row>
    <row r="56" ht="14.25" customHeight="1">
      <c r="A56" s="147"/>
      <c r="B56" s="147"/>
      <c r="C56" s="147"/>
      <c r="D56" s="147"/>
      <c r="E56" s="439"/>
      <c r="F56" s="147"/>
      <c r="G56" s="147"/>
      <c r="H56" s="147"/>
      <c r="I56" s="147"/>
      <c r="J56" s="147"/>
      <c r="K56" s="147"/>
      <c r="L56" s="147"/>
      <c r="M56" s="147"/>
      <c r="N56" s="147"/>
      <c r="O56" s="147"/>
      <c r="P56" s="147"/>
    </row>
    <row r="57" ht="14.25" customHeight="1">
      <c r="A57" s="147"/>
      <c r="B57" s="147"/>
      <c r="C57" s="147"/>
      <c r="D57" s="147"/>
      <c r="E57" s="147"/>
      <c r="F57" s="147"/>
      <c r="G57" s="147"/>
      <c r="H57" s="147"/>
      <c r="I57" s="147"/>
      <c r="J57" s="147"/>
      <c r="K57" s="147"/>
      <c r="L57" s="147"/>
      <c r="M57" s="147"/>
      <c r="N57" s="147"/>
      <c r="O57" s="147"/>
      <c r="P57" s="147"/>
    </row>
    <row r="58" ht="14.25" customHeight="1">
      <c r="A58" s="147"/>
      <c r="B58" s="147"/>
      <c r="C58" s="147"/>
      <c r="D58" s="147"/>
      <c r="E58" s="147"/>
      <c r="F58" s="147"/>
      <c r="G58" s="147"/>
      <c r="H58" s="147"/>
      <c r="I58" s="147"/>
      <c r="J58" s="147"/>
      <c r="K58" s="147"/>
      <c r="L58" s="147"/>
      <c r="M58" s="147"/>
      <c r="N58" s="147"/>
      <c r="O58" s="147"/>
      <c r="P58" s="147"/>
    </row>
    <row r="59" ht="14.25" customHeight="1">
      <c r="A59" s="147"/>
      <c r="B59" s="147"/>
      <c r="C59" s="147"/>
      <c r="D59" s="147"/>
      <c r="E59" s="147"/>
      <c r="F59" s="147"/>
      <c r="G59" s="147"/>
      <c r="H59" s="147"/>
      <c r="I59" s="147"/>
      <c r="J59" s="147"/>
      <c r="K59" s="147"/>
      <c r="L59" s="147"/>
      <c r="M59" s="147"/>
      <c r="N59" s="147"/>
      <c r="O59" s="147"/>
      <c r="P59" s="147"/>
    </row>
    <row r="60" ht="14.25" customHeight="1">
      <c r="A60" s="147"/>
      <c r="B60" s="147"/>
      <c r="C60" s="147"/>
      <c r="D60" s="147"/>
      <c r="E60" s="147"/>
      <c r="F60" s="147"/>
      <c r="G60" s="147"/>
      <c r="H60" s="147"/>
      <c r="I60" s="147"/>
      <c r="J60" s="147"/>
      <c r="K60" s="147"/>
      <c r="L60" s="147"/>
      <c r="M60" s="147"/>
      <c r="N60" s="147"/>
      <c r="O60" s="147"/>
      <c r="P60" s="147"/>
    </row>
    <row r="61" ht="14.25" customHeight="1">
      <c r="A61" s="147"/>
      <c r="B61" s="147"/>
    </row>
    <row r="62" ht="14.25" customHeight="1">
      <c r="A62" s="147"/>
      <c r="B62" s="147"/>
    </row>
    <row r="63" ht="14.25" customHeight="1">
      <c r="A63" s="147"/>
      <c r="B63" s="147"/>
    </row>
    <row r="64" ht="14.25" customHeight="1">
      <c r="A64" s="147"/>
      <c r="B64" s="147"/>
    </row>
    <row r="65" ht="14.25" customHeight="1">
      <c r="A65" s="147"/>
      <c r="B65" s="147"/>
    </row>
    <row r="66" ht="14.25" customHeight="1">
      <c r="A66" s="147"/>
      <c r="B66" s="147"/>
    </row>
    <row r="67" ht="14.25" customHeight="1">
      <c r="A67" s="147"/>
      <c r="B67" s="147"/>
    </row>
    <row r="68" ht="14.25" customHeight="1">
      <c r="A68" s="147"/>
      <c r="B68" s="147"/>
    </row>
    <row r="69" ht="14.25" customHeight="1">
      <c r="A69" s="147"/>
      <c r="B69" s="147"/>
    </row>
    <row r="70" ht="14.25" customHeight="1">
      <c r="A70" s="147"/>
      <c r="B70" s="147"/>
    </row>
    <row r="71" ht="14.25" customHeight="1">
      <c r="A71" s="147"/>
      <c r="B71" s="147"/>
    </row>
    <row r="72" ht="14.25" customHeight="1">
      <c r="A72" s="147"/>
      <c r="B72" s="147"/>
    </row>
    <row r="73" ht="14.25" customHeight="1">
      <c r="A73" s="147"/>
      <c r="B73" s="147"/>
    </row>
    <row r="74" ht="14.25" customHeight="1">
      <c r="A74" s="147"/>
      <c r="B74" s="147"/>
    </row>
    <row r="75" ht="14.25" customHeight="1">
      <c r="A75" s="147"/>
      <c r="B75" s="147"/>
    </row>
    <row r="76" ht="14.25" customHeight="1">
      <c r="A76" s="147"/>
      <c r="B76" s="147"/>
    </row>
    <row r="77" ht="14.25" customHeight="1">
      <c r="A77" s="147"/>
      <c r="B77" s="147"/>
    </row>
    <row r="78" ht="14.25" customHeight="1">
      <c r="A78" s="147"/>
      <c r="B78" s="147"/>
    </row>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mergeCells count="2">
    <mergeCell ref="A47:B47"/>
    <mergeCell ref="D47:E47"/>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24.29"/>
    <col customWidth="1" min="11" max="11" width="41.57"/>
    <col customWidth="1" min="12" max="26" width="10.71"/>
  </cols>
  <sheetData>
    <row r="1" ht="34.5" customHeight="1">
      <c r="A1" s="449" t="s">
        <v>15</v>
      </c>
      <c r="B1" s="449" t="s">
        <v>559</v>
      </c>
      <c r="C1" s="449" t="s">
        <v>560</v>
      </c>
      <c r="D1" s="450" t="s">
        <v>561</v>
      </c>
      <c r="E1" s="450" t="s">
        <v>562</v>
      </c>
      <c r="F1" s="449" t="s">
        <v>563</v>
      </c>
      <c r="G1" s="449" t="s">
        <v>564</v>
      </c>
      <c r="H1" s="449" t="s">
        <v>565</v>
      </c>
      <c r="I1" s="449" t="s">
        <v>566</v>
      </c>
      <c r="J1" s="451" t="s">
        <v>567</v>
      </c>
      <c r="K1" s="34" t="s">
        <v>568</v>
      </c>
    </row>
    <row r="2" ht="14.25" customHeight="1">
      <c r="A2" s="452" t="s">
        <v>569</v>
      </c>
      <c r="B2" s="453">
        <v>404495.0</v>
      </c>
      <c r="C2" s="453">
        <f>B2*Products!$B$15</f>
        <v>1210940.582</v>
      </c>
      <c r="D2" s="133">
        <f>B2*Products!$B$16</f>
        <v>1632935.027</v>
      </c>
      <c r="E2" s="133">
        <f>B2*Products!$B$17</f>
        <v>201823.4303</v>
      </c>
      <c r="F2" s="133">
        <f>B2*Products!$B$18</f>
        <v>642165.46</v>
      </c>
      <c r="G2" s="453">
        <f>B2*Products!$B$19</f>
        <v>421994.4451</v>
      </c>
      <c r="H2" s="453">
        <f>B2*Products!$B$20</f>
        <v>201823.4303</v>
      </c>
      <c r="I2" s="453">
        <f>B2*Products!$B$21</f>
        <v>18347.58457</v>
      </c>
      <c r="J2" s="453">
        <f>B2*Products!$B$22</f>
        <v>752250.9674</v>
      </c>
      <c r="K2" s="387">
        <f t="shared" ref="K2:K40" si="1"> AVERAGE(B2:J2)</f>
        <v>609641.7696</v>
      </c>
    </row>
    <row r="3" ht="14.25" customHeight="1">
      <c r="A3" s="452" t="s">
        <v>570</v>
      </c>
      <c r="B3" s="453">
        <v>80832.0</v>
      </c>
      <c r="C3" s="453">
        <f>B3*Products!$B$15</f>
        <v>241987.5378</v>
      </c>
      <c r="D3" s="133">
        <f>B3*Products!$B$16</f>
        <v>326316.5282</v>
      </c>
      <c r="E3" s="133">
        <f>B3*Products!$B$17</f>
        <v>40331.2563</v>
      </c>
      <c r="F3" s="133">
        <f>B3*Products!$B$18</f>
        <v>128326.7246</v>
      </c>
      <c r="G3" s="453">
        <f>B3*Products!$B$19</f>
        <v>84328.99044</v>
      </c>
      <c r="H3" s="453">
        <f>B3*Products!$B$20</f>
        <v>40331.2563</v>
      </c>
      <c r="I3" s="453">
        <f>B3*Products!$B$21</f>
        <v>3666.477845</v>
      </c>
      <c r="J3" s="453">
        <f>B3*Products!$B$22</f>
        <v>150325.5917</v>
      </c>
      <c r="K3" s="387">
        <f t="shared" si="1"/>
        <v>121827.3737</v>
      </c>
    </row>
    <row r="4" ht="14.25" customHeight="1">
      <c r="A4" s="452" t="s">
        <v>571</v>
      </c>
      <c r="B4" s="453">
        <v>132622.0</v>
      </c>
      <c r="C4" s="453">
        <f>B4*Products!$B$15</f>
        <v>397031.7601</v>
      </c>
      <c r="D4" s="133">
        <f>B4*Products!$B$16</f>
        <v>535391.3129</v>
      </c>
      <c r="E4" s="133">
        <f>B4*Products!$B$17</f>
        <v>66171.96002</v>
      </c>
      <c r="F4" s="133">
        <f>B4*Products!$B$18</f>
        <v>210547.1455</v>
      </c>
      <c r="G4" s="453">
        <f>B4*Products!$B$19</f>
        <v>138359.5528</v>
      </c>
      <c r="H4" s="453">
        <f>B4*Products!$B$20</f>
        <v>66171.96002</v>
      </c>
      <c r="I4" s="453">
        <f>B4*Products!$B$21</f>
        <v>6015.632729</v>
      </c>
      <c r="J4" s="453">
        <f>B4*Products!$B$22</f>
        <v>246640.9419</v>
      </c>
      <c r="K4" s="387">
        <f t="shared" si="1"/>
        <v>199883.5851</v>
      </c>
    </row>
    <row r="5" ht="14.25" customHeight="1">
      <c r="A5" s="452" t="s">
        <v>572</v>
      </c>
      <c r="B5" s="453">
        <v>126955.0</v>
      </c>
      <c r="C5" s="453">
        <f>B5*Products!$B$15</f>
        <v>380066.4076</v>
      </c>
      <c r="D5" s="133">
        <f>B5*Products!$B$16</f>
        <v>512513.7921</v>
      </c>
      <c r="E5" s="133">
        <f>B5*Products!$B$17</f>
        <v>63344.40127</v>
      </c>
      <c r="F5" s="133">
        <f>B5*Products!$B$18</f>
        <v>201550.3677</v>
      </c>
      <c r="G5" s="453">
        <f>B5*Products!$B$19</f>
        <v>132447.3845</v>
      </c>
      <c r="H5" s="453">
        <f>B5*Products!$B$20</f>
        <v>63344.40127</v>
      </c>
      <c r="I5" s="453">
        <f>B5*Products!$B$21</f>
        <v>5758.581933</v>
      </c>
      <c r="J5" s="453">
        <f>B5*Products!$B$22</f>
        <v>236101.8593</v>
      </c>
      <c r="K5" s="387">
        <f t="shared" si="1"/>
        <v>191342.4662</v>
      </c>
    </row>
    <row r="6" ht="14.25" customHeight="1">
      <c r="A6" s="452" t="s">
        <v>573</v>
      </c>
      <c r="B6" s="453">
        <v>162505.0</v>
      </c>
      <c r="C6" s="453">
        <f>B6*Products!$B$15</f>
        <v>486492.7854</v>
      </c>
      <c r="D6" s="133">
        <f>B6*Products!$B$16</f>
        <v>656028.15</v>
      </c>
      <c r="E6" s="133">
        <f>B6*Products!$B$17</f>
        <v>81082.1309</v>
      </c>
      <c r="F6" s="133">
        <f>B6*Products!$B$18</f>
        <v>257988.5983</v>
      </c>
      <c r="G6" s="453">
        <f>B6*Products!$B$19</f>
        <v>169535.3646</v>
      </c>
      <c r="H6" s="453">
        <f>B6*Products!$B$20</f>
        <v>81082.1309</v>
      </c>
      <c r="I6" s="453">
        <f>B6*Products!$B$21</f>
        <v>7371.102809</v>
      </c>
      <c r="J6" s="453">
        <f>B6*Products!$B$22</f>
        <v>302215.2152</v>
      </c>
      <c r="K6" s="387">
        <f t="shared" si="1"/>
        <v>244922.2753</v>
      </c>
    </row>
    <row r="7" ht="14.25" customHeight="1">
      <c r="A7" s="452" t="s">
        <v>574</v>
      </c>
      <c r="B7" s="453">
        <v>147041.0</v>
      </c>
      <c r="C7" s="453">
        <f>B7*Products!$B$15</f>
        <v>440198.0595</v>
      </c>
      <c r="D7" s="133">
        <f>B7*Products!$B$16</f>
        <v>593600.4135</v>
      </c>
      <c r="E7" s="133">
        <f>B7*Products!$B$17</f>
        <v>73366.34324</v>
      </c>
      <c r="F7" s="133">
        <f>B7*Products!$B$18</f>
        <v>233438.3649</v>
      </c>
      <c r="G7" s="453">
        <f>B7*Products!$B$19</f>
        <v>153402.3541</v>
      </c>
      <c r="H7" s="453">
        <f>B7*Products!$B$20</f>
        <v>73366.34324</v>
      </c>
      <c r="I7" s="453">
        <f>B7*Products!$B$21</f>
        <v>6669.667568</v>
      </c>
      <c r="J7" s="453">
        <f>B7*Products!$B$22</f>
        <v>273456.3703</v>
      </c>
      <c r="K7" s="387">
        <f t="shared" si="1"/>
        <v>221615.4351</v>
      </c>
    </row>
    <row r="8" ht="14.25" customHeight="1">
      <c r="A8" s="452" t="s">
        <v>575</v>
      </c>
      <c r="B8" s="453">
        <v>98671.0</v>
      </c>
      <c r="C8" s="453">
        <f>B8*Products!$B$15</f>
        <v>295392.3241</v>
      </c>
      <c r="D8" s="133">
        <f>B8*Products!$B$16</f>
        <v>398332.0734</v>
      </c>
      <c r="E8" s="133">
        <f>B8*Products!$B$17</f>
        <v>49232.05401</v>
      </c>
      <c r="F8" s="133">
        <f>B8*Products!$B$18</f>
        <v>156647.4446</v>
      </c>
      <c r="G8" s="453">
        <f>B8*Products!$B$19</f>
        <v>102939.7493</v>
      </c>
      <c r="H8" s="453">
        <f>B8*Products!$B$20</f>
        <v>49232.05401</v>
      </c>
      <c r="I8" s="453">
        <f>B8*Products!$B$21</f>
        <v>4475.641274</v>
      </c>
      <c r="J8" s="453">
        <f>B8*Products!$B$22</f>
        <v>183501.2922</v>
      </c>
      <c r="K8" s="387">
        <f t="shared" si="1"/>
        <v>148713.737</v>
      </c>
    </row>
    <row r="9" ht="14.25" customHeight="1">
      <c r="A9" s="452" t="s">
        <v>576</v>
      </c>
      <c r="B9" s="453">
        <v>100281.0</v>
      </c>
      <c r="C9" s="453">
        <f>B9*Products!$B$15</f>
        <v>300212.1966</v>
      </c>
      <c r="D9" s="133">
        <f>B9*Products!$B$16</f>
        <v>404831.5985</v>
      </c>
      <c r="E9" s="133">
        <f>B9*Products!$B$17</f>
        <v>50035.3661</v>
      </c>
      <c r="F9" s="133">
        <f>B9*Products!$B$18</f>
        <v>159203.4376</v>
      </c>
      <c r="G9" s="453">
        <f>B9*Products!$B$19</f>
        <v>104619.4018</v>
      </c>
      <c r="H9" s="453">
        <f>B9*Products!$B$20</f>
        <v>50035.3661</v>
      </c>
      <c r="I9" s="453">
        <f>B9*Products!$B$21</f>
        <v>4548.669646</v>
      </c>
      <c r="J9" s="453">
        <f>B9*Products!$B$22</f>
        <v>186495.4555</v>
      </c>
      <c r="K9" s="387">
        <f t="shared" si="1"/>
        <v>151140.2769</v>
      </c>
    </row>
    <row r="10" ht="14.25" customHeight="1">
      <c r="A10" s="452" t="s">
        <v>577</v>
      </c>
      <c r="B10" s="453">
        <v>90119.0</v>
      </c>
      <c r="C10" s="453">
        <f>B10*Products!$B$15</f>
        <v>269790.1192</v>
      </c>
      <c r="D10" s="133">
        <f>B10*Products!$B$16</f>
        <v>363807.888</v>
      </c>
      <c r="E10" s="133">
        <f>B10*Products!$B$17</f>
        <v>44965.01987</v>
      </c>
      <c r="F10" s="133">
        <f>B10*Products!$B$18</f>
        <v>143070.5178</v>
      </c>
      <c r="G10" s="453">
        <f>B10*Products!$B$19</f>
        <v>94017.76882</v>
      </c>
      <c r="H10" s="453">
        <f>B10*Products!$B$20</f>
        <v>44965.01987</v>
      </c>
      <c r="I10" s="453">
        <f>B10*Products!$B$21</f>
        <v>4087.729079</v>
      </c>
      <c r="J10" s="453">
        <f>B10*Products!$B$22</f>
        <v>167596.8922</v>
      </c>
      <c r="K10" s="387">
        <f t="shared" si="1"/>
        <v>135824.4394</v>
      </c>
    </row>
    <row r="11" ht="14.25" customHeight="1">
      <c r="A11" s="452" t="s">
        <v>578</v>
      </c>
      <c r="B11" s="453">
        <v>366916.0</v>
      </c>
      <c r="C11" s="453">
        <f>B11*Products!$B$15</f>
        <v>1098439.967</v>
      </c>
      <c r="D11" s="133">
        <f>B11*Products!$B$16</f>
        <v>1481229.652</v>
      </c>
      <c r="E11" s="133">
        <f>B11*Products!$B$17</f>
        <v>183073.3278</v>
      </c>
      <c r="F11" s="133">
        <f>B11*Products!$B$18</f>
        <v>582506.0431</v>
      </c>
      <c r="G11" s="453">
        <f>B11*Products!$B$19</f>
        <v>382789.6855</v>
      </c>
      <c r="H11" s="453">
        <f>B11*Products!$B$20</f>
        <v>183073.3278</v>
      </c>
      <c r="I11" s="453">
        <f>B11*Products!$B$21</f>
        <v>16643.0298</v>
      </c>
      <c r="J11" s="453">
        <f>B11*Products!$B$22</f>
        <v>682364.2219</v>
      </c>
      <c r="K11" s="387">
        <f t="shared" si="1"/>
        <v>553003.9173</v>
      </c>
    </row>
    <row r="12" ht="14.25" customHeight="1">
      <c r="A12" s="452" t="s">
        <v>579</v>
      </c>
      <c r="B12" s="453">
        <v>116571.0</v>
      </c>
      <c r="C12" s="453">
        <f>B12*Products!$B$15</f>
        <v>348979.7267</v>
      </c>
      <c r="D12" s="133">
        <f>B12*Products!$B$16</f>
        <v>470593.8739</v>
      </c>
      <c r="E12" s="133">
        <f>B12*Products!$B$17</f>
        <v>58163.28778</v>
      </c>
      <c r="F12" s="133">
        <f>B12*Products!$B$18</f>
        <v>185065.0066</v>
      </c>
      <c r="G12" s="453">
        <f>B12*Products!$B$19</f>
        <v>121614.1472</v>
      </c>
      <c r="H12" s="453">
        <f>B12*Products!$B$20</f>
        <v>58163.28778</v>
      </c>
      <c r="I12" s="453">
        <f>B12*Products!$B$21</f>
        <v>5287.571616</v>
      </c>
      <c r="J12" s="453">
        <f>B12*Products!$B$22</f>
        <v>216790.4363</v>
      </c>
      <c r="K12" s="387">
        <f t="shared" si="1"/>
        <v>175692.0375</v>
      </c>
    </row>
    <row r="13" ht="14.25" customHeight="1">
      <c r="A13" s="452" t="s">
        <v>580</v>
      </c>
      <c r="B13" s="453">
        <v>177335.0</v>
      </c>
      <c r="C13" s="453">
        <f>B13*Products!$B$15</f>
        <v>530889.4994</v>
      </c>
      <c r="D13" s="133">
        <f>B13*Products!$B$16</f>
        <v>715896.4461</v>
      </c>
      <c r="E13" s="133">
        <f>B13*Products!$B$17</f>
        <v>88481.58323</v>
      </c>
      <c r="F13" s="133">
        <f>B13*Products!$B$18</f>
        <v>281532.3103</v>
      </c>
      <c r="G13" s="453">
        <f>B13*Products!$B$19</f>
        <v>185006.9467</v>
      </c>
      <c r="H13" s="453">
        <f>B13*Products!$B$20</f>
        <v>88481.58323</v>
      </c>
      <c r="I13" s="453">
        <f>B13*Products!$B$21</f>
        <v>8043.780293</v>
      </c>
      <c r="J13" s="453">
        <f>B13*Products!$B$22</f>
        <v>329794.992</v>
      </c>
      <c r="K13" s="387">
        <f t="shared" si="1"/>
        <v>267273.5713</v>
      </c>
    </row>
    <row r="14" ht="14.25" customHeight="1">
      <c r="A14" s="452" t="s">
        <v>581</v>
      </c>
      <c r="B14" s="453">
        <v>92787.0</v>
      </c>
      <c r="C14" s="453">
        <f>B14*Products!$B$15</f>
        <v>277777.3366</v>
      </c>
      <c r="D14" s="133">
        <f>B14*Products!$B$16</f>
        <v>374578.5296</v>
      </c>
      <c r="E14" s="133">
        <f>B14*Products!$B$17</f>
        <v>46296.22276</v>
      </c>
      <c r="F14" s="133">
        <f>B14*Products!$B$18</f>
        <v>147306.1633</v>
      </c>
      <c r="G14" s="453">
        <f>B14*Products!$B$19</f>
        <v>96801.19304</v>
      </c>
      <c r="H14" s="453">
        <f>B14*Products!$B$20</f>
        <v>46296.22276</v>
      </c>
      <c r="I14" s="453">
        <f>B14*Products!$B$21</f>
        <v>4208.747524</v>
      </c>
      <c r="J14" s="453">
        <f>B14*Products!$B$22</f>
        <v>172558.6485</v>
      </c>
      <c r="K14" s="387">
        <f t="shared" si="1"/>
        <v>139845.5627</v>
      </c>
    </row>
    <row r="15" ht="14.25" customHeight="1">
      <c r="A15" s="452" t="s">
        <v>582</v>
      </c>
      <c r="B15" s="453">
        <v>294838.0</v>
      </c>
      <c r="C15" s="453">
        <f>B15*Products!$B$15</f>
        <v>882659.3634</v>
      </c>
      <c r="D15" s="133">
        <f>B15*Products!$B$16</f>
        <v>1190252.778</v>
      </c>
      <c r="E15" s="133">
        <f>B15*Products!$B$17</f>
        <v>147109.8939</v>
      </c>
      <c r="F15" s="133">
        <f>B15*Products!$B$18</f>
        <v>468076.9352</v>
      </c>
      <c r="G15" s="453">
        <f>B15*Products!$B$19</f>
        <v>307593.4145</v>
      </c>
      <c r="H15" s="453">
        <f>B15*Products!$B$20</f>
        <v>147109.8939</v>
      </c>
      <c r="I15" s="453">
        <f>B15*Products!$B$21</f>
        <v>13373.62672</v>
      </c>
      <c r="J15" s="453">
        <f>B15*Products!$B$22</f>
        <v>548318.6955</v>
      </c>
      <c r="K15" s="387">
        <f t="shared" si="1"/>
        <v>444370.289</v>
      </c>
    </row>
    <row r="16" ht="14.25" customHeight="1">
      <c r="A16" s="452" t="s">
        <v>583</v>
      </c>
      <c r="B16" s="453">
        <v>105833.0</v>
      </c>
      <c r="C16" s="453">
        <f>B16*Products!$B$15</f>
        <v>316833.2725</v>
      </c>
      <c r="D16" s="133">
        <f>B16*Products!$B$16</f>
        <v>427244.8675</v>
      </c>
      <c r="E16" s="133">
        <f>B16*Products!$B$17</f>
        <v>52805.54542</v>
      </c>
      <c r="F16" s="133">
        <f>B16*Products!$B$18</f>
        <v>168017.6445</v>
      </c>
      <c r="G16" s="453">
        <f>B16*Products!$B$19</f>
        <v>110411.595</v>
      </c>
      <c r="H16" s="453">
        <f>B16*Products!$B$20</f>
        <v>52805.54542</v>
      </c>
      <c r="I16" s="453">
        <f>B16*Products!$B$21</f>
        <v>4800.504129</v>
      </c>
      <c r="J16" s="453">
        <f>B16*Products!$B$22</f>
        <v>196820.6693</v>
      </c>
      <c r="K16" s="387">
        <f t="shared" si="1"/>
        <v>159508.0715</v>
      </c>
    </row>
    <row r="17" ht="14.25" customHeight="1">
      <c r="A17" s="452" t="s">
        <v>584</v>
      </c>
      <c r="B17" s="453">
        <v>98804.0</v>
      </c>
      <c r="C17" s="453">
        <f>B17*Products!$B$15</f>
        <v>295790.4875</v>
      </c>
      <c r="D17" s="133">
        <f>B17*Products!$B$16</f>
        <v>398868.9907</v>
      </c>
      <c r="E17" s="133">
        <f>B17*Products!$B$17</f>
        <v>49298.41458</v>
      </c>
      <c r="F17" s="133">
        <f>B17*Products!$B$18</f>
        <v>156858.5918</v>
      </c>
      <c r="G17" s="453">
        <f>B17*Products!$B$19</f>
        <v>103078.5032</v>
      </c>
      <c r="H17" s="453">
        <f>B17*Products!$B$20</f>
        <v>49298.41458</v>
      </c>
      <c r="I17" s="453">
        <f>B17*Products!$B$21</f>
        <v>4481.674053</v>
      </c>
      <c r="J17" s="453">
        <f>B17*Products!$B$22</f>
        <v>183748.6362</v>
      </c>
      <c r="K17" s="387">
        <f t="shared" si="1"/>
        <v>148914.1903</v>
      </c>
    </row>
    <row r="18" ht="14.25" customHeight="1">
      <c r="A18" s="452" t="s">
        <v>585</v>
      </c>
      <c r="B18" s="453">
        <v>96249.0</v>
      </c>
      <c r="C18" s="453">
        <f>B18*Products!$B$15</f>
        <v>288141.5593</v>
      </c>
      <c r="D18" s="133">
        <f>B18*Products!$B$16</f>
        <v>388554.527</v>
      </c>
      <c r="E18" s="133">
        <f>B18*Products!$B$17</f>
        <v>48023.59322</v>
      </c>
      <c r="F18" s="133">
        <f>B18*Products!$B$18</f>
        <v>152802.3421</v>
      </c>
      <c r="G18" s="453">
        <f>B18*Products!$B$19</f>
        <v>100412.9676</v>
      </c>
      <c r="H18" s="453">
        <f>B18*Products!$B$20</f>
        <v>48023.59322</v>
      </c>
      <c r="I18" s="453">
        <f>B18*Products!$B$21</f>
        <v>4365.781202</v>
      </c>
      <c r="J18" s="453">
        <f>B18*Products!$B$22</f>
        <v>178997.0293</v>
      </c>
      <c r="K18" s="387">
        <f t="shared" si="1"/>
        <v>145063.377</v>
      </c>
    </row>
    <row r="19" ht="14.25" customHeight="1">
      <c r="A19" s="452" t="s">
        <v>586</v>
      </c>
      <c r="B19" s="453">
        <v>116534.0</v>
      </c>
      <c r="C19" s="453">
        <f>B19*Products!$B$15</f>
        <v>348868.9594</v>
      </c>
      <c r="D19" s="133">
        <f>B19*Products!$B$16</f>
        <v>470444.5059</v>
      </c>
      <c r="E19" s="133">
        <f>B19*Products!$B$17</f>
        <v>58144.82657</v>
      </c>
      <c r="F19" s="133">
        <f>B19*Products!$B$18</f>
        <v>185006.2664</v>
      </c>
      <c r="G19" s="453">
        <f>B19*Products!$B$19</f>
        <v>121575.5465</v>
      </c>
      <c r="H19" s="453">
        <f>B19*Products!$B$20</f>
        <v>58144.82657</v>
      </c>
      <c r="I19" s="453">
        <f>B19*Products!$B$21</f>
        <v>5285.893325</v>
      </c>
      <c r="J19" s="453">
        <f>B19*Products!$B$22</f>
        <v>216721.6263</v>
      </c>
      <c r="K19" s="387">
        <f t="shared" si="1"/>
        <v>175636.2723</v>
      </c>
    </row>
    <row r="20" ht="14.25" customHeight="1">
      <c r="A20" s="452" t="s">
        <v>587</v>
      </c>
      <c r="B20" s="453">
        <v>521627.0</v>
      </c>
      <c r="C20" s="453">
        <f>B20*Products!$B$15</f>
        <v>1561599.779</v>
      </c>
      <c r="D20" s="133">
        <f>B20*Products!$B$16</f>
        <v>2105793.642</v>
      </c>
      <c r="E20" s="133">
        <f>B20*Products!$B$17</f>
        <v>260266.6299</v>
      </c>
      <c r="F20" s="133">
        <f>B20*Products!$B$18</f>
        <v>828121.0952</v>
      </c>
      <c r="G20" s="453">
        <f>B20*Products!$B$19</f>
        <v>544193.8625</v>
      </c>
      <c r="H20" s="453">
        <f>B20*Products!$B$20</f>
        <v>260266.6299</v>
      </c>
      <c r="I20" s="453">
        <f>B20*Products!$B$21</f>
        <v>23660.60272</v>
      </c>
      <c r="J20" s="453">
        <f>B20*Products!$B$22</f>
        <v>970084.7115</v>
      </c>
      <c r="K20" s="387">
        <f t="shared" si="1"/>
        <v>786179.3281</v>
      </c>
    </row>
    <row r="21" ht="14.25" customHeight="1">
      <c r="A21" s="452" t="s">
        <v>588</v>
      </c>
      <c r="B21" s="453">
        <v>208237.0</v>
      </c>
      <c r="C21" s="453">
        <f>B21*Products!$B$15</f>
        <v>623401.1147</v>
      </c>
      <c r="D21" s="133">
        <f>B21*Products!$B$16</f>
        <v>840646.9577</v>
      </c>
      <c r="E21" s="133">
        <f>B21*Products!$B$17</f>
        <v>103900.1858</v>
      </c>
      <c r="F21" s="133">
        <f>B21*Products!$B$18</f>
        <v>330591.5002</v>
      </c>
      <c r="G21" s="453">
        <f>B21*Products!$B$19</f>
        <v>217245.843</v>
      </c>
      <c r="H21" s="453">
        <f>B21*Products!$B$20</f>
        <v>103900.1858</v>
      </c>
      <c r="I21" s="453">
        <f>B21*Products!$B$21</f>
        <v>9445.471435</v>
      </c>
      <c r="J21" s="453">
        <f>B21*Products!$B$22</f>
        <v>387264.3288</v>
      </c>
      <c r="K21" s="387">
        <f t="shared" si="1"/>
        <v>313848.0653</v>
      </c>
    </row>
    <row r="22" ht="14.25" customHeight="1">
      <c r="A22" s="452" t="s">
        <v>589</v>
      </c>
      <c r="B22" s="453">
        <v>101174.0</v>
      </c>
      <c r="C22" s="453">
        <f>B22*Products!$B$15</f>
        <v>302885.5793</v>
      </c>
      <c r="D22" s="133">
        <f>B22*Products!$B$16</f>
        <v>408436.6145</v>
      </c>
      <c r="E22" s="133">
        <f>B22*Products!$B$17</f>
        <v>50480.92989</v>
      </c>
      <c r="F22" s="133">
        <f>B22*Products!$B$18</f>
        <v>160621.1405</v>
      </c>
      <c r="G22" s="453">
        <f>B22*Products!$B$19</f>
        <v>105551.0352</v>
      </c>
      <c r="H22" s="453">
        <f>B22*Products!$B$20</f>
        <v>50480.92989</v>
      </c>
      <c r="I22" s="453">
        <f>B22*Products!$B$21</f>
        <v>4589.175444</v>
      </c>
      <c r="J22" s="453">
        <f>B22*Products!$B$22</f>
        <v>188156.1932</v>
      </c>
      <c r="K22" s="387">
        <f t="shared" si="1"/>
        <v>152486.1776</v>
      </c>
    </row>
    <row r="23" ht="14.25" customHeight="1">
      <c r="A23" s="452" t="s">
        <v>590</v>
      </c>
      <c r="B23" s="453">
        <v>241599.0</v>
      </c>
      <c r="C23" s="453">
        <f>B23*Products!$B$15</f>
        <v>723277.2558</v>
      </c>
      <c r="D23" s="133">
        <f>B23*Products!$B$16</f>
        <v>975328.4207</v>
      </c>
      <c r="E23" s="133">
        <f>B23*Products!$B$17</f>
        <v>120546.2093</v>
      </c>
      <c r="F23" s="133">
        <f>B23*Products!$B$18</f>
        <v>383556.1205</v>
      </c>
      <c r="G23" s="453">
        <f>B23*Products!$B$19</f>
        <v>252051.1649</v>
      </c>
      <c r="H23" s="453">
        <f>B23*Products!$B$20</f>
        <v>120546.2093</v>
      </c>
      <c r="I23" s="453">
        <f>B23*Products!$B$21</f>
        <v>10958.7463</v>
      </c>
      <c r="J23" s="453">
        <f>B23*Products!$B$22</f>
        <v>449308.5983</v>
      </c>
      <c r="K23" s="387">
        <f t="shared" si="1"/>
        <v>364130.1917</v>
      </c>
    </row>
    <row r="24" ht="14.25" customHeight="1">
      <c r="A24" s="452" t="s">
        <v>591</v>
      </c>
      <c r="B24" s="453">
        <v>142079.0</v>
      </c>
      <c r="C24" s="453">
        <f>B24*Products!$B$15</f>
        <v>425343.2722</v>
      </c>
      <c r="D24" s="133">
        <f>B24*Products!$B$16</f>
        <v>573568.958</v>
      </c>
      <c r="E24" s="133">
        <f>B24*Products!$B$17</f>
        <v>70890.54537</v>
      </c>
      <c r="F24" s="133">
        <f>B24*Products!$B$18</f>
        <v>225560.8262</v>
      </c>
      <c r="G24" s="453">
        <f>B24*Products!$B$19</f>
        <v>148225.6858</v>
      </c>
      <c r="H24" s="453">
        <f>B24*Products!$B$20</f>
        <v>70890.54537</v>
      </c>
      <c r="I24" s="453">
        <f>B24*Products!$B$21</f>
        <v>6444.595034</v>
      </c>
      <c r="J24" s="453">
        <f>B24*Products!$B$22</f>
        <v>264228.3964</v>
      </c>
      <c r="K24" s="387">
        <f t="shared" si="1"/>
        <v>214136.8694</v>
      </c>
    </row>
    <row r="25" ht="14.25" customHeight="1">
      <c r="A25" s="452" t="s">
        <v>592</v>
      </c>
      <c r="B25" s="453">
        <v>230293.0</v>
      </c>
      <c r="C25" s="453">
        <f>B25*Products!$B$15</f>
        <v>689430.3746</v>
      </c>
      <c r="D25" s="133">
        <f>B25*Products!$B$16</f>
        <v>929686.4142</v>
      </c>
      <c r="E25" s="133">
        <f>B25*Products!$B$17</f>
        <v>114905.0624</v>
      </c>
      <c r="F25" s="133">
        <f>B25*Products!$B$18</f>
        <v>365607.0168</v>
      </c>
      <c r="G25" s="453">
        <f>B25*Products!$B$19</f>
        <v>240256.0396</v>
      </c>
      <c r="H25" s="453">
        <f>B25*Products!$B$20</f>
        <v>114905.0624</v>
      </c>
      <c r="I25" s="453">
        <f>B25*Products!$B$21</f>
        <v>10445.91477</v>
      </c>
      <c r="J25" s="453">
        <f>B25*Products!$B$22</f>
        <v>428282.5054</v>
      </c>
      <c r="K25" s="387">
        <f t="shared" si="1"/>
        <v>347090.1545</v>
      </c>
    </row>
    <row r="26" ht="14.25" customHeight="1">
      <c r="A26" s="452" t="s">
        <v>593</v>
      </c>
      <c r="B26" s="453">
        <v>210410.0</v>
      </c>
      <c r="C26" s="453">
        <f>B26*Products!$B$15</f>
        <v>629906.4458</v>
      </c>
      <c r="D26" s="133">
        <f>B26*Products!$B$16</f>
        <v>849419.2981</v>
      </c>
      <c r="E26" s="133">
        <f>B26*Products!$B$17</f>
        <v>104984.4076</v>
      </c>
      <c r="F26" s="133">
        <f>B26*Products!$B$18</f>
        <v>334041.297</v>
      </c>
      <c r="G26" s="453">
        <f>B26*Products!$B$19</f>
        <v>219512.8523</v>
      </c>
      <c r="H26" s="453">
        <f>B26*Products!$B$20</f>
        <v>104984.4076</v>
      </c>
      <c r="I26" s="453">
        <f>B26*Products!$B$21</f>
        <v>9544.037057</v>
      </c>
      <c r="J26" s="453">
        <f>B26*Products!$B$22</f>
        <v>391305.5193</v>
      </c>
      <c r="K26" s="387">
        <f t="shared" si="1"/>
        <v>317123.1405</v>
      </c>
    </row>
    <row r="27" ht="14.25" customHeight="1">
      <c r="A27" s="452" t="s">
        <v>594</v>
      </c>
      <c r="B27" s="453">
        <v>110026.0</v>
      </c>
      <c r="C27" s="453">
        <f>B27*Products!$B$15</f>
        <v>329385.8971</v>
      </c>
      <c r="D27" s="133">
        <f>B27*Products!$B$16</f>
        <v>444171.8915</v>
      </c>
      <c r="E27" s="133">
        <f>B27*Products!$B$17</f>
        <v>54897.64951</v>
      </c>
      <c r="F27" s="133">
        <f>B27*Products!$B$18</f>
        <v>174674.3394</v>
      </c>
      <c r="G27" s="453">
        <f>B27*Products!$B$19</f>
        <v>114785.9944</v>
      </c>
      <c r="H27" s="453">
        <f>B27*Products!$B$20</f>
        <v>54897.64951</v>
      </c>
      <c r="I27" s="453">
        <f>B27*Products!$B$21</f>
        <v>4990.69541</v>
      </c>
      <c r="J27" s="453">
        <f>B27*Products!$B$22</f>
        <v>204618.5118</v>
      </c>
      <c r="K27" s="387">
        <f t="shared" si="1"/>
        <v>165827.6254</v>
      </c>
    </row>
    <row r="28" ht="14.25" customHeight="1">
      <c r="A28" s="452" t="s">
        <v>595</v>
      </c>
      <c r="B28" s="453">
        <v>157851.0</v>
      </c>
      <c r="C28" s="453">
        <f>B28*Products!$B$15</f>
        <v>472560.0607</v>
      </c>
      <c r="D28" s="133">
        <f>B28*Products!$B$16</f>
        <v>637240.0819</v>
      </c>
      <c r="E28" s="133">
        <f>B28*Products!$B$17</f>
        <v>78760.01012</v>
      </c>
      <c r="F28" s="133">
        <f>B28*Products!$B$18</f>
        <v>250600.0322</v>
      </c>
      <c r="G28" s="453">
        <f>B28*Products!$B$19</f>
        <v>164680.0212</v>
      </c>
      <c r="H28" s="453">
        <f>B28*Products!$B$20</f>
        <v>78760.01012</v>
      </c>
      <c r="I28" s="453">
        <f>B28*Products!$B$21</f>
        <v>7160.00092</v>
      </c>
      <c r="J28" s="453">
        <f>B28*Products!$B$22</f>
        <v>293560.0377</v>
      </c>
      <c r="K28" s="387">
        <f t="shared" si="1"/>
        <v>237907.9172</v>
      </c>
    </row>
    <row r="29" ht="14.25" customHeight="1">
      <c r="A29" s="452" t="s">
        <v>596</v>
      </c>
      <c r="B29" s="453">
        <v>147151.0</v>
      </c>
      <c r="C29" s="453">
        <f>B29*Products!$B$15</f>
        <v>440527.3675</v>
      </c>
      <c r="D29" s="133">
        <f>B29*Products!$B$16</f>
        <v>594044.4805</v>
      </c>
      <c r="E29" s="133">
        <f>B29*Products!$B$17</f>
        <v>73421.22792</v>
      </c>
      <c r="F29" s="133">
        <f>B29*Products!$B$18</f>
        <v>233612.9979</v>
      </c>
      <c r="G29" s="453">
        <f>B29*Products!$B$19</f>
        <v>153517.1129</v>
      </c>
      <c r="H29" s="453">
        <f>B29*Products!$B$20</f>
        <v>73421.22792</v>
      </c>
      <c r="I29" s="453">
        <f>B29*Products!$B$21</f>
        <v>6674.657084</v>
      </c>
      <c r="J29" s="453">
        <f>B29*Products!$B$22</f>
        <v>273660.9404</v>
      </c>
      <c r="K29" s="387">
        <f t="shared" si="1"/>
        <v>221781.2236</v>
      </c>
    </row>
    <row r="30" ht="14.25" customHeight="1">
      <c r="A30" s="452" t="s">
        <v>597</v>
      </c>
      <c r="B30" s="453">
        <v>94492.0</v>
      </c>
      <c r="C30" s="453">
        <f>B30*Products!$B$15</f>
        <v>282881.6115</v>
      </c>
      <c r="D30" s="133">
        <f>B30*Products!$B$16</f>
        <v>381461.567</v>
      </c>
      <c r="E30" s="133">
        <f>B30*Products!$B$17</f>
        <v>47146.93525</v>
      </c>
      <c r="F30" s="133">
        <f>B30*Products!$B$18</f>
        <v>150012.9758</v>
      </c>
      <c r="G30" s="453">
        <f>B30*Products!$B$19</f>
        <v>98579.95552</v>
      </c>
      <c r="H30" s="453">
        <f>B30*Products!$B$20</f>
        <v>47146.93525</v>
      </c>
      <c r="I30" s="453">
        <f>B30*Products!$B$21</f>
        <v>4286.085023</v>
      </c>
      <c r="J30" s="453">
        <f>B30*Products!$B$22</f>
        <v>175729.4859</v>
      </c>
      <c r="K30" s="387">
        <f t="shared" si="1"/>
        <v>142415.2835</v>
      </c>
    </row>
    <row r="31" ht="14.25" customHeight="1">
      <c r="A31" s="452" t="s">
        <v>598</v>
      </c>
      <c r="B31" s="453">
        <v>107954.0</v>
      </c>
      <c r="C31" s="453">
        <f>B31*Products!$B$15</f>
        <v>323182.9307</v>
      </c>
      <c r="D31" s="133">
        <f>B31*Products!$B$16</f>
        <v>435807.2853</v>
      </c>
      <c r="E31" s="133">
        <f>B31*Products!$B$17</f>
        <v>53863.82178</v>
      </c>
      <c r="F31" s="133">
        <f>B31*Products!$B$18</f>
        <v>171384.8875</v>
      </c>
      <c r="G31" s="453">
        <f>B31*Products!$B$19</f>
        <v>112624.3546</v>
      </c>
      <c r="H31" s="453">
        <f>B31*Products!$B$20</f>
        <v>53863.82178</v>
      </c>
      <c r="I31" s="453">
        <f>B31*Products!$B$21</f>
        <v>4896.711071</v>
      </c>
      <c r="J31" s="453">
        <f>B31*Products!$B$22</f>
        <v>200765.1539</v>
      </c>
      <c r="K31" s="387">
        <f t="shared" si="1"/>
        <v>162704.7741</v>
      </c>
    </row>
    <row r="32" ht="14.25" customHeight="1">
      <c r="A32" s="452" t="s">
        <v>599</v>
      </c>
      <c r="B32" s="453">
        <v>82900.0</v>
      </c>
      <c r="C32" s="453">
        <f>B32*Products!$B$15</f>
        <v>248178.5293</v>
      </c>
      <c r="D32" s="133">
        <f>B32*Products!$B$16</f>
        <v>334664.9865</v>
      </c>
      <c r="E32" s="133">
        <f>B32*Products!$B$17</f>
        <v>41363.08822</v>
      </c>
      <c r="F32" s="133">
        <f>B32*Products!$B$18</f>
        <v>131609.8262</v>
      </c>
      <c r="G32" s="453">
        <f>B32*Products!$B$19</f>
        <v>86486.45719</v>
      </c>
      <c r="H32" s="453">
        <f>B32*Products!$B$20</f>
        <v>41363.08822</v>
      </c>
      <c r="I32" s="453">
        <f>B32*Products!$B$21</f>
        <v>3760.280747</v>
      </c>
      <c r="J32" s="453">
        <f>B32*Products!$B$22</f>
        <v>154171.5106</v>
      </c>
      <c r="K32" s="387">
        <f t="shared" si="1"/>
        <v>124944.1963</v>
      </c>
    </row>
    <row r="33" ht="14.25" customHeight="1">
      <c r="A33" s="452" t="s">
        <v>600</v>
      </c>
      <c r="B33" s="453">
        <v>85384.0</v>
      </c>
      <c r="C33" s="453">
        <f>B33*Products!$B$15</f>
        <v>255614.9041</v>
      </c>
      <c r="D33" s="133">
        <f>B33*Products!$B$16</f>
        <v>344692.8252</v>
      </c>
      <c r="E33" s="133">
        <f>B33*Products!$B$17</f>
        <v>42602.48401</v>
      </c>
      <c r="F33" s="133">
        <f>B33*Products!$B$18</f>
        <v>135553.3582</v>
      </c>
      <c r="G33" s="453">
        <f>B33*Products!$B$19</f>
        <v>89077.92112</v>
      </c>
      <c r="H33" s="453">
        <f>B33*Products!$B$20</f>
        <v>42602.48401</v>
      </c>
      <c r="I33" s="453">
        <f>B33*Products!$B$21</f>
        <v>3872.953092</v>
      </c>
      <c r="J33" s="453">
        <f>B33*Products!$B$22</f>
        <v>158791.0768</v>
      </c>
      <c r="K33" s="387">
        <f t="shared" si="1"/>
        <v>128688.0007</v>
      </c>
    </row>
    <row r="34" ht="14.25" customHeight="1">
      <c r="A34" s="452" t="s">
        <v>601</v>
      </c>
      <c r="B34" s="453">
        <v>568106.0</v>
      </c>
      <c r="C34" s="453">
        <f>B34*Products!$B$15</f>
        <v>1700744.41</v>
      </c>
      <c r="D34" s="133">
        <f>B34*Products!$B$16</f>
        <v>2293428.068</v>
      </c>
      <c r="E34" s="133">
        <f>B34*Products!$B$17</f>
        <v>283457.4016</v>
      </c>
      <c r="F34" s="133">
        <f>B34*Products!$B$18</f>
        <v>901909.9143</v>
      </c>
      <c r="G34" s="453">
        <f>B34*Products!$B$19</f>
        <v>592683.658</v>
      </c>
      <c r="H34" s="453">
        <f>B34*Products!$B$20</f>
        <v>283457.4016</v>
      </c>
      <c r="I34" s="453">
        <f>B34*Products!$B$21</f>
        <v>25768.8547</v>
      </c>
      <c r="J34" s="453">
        <f>B34*Products!$B$22</f>
        <v>1056523.043</v>
      </c>
      <c r="K34" s="387">
        <f t="shared" si="1"/>
        <v>856230.9723</v>
      </c>
    </row>
    <row r="35" ht="14.25" customHeight="1">
      <c r="A35" s="452" t="s">
        <v>602</v>
      </c>
      <c r="B35" s="453">
        <v>26521.0</v>
      </c>
      <c r="C35" s="453">
        <f>B35*Products!$B$15</f>
        <v>79396.17342</v>
      </c>
      <c r="D35" s="133">
        <f>B35*Products!$B$16</f>
        <v>107064.5369</v>
      </c>
      <c r="E35" s="133">
        <f>B35*Products!$B$17</f>
        <v>13232.69557</v>
      </c>
      <c r="F35" s="133">
        <f>B35*Products!$B$18</f>
        <v>42104.03136</v>
      </c>
      <c r="G35" s="453">
        <f>B35*Products!$B$19</f>
        <v>27668.36346</v>
      </c>
      <c r="H35" s="453">
        <f>B35*Products!$B$20</f>
        <v>13232.69557</v>
      </c>
      <c r="I35" s="453">
        <f>B35*Products!$B$21</f>
        <v>1202.972324</v>
      </c>
      <c r="J35" s="453">
        <f>B35*Products!$B$22</f>
        <v>49321.8653</v>
      </c>
      <c r="K35" s="387">
        <f t="shared" si="1"/>
        <v>39971.59265</v>
      </c>
    </row>
    <row r="36" ht="14.25" customHeight="1">
      <c r="A36" s="452" t="s">
        <v>603</v>
      </c>
      <c r="B36" s="453">
        <v>18189.0</v>
      </c>
      <c r="C36" s="453">
        <f>B36*Products!$B$15</f>
        <v>54452.58468</v>
      </c>
      <c r="D36" s="133">
        <f>B36*Products!$B$16</f>
        <v>73428.4854</v>
      </c>
      <c r="E36" s="133">
        <f>B36*Products!$B$17</f>
        <v>9075.43078</v>
      </c>
      <c r="F36" s="133">
        <f>B36*Products!$B$18</f>
        <v>28876.37066</v>
      </c>
      <c r="G36" s="453">
        <f>B36*Products!$B$19</f>
        <v>18975.90072</v>
      </c>
      <c r="H36" s="453">
        <f>B36*Products!$B$20</f>
        <v>9075.43078</v>
      </c>
      <c r="I36" s="453">
        <f>B36*Products!$B$21</f>
        <v>825.0391618</v>
      </c>
      <c r="J36" s="453">
        <f>B36*Products!$B$22</f>
        <v>33826.60563</v>
      </c>
      <c r="K36" s="387">
        <f t="shared" si="1"/>
        <v>27413.87198</v>
      </c>
    </row>
    <row r="37" ht="14.25" customHeight="1">
      <c r="A37" s="452" t="s">
        <v>604</v>
      </c>
      <c r="B37" s="453">
        <v>146207.0</v>
      </c>
      <c r="C37" s="453">
        <f>B37*Products!$B$15</f>
        <v>437701.3056</v>
      </c>
      <c r="D37" s="133">
        <f>B37*Products!$B$16</f>
        <v>590233.5788</v>
      </c>
      <c r="E37" s="133">
        <f>B37*Products!$B$17</f>
        <v>72950.2176</v>
      </c>
      <c r="F37" s="133">
        <f>B37*Products!$B$18</f>
        <v>232114.3287</v>
      </c>
      <c r="G37" s="453">
        <f>B37*Products!$B$19</f>
        <v>152532.2732</v>
      </c>
      <c r="H37" s="453">
        <f>B37*Products!$B$20</f>
        <v>72950.2176</v>
      </c>
      <c r="I37" s="453">
        <f>B37*Products!$B$21</f>
        <v>6631.837964</v>
      </c>
      <c r="J37" s="453">
        <f>B37*Products!$B$22</f>
        <v>271905.3565</v>
      </c>
      <c r="K37" s="387">
        <f t="shared" si="1"/>
        <v>220358.4573</v>
      </c>
    </row>
    <row r="38" ht="14.25" customHeight="1">
      <c r="A38" s="452" t="s">
        <v>605</v>
      </c>
      <c r="B38" s="453">
        <v>102034.0</v>
      </c>
      <c r="C38" s="453">
        <f>B38*Products!$B$15</f>
        <v>305460.1696</v>
      </c>
      <c r="D38" s="133">
        <f>B38*Products!$B$16</f>
        <v>411908.4105</v>
      </c>
      <c r="E38" s="133">
        <f>B38*Products!$B$17</f>
        <v>50910.02827</v>
      </c>
      <c r="F38" s="133">
        <f>B38*Products!$B$18</f>
        <v>161986.4536</v>
      </c>
      <c r="G38" s="453">
        <f>B38*Products!$B$19</f>
        <v>106448.2409</v>
      </c>
      <c r="H38" s="453">
        <f>B38*Products!$B$20</f>
        <v>50910.02827</v>
      </c>
      <c r="I38" s="453">
        <f>B38*Products!$B$21</f>
        <v>4628.184388</v>
      </c>
      <c r="J38" s="453">
        <f>B38*Products!$B$22</f>
        <v>189755.5599</v>
      </c>
      <c r="K38" s="387">
        <f t="shared" si="1"/>
        <v>153782.3417</v>
      </c>
    </row>
    <row r="39" ht="14.25" customHeight="1">
      <c r="A39" s="452" t="s">
        <v>606</v>
      </c>
      <c r="B39" s="453">
        <v>19312.0</v>
      </c>
      <c r="C39" s="453">
        <f>B39*Products!$B$15</f>
        <v>57814.52061</v>
      </c>
      <c r="D39" s="133">
        <f>B39*Products!$B$16</f>
        <v>77962.00506</v>
      </c>
      <c r="E39" s="133">
        <f>B39*Products!$B$17</f>
        <v>9635.753434</v>
      </c>
      <c r="F39" s="133">
        <f>B39*Products!$B$18</f>
        <v>30659.21547</v>
      </c>
      <c r="G39" s="453">
        <f>B39*Products!$B$19</f>
        <v>20147.48445</v>
      </c>
      <c r="H39" s="453">
        <f>B39*Products!$B$20</f>
        <v>9635.753434</v>
      </c>
      <c r="I39" s="453">
        <f>B39*Products!$B$21</f>
        <v>875.9775849</v>
      </c>
      <c r="J39" s="453">
        <f>B39*Products!$B$22</f>
        <v>35915.08098</v>
      </c>
      <c r="K39" s="387">
        <f t="shared" si="1"/>
        <v>29106.42123</v>
      </c>
    </row>
    <row r="40" ht="14.25" customHeight="1">
      <c r="A40" s="454" t="s">
        <v>607</v>
      </c>
      <c r="B40" s="453">
        <v>246762.0</v>
      </c>
      <c r="C40" s="453">
        <f>B40*Products!$B$15</f>
        <v>738733.7787</v>
      </c>
      <c r="D40" s="453">
        <f>B40*Products!$B$16</f>
        <v>996171.3076</v>
      </c>
      <c r="E40" s="453">
        <f>B40*Products!$B$17</f>
        <v>123122.2964</v>
      </c>
      <c r="F40" s="453">
        <f>B40*Products!$B$18</f>
        <v>391752.7614</v>
      </c>
      <c r="G40" s="453">
        <f>B40*Products!$B$19</f>
        <v>257437.5289</v>
      </c>
      <c r="H40" s="453">
        <f>B40*Products!$B$20</f>
        <v>123122.2964</v>
      </c>
      <c r="I40" s="453">
        <f>B40*Products!$B$21</f>
        <v>11192.93604</v>
      </c>
      <c r="J40" s="453">
        <f>B40*Products!$B$22</f>
        <v>458910.3777</v>
      </c>
      <c r="K40" s="387">
        <f t="shared" si="1"/>
        <v>371911.6981</v>
      </c>
    </row>
    <row r="41" ht="14.25" customHeight="1"/>
    <row r="42" ht="14.25" customHeight="1">
      <c r="A42" s="388" t="s">
        <v>408</v>
      </c>
      <c r="B42" s="455">
        <f t="shared" ref="B42:J42" si="2">SUM(B2:B40)</f>
        <v>6377696</v>
      </c>
      <c r="C42" s="389">
        <f t="shared" si="2"/>
        <v>19092970.01</v>
      </c>
      <c r="D42" s="389">
        <f t="shared" si="2"/>
        <v>25746580.77</v>
      </c>
      <c r="E42" s="389">
        <f t="shared" si="2"/>
        <v>3182161.668</v>
      </c>
      <c r="F42" s="389">
        <f t="shared" si="2"/>
        <v>10125059.85</v>
      </c>
      <c r="G42" s="389">
        <f t="shared" si="2"/>
        <v>6653610.761</v>
      </c>
      <c r="H42" s="389">
        <f t="shared" si="2"/>
        <v>3182161.668</v>
      </c>
      <c r="I42" s="389">
        <f t="shared" si="2"/>
        <v>289287.4244</v>
      </c>
      <c r="J42" s="389">
        <f t="shared" si="2"/>
        <v>11860784.4</v>
      </c>
    </row>
    <row r="43" ht="14.25" customHeight="1">
      <c r="A43" s="388" t="s">
        <v>608</v>
      </c>
      <c r="B43" s="389">
        <f>SUM(B42:J42)</f>
        <v>86510312.55</v>
      </c>
    </row>
    <row r="44" ht="14.25" customHeight="1"/>
    <row r="45" ht="14.25" customHeight="1">
      <c r="A45" s="155" t="s">
        <v>609</v>
      </c>
      <c r="B45" s="155">
        <f t="shared" ref="B45:J45" si="3">B42/365</f>
        <v>17473.13973</v>
      </c>
      <c r="C45" s="155">
        <f t="shared" si="3"/>
        <v>52309.50687</v>
      </c>
      <c r="D45" s="155">
        <f t="shared" si="3"/>
        <v>70538.57745</v>
      </c>
      <c r="E45" s="155">
        <f t="shared" si="3"/>
        <v>8718.251146</v>
      </c>
      <c r="F45" s="155">
        <f t="shared" si="3"/>
        <v>27739.89001</v>
      </c>
      <c r="G45" s="155">
        <f t="shared" si="3"/>
        <v>18229.07058</v>
      </c>
      <c r="H45" s="155">
        <f t="shared" si="3"/>
        <v>8718.251146</v>
      </c>
      <c r="I45" s="155">
        <f t="shared" si="3"/>
        <v>792.568286</v>
      </c>
      <c r="J45" s="155">
        <f t="shared" si="3"/>
        <v>32495.29972</v>
      </c>
    </row>
    <row r="46" ht="14.25" customHeight="1">
      <c r="A46" s="155" t="s">
        <v>610</v>
      </c>
      <c r="B46" s="155">
        <f t="shared" ref="B46:J46" si="4">B42/52</f>
        <v>122648</v>
      </c>
      <c r="C46" s="155">
        <f t="shared" si="4"/>
        <v>367172.5002</v>
      </c>
      <c r="D46" s="155">
        <f t="shared" si="4"/>
        <v>495126.5533</v>
      </c>
      <c r="E46" s="155">
        <f t="shared" si="4"/>
        <v>61195.4167</v>
      </c>
      <c r="F46" s="155">
        <f t="shared" si="4"/>
        <v>194712.6895</v>
      </c>
      <c r="G46" s="155">
        <f t="shared" si="4"/>
        <v>127954.0531</v>
      </c>
      <c r="H46" s="155">
        <f t="shared" si="4"/>
        <v>61195.4167</v>
      </c>
      <c r="I46" s="155">
        <f t="shared" si="4"/>
        <v>5563.2197</v>
      </c>
      <c r="J46" s="155">
        <f t="shared" si="4"/>
        <v>228092.0077</v>
      </c>
    </row>
    <row r="47" ht="14.25" customHeight="1">
      <c r="A47" s="155" t="s">
        <v>611</v>
      </c>
      <c r="B47" s="155">
        <f t="shared" ref="B47:J47" si="5">B42/12</f>
        <v>531474.6667</v>
      </c>
      <c r="C47" s="155">
        <f t="shared" si="5"/>
        <v>1591080.834</v>
      </c>
      <c r="D47" s="155">
        <f t="shared" si="5"/>
        <v>2145548.397</v>
      </c>
      <c r="E47" s="155">
        <f t="shared" si="5"/>
        <v>265180.139</v>
      </c>
      <c r="F47" s="155">
        <f t="shared" si="5"/>
        <v>843754.9878</v>
      </c>
      <c r="G47" s="155">
        <f t="shared" si="5"/>
        <v>554467.5634</v>
      </c>
      <c r="H47" s="155">
        <f t="shared" si="5"/>
        <v>265180.139</v>
      </c>
      <c r="I47" s="155">
        <f t="shared" si="5"/>
        <v>24107.28536</v>
      </c>
      <c r="J47" s="155">
        <f t="shared" si="5"/>
        <v>988398.7</v>
      </c>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17.57"/>
    <col customWidth="1" min="3" max="3" width="12.43"/>
    <col customWidth="1" min="4" max="5" width="8.71"/>
    <col customWidth="1" min="6" max="6" width="55.43"/>
    <col customWidth="1" min="7" max="7" width="13.57"/>
    <col customWidth="1" min="8" max="8" width="10.0"/>
    <col customWidth="1" min="9" max="9" width="11.57"/>
    <col customWidth="1" min="10" max="11" width="8.71"/>
    <col customWidth="1" min="12" max="12" width="30.43"/>
    <col customWidth="1" min="13" max="26" width="8.71"/>
  </cols>
  <sheetData>
    <row r="1">
      <c r="B1" s="127"/>
    </row>
    <row r="2">
      <c r="B2" s="456" t="s">
        <v>612</v>
      </c>
      <c r="G2" s="457" t="s">
        <v>613</v>
      </c>
      <c r="H2" s="155" t="s">
        <v>614</v>
      </c>
      <c r="I2" s="155" t="s">
        <v>615</v>
      </c>
      <c r="L2" s="456" t="s">
        <v>616</v>
      </c>
    </row>
    <row r="3">
      <c r="A3" s="458" t="s">
        <v>617</v>
      </c>
      <c r="B3" s="127" t="s">
        <v>618</v>
      </c>
      <c r="C3" s="155" t="s">
        <v>619</v>
      </c>
      <c r="D3" s="155">
        <v>1.0</v>
      </c>
      <c r="F3" s="458" t="s">
        <v>620</v>
      </c>
      <c r="G3" s="155" t="s">
        <v>621</v>
      </c>
      <c r="H3" s="459">
        <f>Costs!G37</f>
        <v>40663.56</v>
      </c>
      <c r="I3" s="155">
        <v>237605.73</v>
      </c>
      <c r="L3" s="127" t="s">
        <v>622</v>
      </c>
      <c r="M3" s="460">
        <f t="array" ref="M3">SUM(H3:H22*D3:D22)</f>
        <v>75592.13</v>
      </c>
    </row>
    <row r="4">
      <c r="B4" s="127" t="s">
        <v>623</v>
      </c>
      <c r="C4" s="155" t="s">
        <v>619</v>
      </c>
      <c r="D4" s="155">
        <v>0.0</v>
      </c>
      <c r="G4" s="155" t="s">
        <v>624</v>
      </c>
      <c r="H4" s="459">
        <f>Costs!G38</f>
        <v>51364.5</v>
      </c>
      <c r="I4" s="155">
        <v>300133.55</v>
      </c>
    </row>
    <row r="5">
      <c r="A5" s="458" t="s">
        <v>625</v>
      </c>
      <c r="B5" s="127" t="s">
        <v>626</v>
      </c>
      <c r="C5" s="155" t="s">
        <v>627</v>
      </c>
      <c r="D5" s="155">
        <v>101.0</v>
      </c>
      <c r="F5" s="458" t="s">
        <v>628</v>
      </c>
      <c r="G5" s="155" t="s">
        <v>629</v>
      </c>
      <c r="H5" s="459">
        <f>ROUND(Costs!G17,2)</f>
        <v>10.99</v>
      </c>
      <c r="I5" s="155">
        <v>10.99</v>
      </c>
    </row>
    <row r="6">
      <c r="B6" s="127" t="s">
        <v>630</v>
      </c>
      <c r="C6" s="155" t="s">
        <v>627</v>
      </c>
      <c r="D6" s="155">
        <v>397.0</v>
      </c>
      <c r="G6" s="155" t="s">
        <v>631</v>
      </c>
      <c r="H6" s="459">
        <f>ROUND(Costs!G18,2)</f>
        <v>9</v>
      </c>
      <c r="I6" s="155">
        <v>9.0</v>
      </c>
      <c r="L6" s="456" t="s">
        <v>632</v>
      </c>
    </row>
    <row r="7">
      <c r="B7" s="127" t="s">
        <v>633</v>
      </c>
      <c r="C7" s="155" t="s">
        <v>627</v>
      </c>
      <c r="D7" s="155">
        <v>232.0</v>
      </c>
      <c r="G7" s="155" t="s">
        <v>634</v>
      </c>
      <c r="H7" s="459">
        <f>ROUND(Costs!G19,2)</f>
        <v>6.34</v>
      </c>
      <c r="I7" s="155">
        <v>6.34</v>
      </c>
      <c r="L7" s="155" t="s">
        <v>635</v>
      </c>
      <c r="M7" s="155">
        <f t="shared" ref="M7:M15" si="1">D5+D14</f>
        <v>101</v>
      </c>
    </row>
    <row r="8">
      <c r="B8" s="127" t="s">
        <v>636</v>
      </c>
      <c r="C8" s="155" t="s">
        <v>627</v>
      </c>
      <c r="D8" s="155">
        <v>105.0</v>
      </c>
      <c r="G8" s="155" t="s">
        <v>637</v>
      </c>
      <c r="H8" s="459">
        <f>ROUND(Costs!G20,2)</f>
        <v>7.31</v>
      </c>
      <c r="I8" s="155">
        <v>7.31</v>
      </c>
      <c r="L8" s="155" t="s">
        <v>638</v>
      </c>
      <c r="M8" s="155">
        <f t="shared" si="1"/>
        <v>397</v>
      </c>
    </row>
    <row r="9">
      <c r="B9" s="127" t="s">
        <v>639</v>
      </c>
      <c r="C9" s="155" t="s">
        <v>627</v>
      </c>
      <c r="D9" s="155">
        <v>144.00000000000003</v>
      </c>
      <c r="G9" s="155" t="s">
        <v>640</v>
      </c>
      <c r="H9" s="459">
        <f>ROUND(Costs!G21,2)</f>
        <v>10.32</v>
      </c>
      <c r="I9" s="155">
        <v>10.32</v>
      </c>
      <c r="L9" s="155" t="s">
        <v>641</v>
      </c>
      <c r="M9" s="155">
        <f t="shared" si="1"/>
        <v>232</v>
      </c>
    </row>
    <row r="10">
      <c r="B10" s="127" t="s">
        <v>642</v>
      </c>
      <c r="C10" s="155" t="s">
        <v>627</v>
      </c>
      <c r="D10" s="155">
        <v>112.0</v>
      </c>
      <c r="G10" s="155" t="s">
        <v>643</v>
      </c>
      <c r="H10" s="459">
        <f>ROUND(Costs!G22,2)</f>
        <v>13.58</v>
      </c>
      <c r="I10" s="155">
        <v>13.58</v>
      </c>
      <c r="L10" s="155" t="s">
        <v>644</v>
      </c>
      <c r="M10" s="155">
        <f t="shared" si="1"/>
        <v>105</v>
      </c>
    </row>
    <row r="11">
      <c r="B11" s="127" t="s">
        <v>645</v>
      </c>
      <c r="C11" s="155" t="s">
        <v>627</v>
      </c>
      <c r="D11" s="155">
        <v>177.00000000000043</v>
      </c>
      <c r="G11" s="155" t="s">
        <v>646</v>
      </c>
      <c r="H11" s="459">
        <f>ROUND(Costs!G23,2)</f>
        <v>21.07</v>
      </c>
      <c r="I11" s="155">
        <v>21.07</v>
      </c>
      <c r="L11" s="155" t="s">
        <v>647</v>
      </c>
      <c r="M11" s="155">
        <f t="shared" si="1"/>
        <v>144</v>
      </c>
    </row>
    <row r="12">
      <c r="B12" s="127" t="s">
        <v>648</v>
      </c>
      <c r="C12" s="155" t="s">
        <v>627</v>
      </c>
      <c r="D12" s="155">
        <v>579.0</v>
      </c>
      <c r="G12" s="155" t="s">
        <v>649</v>
      </c>
      <c r="H12" s="459">
        <f>ROUND(Costs!G24,2)</f>
        <v>19.74</v>
      </c>
      <c r="I12" s="155">
        <v>19.74</v>
      </c>
      <c r="L12" s="155" t="s">
        <v>650</v>
      </c>
      <c r="M12" s="155">
        <f t="shared" si="1"/>
        <v>112</v>
      </c>
    </row>
    <row r="13">
      <c r="B13" s="127" t="s">
        <v>651</v>
      </c>
      <c r="C13" s="155" t="s">
        <v>627</v>
      </c>
      <c r="D13" s="155">
        <v>429.0</v>
      </c>
      <c r="G13" s="155" t="s">
        <v>652</v>
      </c>
      <c r="H13" s="459">
        <f>ROUND(Costs!G25,2)</f>
        <v>22.94</v>
      </c>
      <c r="I13" s="155">
        <v>22.94</v>
      </c>
      <c r="L13" s="155" t="s">
        <v>653</v>
      </c>
      <c r="M13" s="155">
        <f t="shared" si="1"/>
        <v>177</v>
      </c>
    </row>
    <row r="14">
      <c r="A14" s="458" t="s">
        <v>654</v>
      </c>
      <c r="B14" s="127" t="s">
        <v>655</v>
      </c>
      <c r="C14" s="155" t="s">
        <v>627</v>
      </c>
      <c r="D14" s="155">
        <v>0.0</v>
      </c>
      <c r="G14" s="155" t="s">
        <v>656</v>
      </c>
      <c r="H14" s="459">
        <f>ROUND(Costs!G26,2)</f>
        <v>17.39</v>
      </c>
      <c r="I14" s="155">
        <v>17.39</v>
      </c>
      <c r="L14" s="155" t="s">
        <v>657</v>
      </c>
      <c r="M14" s="155">
        <f t="shared" si="1"/>
        <v>579</v>
      </c>
    </row>
    <row r="15">
      <c r="B15" s="127" t="s">
        <v>658</v>
      </c>
      <c r="C15" s="155" t="s">
        <v>627</v>
      </c>
      <c r="D15" s="155">
        <v>0.0</v>
      </c>
      <c r="G15" s="155" t="s">
        <v>659</v>
      </c>
      <c r="H15" s="459">
        <f>ROUND(Costs!G27,2)</f>
        <v>12.2</v>
      </c>
      <c r="I15" s="155">
        <v>12.2</v>
      </c>
      <c r="L15" s="155" t="s">
        <v>660</v>
      </c>
      <c r="M15" s="155">
        <f t="shared" si="1"/>
        <v>429</v>
      </c>
    </row>
    <row r="16">
      <c r="B16" s="127" t="s">
        <v>661</v>
      </c>
      <c r="C16" s="155" t="s">
        <v>627</v>
      </c>
      <c r="D16" s="155">
        <v>0.0</v>
      </c>
      <c r="G16" s="155" t="s">
        <v>662</v>
      </c>
      <c r="H16" s="459">
        <f>ROUND(Costs!G28,2)</f>
        <v>8.45</v>
      </c>
      <c r="I16" s="155">
        <v>8.45</v>
      </c>
      <c r="L16" s="155" t="s">
        <v>663</v>
      </c>
      <c r="M16" s="155">
        <f>SUM(D5:D13)</f>
        <v>2276</v>
      </c>
    </row>
    <row r="17">
      <c r="B17" s="127" t="s">
        <v>664</v>
      </c>
      <c r="C17" s="155" t="s">
        <v>627</v>
      </c>
      <c r="D17" s="155">
        <v>0.0</v>
      </c>
      <c r="G17" s="155" t="s">
        <v>665</v>
      </c>
      <c r="H17" s="459">
        <f>ROUND(Costs!G29,2)</f>
        <v>12.26</v>
      </c>
      <c r="I17" s="155">
        <v>12.26</v>
      </c>
      <c r="L17" s="155" t="s">
        <v>666</v>
      </c>
      <c r="M17" s="155">
        <f>SUM(D14:D22)</f>
        <v>0</v>
      </c>
    </row>
    <row r="18">
      <c r="B18" s="127" t="s">
        <v>667</v>
      </c>
      <c r="C18" s="155" t="s">
        <v>627</v>
      </c>
      <c r="D18" s="155">
        <v>0.0</v>
      </c>
      <c r="G18" s="155" t="s">
        <v>668</v>
      </c>
      <c r="H18" s="459">
        <f>ROUND(Costs!G30,2)</f>
        <v>1.93</v>
      </c>
      <c r="I18" s="155">
        <v>1.93</v>
      </c>
    </row>
    <row r="19">
      <c r="B19" s="127" t="s">
        <v>669</v>
      </c>
      <c r="C19" s="155" t="s">
        <v>627</v>
      </c>
      <c r="D19" s="155">
        <v>0.0</v>
      </c>
      <c r="G19" s="155" t="s">
        <v>670</v>
      </c>
      <c r="H19" s="459">
        <f>ROUND(Costs!G31,2)</f>
        <v>5.92</v>
      </c>
      <c r="I19" s="155">
        <v>5.92</v>
      </c>
    </row>
    <row r="20">
      <c r="B20" s="127" t="s">
        <v>671</v>
      </c>
      <c r="C20" s="155" t="s">
        <v>627</v>
      </c>
      <c r="D20" s="155">
        <v>0.0</v>
      </c>
      <c r="G20" s="155" t="s">
        <v>672</v>
      </c>
      <c r="H20" s="459">
        <f>ROUND(Costs!G32,2)</f>
        <v>12.68</v>
      </c>
      <c r="I20" s="155">
        <v>12.68</v>
      </c>
    </row>
    <row r="21" ht="15.75" customHeight="1">
      <c r="B21" s="127" t="s">
        <v>673</v>
      </c>
      <c r="C21" s="155" t="s">
        <v>627</v>
      </c>
      <c r="D21" s="155">
        <v>0.0</v>
      </c>
      <c r="G21" s="155" t="s">
        <v>674</v>
      </c>
      <c r="H21" s="459">
        <f>ROUND(Costs!G33,2)</f>
        <v>11.47</v>
      </c>
      <c r="I21" s="155">
        <v>11.47</v>
      </c>
    </row>
    <row r="22" ht="15.75" customHeight="1">
      <c r="B22" s="127" t="s">
        <v>675</v>
      </c>
      <c r="C22" s="155" t="s">
        <v>627</v>
      </c>
      <c r="D22" s="155">
        <v>0.0</v>
      </c>
      <c r="G22" s="155" t="s">
        <v>676</v>
      </c>
      <c r="H22" s="459">
        <f>ROUND(Costs!G34,2)</f>
        <v>14.61</v>
      </c>
      <c r="I22" s="155">
        <v>14.61</v>
      </c>
    </row>
    <row r="23" ht="15.75" customHeight="1">
      <c r="B23" s="127"/>
      <c r="F23" s="458" t="s">
        <v>677</v>
      </c>
      <c r="G23" s="155" t="s">
        <v>678</v>
      </c>
      <c r="H23" s="461">
        <f t="array" ref="H23">_xlfn.CEILING.MATH(SUM(Demands!E3:Q3 + Demands!E14:Q14 + Demands!E25:Q25 + Demands!E36:Q36 + Demands!E47:Q47 + Demands!E58:Q58 + Demands!E69:Q69 + Demands!E80:Q80)/(40823/7))</f>
        <v>101</v>
      </c>
      <c r="I23" s="155">
        <v>101.0</v>
      </c>
    </row>
    <row r="24" ht="15.75" customHeight="1">
      <c r="B24" s="127"/>
      <c r="G24" s="155" t="s">
        <v>679</v>
      </c>
      <c r="H24" s="461">
        <f t="array" ref="H24">_xlfn.CEILING.MATH(SUM(Demands!E4:Q4 + Demands!E15:Q15 + Demands!E26:Q26 + Demands!E37:Q37 + Demands!E48:Q48 + Demands!E59:Q59 + Demands!E70:Q70 + Demands!E81:Q81)/(40823/7))</f>
        <v>397</v>
      </c>
      <c r="I24" s="155">
        <v>397.0</v>
      </c>
    </row>
    <row r="25" ht="15.75" customHeight="1">
      <c r="B25" s="127"/>
      <c r="G25" s="155" t="s">
        <v>680</v>
      </c>
      <c r="H25" s="461">
        <f t="array" ref="H25">_xlfn.CEILING.MATH(SUM(Demands!E5:Q5 + Demands!E16:Q16 + Demands!E27:Q27 + Demands!E38:Q38 + Demands!E49:Q49 + Demands!E60:Q60 + Demands!E71:Q71 + Demands!E82:Q82)/(40823/7))</f>
        <v>232</v>
      </c>
      <c r="I25" s="155">
        <v>232.0</v>
      </c>
    </row>
    <row r="26" ht="15.75" customHeight="1">
      <c r="B26" s="127"/>
      <c r="G26" s="155" t="s">
        <v>681</v>
      </c>
      <c r="H26" s="461">
        <f t="array" ref="H26">_xlfn.CEILING.MATH(SUM(Demands!E6:Q6 + Demands!E17:Q17 + Demands!E28:Q28 + Demands!E39:Q39 + Demands!E50:Q50 + Demands!E61:Q61 + Demands!E72:Q72 + Demands!E83:Q83)/(40823/7))</f>
        <v>105</v>
      </c>
      <c r="I26" s="155">
        <v>105.0</v>
      </c>
    </row>
    <row r="27" ht="15.75" customHeight="1">
      <c r="B27" s="127"/>
      <c r="G27" s="155" t="s">
        <v>682</v>
      </c>
      <c r="H27" s="461">
        <f t="array" ref="H27">_xlfn.CEILING.MATH(SUM(Demands!E7:Q7 + Demands!E18:Q18 + Demands!E29:Q29 + Demands!E40:Q40 + Demands!E51:Q51 + Demands!E62:Q62 + Demands!E73:Q73 + Demands!E84:Q84)/(40823/7))</f>
        <v>144</v>
      </c>
      <c r="I27" s="155">
        <v>144.0</v>
      </c>
    </row>
    <row r="28" ht="15.75" customHeight="1">
      <c r="B28" s="127"/>
      <c r="G28" s="155" t="s">
        <v>683</v>
      </c>
      <c r="H28" s="461">
        <f t="array" ref="H28">_xlfn.CEILING.MATH(SUM(Demands!E8:Q8 + Demands!E19:Q19 + Demands!E30:Q30 + Demands!E41:Q41 + Demands!E52:Q52 + Demands!E63:Q63 + Demands!E74:Q74 + Demands!E85:Q85)/(40823/7))</f>
        <v>112</v>
      </c>
      <c r="I28" s="155">
        <v>112.0</v>
      </c>
    </row>
    <row r="29" ht="15.75" customHeight="1">
      <c r="B29" s="127"/>
      <c r="G29" s="155" t="s">
        <v>684</v>
      </c>
      <c r="H29" s="461">
        <f t="array" ref="H29">_xlfn.CEILING.MATH(SUM(Demands!E9:Q9 + Demands!E20:Q20 + Demands!E31:Q31 + Demands!E42:Q42 + Demands!E53:Q53 + Demands!E64:Q64 + Demands!E75:Q75 + Demands!E86:Q86)/(40823/7))</f>
        <v>177</v>
      </c>
      <c r="I29" s="155">
        <v>177.0</v>
      </c>
    </row>
    <row r="30" ht="15.75" customHeight="1">
      <c r="B30" s="127"/>
      <c r="G30" s="155" t="s">
        <v>685</v>
      </c>
      <c r="H30" s="461">
        <f t="array" ref="H30">_xlfn.CEILING.MATH(SUM(Demands!E10:Q10 + Demands!E21:Q21 + Demands!E32:Q32 + Demands!E43:Q43 + Demands!E54:Q54 + Demands!E65:Q65 + Demands!E76:Q76 + Demands!E87:Q87)/(40823/7))</f>
        <v>579</v>
      </c>
      <c r="I30" s="155">
        <v>579.0</v>
      </c>
    </row>
    <row r="31" ht="15.75" customHeight="1">
      <c r="B31" s="127"/>
      <c r="G31" s="155" t="s">
        <v>686</v>
      </c>
      <c r="H31" s="461">
        <f t="array" ref="H31">_xlfn.CEILING.MATH(SUM(Demands!E11:Q11 + Demands!E22:Q22 + Demands!E33:Q33 + Demands!E44:Q44 + Demands!E55:Q55 + Demands!E66:Q66 + Demands!E77:Q77 + Demands!E88:Q88)/(40823/7))</f>
        <v>429</v>
      </c>
      <c r="I31" s="155">
        <v>429.0</v>
      </c>
    </row>
    <row r="32" ht="15.75" customHeight="1">
      <c r="B32" s="127"/>
      <c r="F32" s="458" t="s">
        <v>687</v>
      </c>
      <c r="G32" s="155" t="s">
        <v>688</v>
      </c>
      <c r="H32" s="461">
        <f t="shared" ref="H32:H33" si="2">SUM($H$23:$H$31)</f>
        <v>2276</v>
      </c>
    </row>
    <row r="33" ht="15.75" customHeight="1">
      <c r="B33" s="127"/>
      <c r="G33" s="155" t="s">
        <v>689</v>
      </c>
      <c r="H33" s="461">
        <f t="shared" si="2"/>
        <v>2276</v>
      </c>
    </row>
    <row r="34" ht="15.75" customHeight="1">
      <c r="B34" s="127"/>
    </row>
    <row r="35" ht="15.75" customHeight="1">
      <c r="B35" s="127"/>
    </row>
    <row r="36" ht="15.75" customHeight="1">
      <c r="B36" s="127"/>
    </row>
    <row r="37" ht="15.75" customHeight="1">
      <c r="B37" s="127"/>
    </row>
    <row r="38" ht="15.75" customHeight="1">
      <c r="B38" s="127"/>
    </row>
    <row r="39" ht="15.75" customHeight="1">
      <c r="B39" s="127"/>
    </row>
    <row r="40" ht="15.75" customHeight="1">
      <c r="B40" s="127"/>
    </row>
    <row r="41" ht="15.75" customHeight="1">
      <c r="B41" s="127"/>
    </row>
    <row r="42" ht="15.75" customHeight="1">
      <c r="B42" s="127"/>
    </row>
    <row r="43" ht="15.75" customHeight="1">
      <c r="B43" s="127"/>
    </row>
    <row r="44" ht="15.75" customHeight="1">
      <c r="B44" s="127"/>
    </row>
    <row r="45" ht="15.75" customHeight="1">
      <c r="B45" s="127"/>
    </row>
    <row r="46" ht="15.75" customHeight="1">
      <c r="B46" s="127"/>
    </row>
    <row r="47" ht="15.75" customHeight="1">
      <c r="B47" s="127"/>
    </row>
    <row r="48" ht="15.75" customHeight="1">
      <c r="B48" s="127"/>
    </row>
    <row r="49" ht="15.75" customHeight="1">
      <c r="B49" s="127"/>
    </row>
    <row r="50" ht="15.75" customHeight="1">
      <c r="B50" s="127"/>
    </row>
    <row r="51" ht="15.75" customHeight="1">
      <c r="B51" s="127"/>
    </row>
    <row r="52" ht="15.75" customHeight="1">
      <c r="B52" s="127"/>
    </row>
    <row r="53" ht="15.75" customHeight="1">
      <c r="B53" s="127"/>
    </row>
    <row r="54" ht="15.75" customHeight="1">
      <c r="B54" s="127"/>
    </row>
    <row r="55" ht="15.75" customHeight="1">
      <c r="B55" s="127"/>
    </row>
    <row r="56" ht="15.75" customHeight="1">
      <c r="B56" s="127"/>
    </row>
    <row r="57" ht="15.75" customHeight="1">
      <c r="B57" s="127"/>
    </row>
    <row r="58" ht="15.75" customHeight="1">
      <c r="B58" s="127"/>
    </row>
    <row r="59" ht="15.75" customHeight="1">
      <c r="B59" s="127"/>
    </row>
    <row r="60" ht="15.75" customHeight="1">
      <c r="B60" s="127"/>
    </row>
    <row r="61" ht="15.75" customHeight="1">
      <c r="B61" s="127"/>
    </row>
    <row r="62" ht="15.75" customHeight="1">
      <c r="B62" s="127"/>
    </row>
    <row r="63" ht="15.75" customHeight="1">
      <c r="B63" s="127"/>
    </row>
    <row r="64" ht="15.75" customHeight="1">
      <c r="B64" s="127"/>
    </row>
    <row r="65" ht="15.75" customHeight="1">
      <c r="B65" s="127"/>
    </row>
    <row r="66" ht="15.75" customHeight="1">
      <c r="B66" s="127"/>
    </row>
    <row r="67" ht="15.75" customHeight="1">
      <c r="B67" s="127"/>
    </row>
    <row r="68" ht="15.75" customHeight="1">
      <c r="B68" s="127"/>
    </row>
    <row r="69" ht="15.75" customHeight="1">
      <c r="B69" s="127"/>
    </row>
    <row r="70" ht="15.75" customHeight="1">
      <c r="B70" s="127"/>
    </row>
    <row r="71" ht="15.75" customHeight="1">
      <c r="B71" s="127"/>
    </row>
    <row r="72" ht="15.75" customHeight="1">
      <c r="B72" s="127"/>
    </row>
    <row r="73" ht="15.75" customHeight="1">
      <c r="B73" s="127"/>
    </row>
    <row r="74" ht="15.75" customHeight="1">
      <c r="B74" s="127"/>
    </row>
    <row r="75" ht="15.75" customHeight="1">
      <c r="B75" s="127"/>
    </row>
    <row r="76" ht="15.75" customHeight="1">
      <c r="B76" s="127"/>
    </row>
    <row r="77" ht="15.75" customHeight="1">
      <c r="B77" s="127"/>
    </row>
    <row r="78" ht="15.75" customHeight="1">
      <c r="B78" s="127"/>
    </row>
    <row r="79" ht="15.75" customHeight="1">
      <c r="B79" s="127"/>
    </row>
    <row r="80" ht="15.75" customHeight="1">
      <c r="B80" s="127"/>
    </row>
    <row r="81" ht="15.75" customHeight="1">
      <c r="B81" s="127"/>
    </row>
    <row r="82" ht="15.75" customHeight="1">
      <c r="B82" s="127"/>
    </row>
    <row r="83" ht="15.75" customHeight="1">
      <c r="B83" s="127"/>
    </row>
    <row r="84" ht="15.75" customHeight="1">
      <c r="B84" s="127"/>
    </row>
    <row r="85" ht="15.75" customHeight="1">
      <c r="B85" s="127"/>
    </row>
    <row r="86" ht="15.75" customHeight="1">
      <c r="B86" s="127"/>
    </row>
    <row r="87" ht="15.75" customHeight="1">
      <c r="B87" s="127"/>
    </row>
    <row r="88" ht="15.75" customHeight="1">
      <c r="B88" s="127"/>
    </row>
    <row r="89" ht="15.75" customHeight="1">
      <c r="B89" s="127"/>
    </row>
    <row r="90" ht="15.75" customHeight="1">
      <c r="B90" s="127"/>
    </row>
    <row r="91" ht="15.75" customHeight="1">
      <c r="B91" s="127"/>
    </row>
    <row r="92" ht="15.75" customHeight="1">
      <c r="B92" s="127"/>
    </row>
    <row r="93" ht="15.75" customHeight="1">
      <c r="B93" s="127"/>
    </row>
    <row r="94" ht="15.75" customHeight="1">
      <c r="B94" s="127"/>
    </row>
    <row r="95" ht="15.75" customHeight="1">
      <c r="B95" s="127"/>
    </row>
    <row r="96" ht="15.75" customHeight="1">
      <c r="B96" s="127"/>
    </row>
    <row r="97" ht="15.75" customHeight="1">
      <c r="B97" s="127"/>
    </row>
    <row r="98" ht="15.75" customHeight="1">
      <c r="B98" s="127"/>
    </row>
    <row r="99" ht="15.75" customHeight="1">
      <c r="B99" s="127"/>
    </row>
    <row r="100" ht="15.75" customHeight="1">
      <c r="B100" s="127"/>
    </row>
    <row r="101" ht="15.75" customHeight="1">
      <c r="B101" s="127"/>
    </row>
    <row r="102" ht="15.75" customHeight="1">
      <c r="B102" s="127"/>
    </row>
    <row r="103" ht="15.75" customHeight="1">
      <c r="B103" s="127"/>
    </row>
    <row r="104" ht="15.75" customHeight="1">
      <c r="B104" s="127"/>
    </row>
    <row r="105" ht="15.75" customHeight="1">
      <c r="B105" s="127"/>
    </row>
    <row r="106" ht="15.75" customHeight="1">
      <c r="B106" s="127"/>
    </row>
    <row r="107" ht="15.75" customHeight="1">
      <c r="B107" s="127"/>
    </row>
    <row r="108" ht="15.75" customHeight="1">
      <c r="B108" s="127"/>
    </row>
    <row r="109" ht="15.75" customHeight="1">
      <c r="B109" s="127"/>
    </row>
    <row r="110" ht="15.75" customHeight="1">
      <c r="B110" s="127"/>
    </row>
    <row r="111" ht="15.75" customHeight="1">
      <c r="B111" s="127"/>
    </row>
    <row r="112" ht="15.75" customHeight="1">
      <c r="B112" s="127"/>
    </row>
    <row r="113" ht="15.75" customHeight="1">
      <c r="B113" s="127"/>
    </row>
    <row r="114" ht="15.75" customHeight="1">
      <c r="B114" s="127"/>
    </row>
    <row r="115" ht="15.75" customHeight="1">
      <c r="B115" s="127"/>
    </row>
    <row r="116" ht="15.75" customHeight="1">
      <c r="B116" s="127"/>
    </row>
    <row r="117" ht="15.75" customHeight="1">
      <c r="B117" s="127"/>
    </row>
    <row r="118" ht="15.75" customHeight="1">
      <c r="B118" s="127"/>
    </row>
    <row r="119" ht="15.75" customHeight="1">
      <c r="B119" s="127"/>
    </row>
    <row r="120" ht="15.75" customHeight="1">
      <c r="B120" s="127"/>
    </row>
    <row r="121" ht="15.75" customHeight="1">
      <c r="B121" s="127"/>
    </row>
    <row r="122" ht="15.75" customHeight="1">
      <c r="B122" s="127"/>
    </row>
    <row r="123" ht="15.75" customHeight="1">
      <c r="B123" s="127"/>
    </row>
    <row r="124" ht="15.75" customHeight="1">
      <c r="B124" s="127"/>
    </row>
    <row r="125" ht="15.75" customHeight="1">
      <c r="B125" s="127"/>
    </row>
    <row r="126" ht="15.75" customHeight="1">
      <c r="B126" s="127"/>
    </row>
    <row r="127" ht="15.75" customHeight="1">
      <c r="B127" s="127"/>
    </row>
    <row r="128" ht="15.75" customHeight="1">
      <c r="B128" s="127"/>
    </row>
    <row r="129" ht="15.75" customHeight="1">
      <c r="B129" s="127"/>
    </row>
    <row r="130" ht="15.75" customHeight="1">
      <c r="B130" s="127"/>
    </row>
    <row r="131" ht="15.75" customHeight="1">
      <c r="B131" s="127"/>
    </row>
    <row r="132" ht="15.75" customHeight="1">
      <c r="B132" s="127"/>
    </row>
    <row r="133" ht="15.75" customHeight="1">
      <c r="B133" s="127"/>
    </row>
    <row r="134" ht="15.75" customHeight="1">
      <c r="B134" s="127"/>
    </row>
    <row r="135" ht="15.75" customHeight="1">
      <c r="B135" s="127"/>
    </row>
    <row r="136" ht="15.75" customHeight="1">
      <c r="B136" s="127"/>
    </row>
    <row r="137" ht="15.75" customHeight="1">
      <c r="B137" s="127"/>
    </row>
    <row r="138" ht="15.75" customHeight="1">
      <c r="B138" s="127"/>
    </row>
    <row r="139" ht="15.75" customHeight="1">
      <c r="B139" s="127"/>
    </row>
    <row r="140" ht="15.75" customHeight="1">
      <c r="B140" s="127"/>
    </row>
    <row r="141" ht="15.75" customHeight="1">
      <c r="B141" s="127"/>
    </row>
    <row r="142" ht="15.75" customHeight="1">
      <c r="B142" s="127"/>
    </row>
    <row r="143" ht="15.75" customHeight="1">
      <c r="B143" s="127"/>
    </row>
    <row r="144" ht="15.75" customHeight="1">
      <c r="B144" s="127"/>
    </row>
    <row r="145" ht="15.75" customHeight="1">
      <c r="B145" s="127"/>
    </row>
    <row r="146" ht="15.75" customHeight="1">
      <c r="B146" s="127"/>
    </row>
    <row r="147" ht="15.75" customHeight="1">
      <c r="B147" s="127"/>
    </row>
    <row r="148" ht="15.75" customHeight="1">
      <c r="B148" s="127"/>
    </row>
    <row r="149" ht="15.75" customHeight="1">
      <c r="B149" s="127"/>
    </row>
    <row r="150" ht="15.75" customHeight="1">
      <c r="B150" s="127"/>
    </row>
    <row r="151" ht="15.75" customHeight="1">
      <c r="B151" s="127"/>
    </row>
    <row r="152" ht="15.75" customHeight="1">
      <c r="B152" s="127"/>
    </row>
    <row r="153" ht="15.75" customHeight="1">
      <c r="B153" s="127"/>
    </row>
    <row r="154" ht="15.75" customHeight="1">
      <c r="B154" s="127"/>
    </row>
    <row r="155" ht="15.75" customHeight="1">
      <c r="B155" s="127"/>
    </row>
    <row r="156" ht="15.75" customHeight="1">
      <c r="B156" s="127"/>
    </row>
    <row r="157" ht="15.75" customHeight="1">
      <c r="B157" s="127"/>
    </row>
    <row r="158" ht="15.75" customHeight="1">
      <c r="B158" s="127"/>
    </row>
    <row r="159" ht="15.75" customHeight="1">
      <c r="B159" s="127"/>
    </row>
    <row r="160" ht="15.75" customHeight="1">
      <c r="B160" s="127"/>
    </row>
    <row r="161" ht="15.75" customHeight="1">
      <c r="B161" s="127"/>
    </row>
    <row r="162" ht="15.75" customHeight="1">
      <c r="B162" s="127"/>
    </row>
    <row r="163" ht="15.75" customHeight="1">
      <c r="B163" s="127"/>
    </row>
    <row r="164" ht="15.75" customHeight="1">
      <c r="B164" s="127"/>
    </row>
    <row r="165" ht="15.75" customHeight="1">
      <c r="B165" s="127"/>
    </row>
    <row r="166" ht="15.75" customHeight="1">
      <c r="B166" s="127"/>
    </row>
    <row r="167" ht="15.75" customHeight="1">
      <c r="B167" s="127"/>
    </row>
    <row r="168" ht="15.75" customHeight="1">
      <c r="B168" s="127"/>
    </row>
    <row r="169" ht="15.75" customHeight="1">
      <c r="B169" s="127"/>
    </row>
    <row r="170" ht="15.75" customHeight="1">
      <c r="B170" s="127"/>
    </row>
    <row r="171" ht="15.75" customHeight="1">
      <c r="B171" s="127"/>
    </row>
    <row r="172" ht="15.75" customHeight="1">
      <c r="B172" s="127"/>
    </row>
    <row r="173" ht="15.75" customHeight="1">
      <c r="B173" s="127"/>
    </row>
    <row r="174" ht="15.75" customHeight="1">
      <c r="B174" s="127"/>
    </row>
    <row r="175" ht="15.75" customHeight="1">
      <c r="B175" s="127"/>
    </row>
    <row r="176" ht="15.75" customHeight="1">
      <c r="B176" s="127"/>
    </row>
    <row r="177" ht="15.75" customHeight="1">
      <c r="B177" s="127"/>
    </row>
    <row r="178" ht="15.75" customHeight="1">
      <c r="B178" s="127"/>
    </row>
    <row r="179" ht="15.75" customHeight="1">
      <c r="B179" s="127"/>
    </row>
    <row r="180" ht="15.75" customHeight="1">
      <c r="B180" s="127"/>
    </row>
    <row r="181" ht="15.75" customHeight="1">
      <c r="B181" s="127"/>
    </row>
    <row r="182" ht="15.75" customHeight="1">
      <c r="B182" s="127"/>
    </row>
    <row r="183" ht="15.75" customHeight="1">
      <c r="B183" s="127"/>
    </row>
    <row r="184" ht="15.75" customHeight="1">
      <c r="B184" s="127"/>
    </row>
    <row r="185" ht="15.75" customHeight="1">
      <c r="B185" s="127"/>
    </row>
    <row r="186" ht="15.75" customHeight="1">
      <c r="B186" s="127"/>
    </row>
    <row r="187" ht="15.75" customHeight="1">
      <c r="B187" s="127"/>
    </row>
    <row r="188" ht="15.75" customHeight="1">
      <c r="B188" s="127"/>
    </row>
    <row r="189" ht="15.75" customHeight="1">
      <c r="B189" s="127"/>
    </row>
    <row r="190" ht="15.75" customHeight="1">
      <c r="B190" s="127"/>
    </row>
    <row r="191" ht="15.75" customHeight="1">
      <c r="B191" s="127"/>
    </row>
    <row r="192" ht="15.75" customHeight="1">
      <c r="B192" s="127"/>
    </row>
    <row r="193" ht="15.75" customHeight="1">
      <c r="B193" s="127"/>
    </row>
    <row r="194" ht="15.75" customHeight="1">
      <c r="B194" s="127"/>
    </row>
    <row r="195" ht="15.75" customHeight="1">
      <c r="B195" s="127"/>
    </row>
    <row r="196" ht="15.75" customHeight="1">
      <c r="B196" s="127"/>
    </row>
    <row r="197" ht="15.75" customHeight="1">
      <c r="B197" s="127"/>
    </row>
    <row r="198" ht="15.75" customHeight="1">
      <c r="B198" s="127"/>
    </row>
    <row r="199" ht="15.75" customHeight="1">
      <c r="B199" s="127"/>
    </row>
    <row r="200" ht="15.75" customHeight="1">
      <c r="B200" s="127"/>
    </row>
    <row r="201" ht="15.75" customHeight="1">
      <c r="B201" s="127"/>
    </row>
    <row r="202" ht="15.75" customHeight="1">
      <c r="B202" s="127"/>
    </row>
    <row r="203" ht="15.75" customHeight="1">
      <c r="B203" s="127"/>
    </row>
    <row r="204" ht="15.75" customHeight="1">
      <c r="B204" s="127"/>
    </row>
    <row r="205" ht="15.75" customHeight="1">
      <c r="B205" s="127"/>
    </row>
    <row r="206" ht="15.75" customHeight="1">
      <c r="B206" s="127"/>
    </row>
    <row r="207" ht="15.75" customHeight="1">
      <c r="B207" s="127"/>
    </row>
    <row r="208" ht="15.75" customHeight="1">
      <c r="B208" s="127"/>
    </row>
    <row r="209" ht="15.75" customHeight="1">
      <c r="B209" s="127"/>
    </row>
    <row r="210" ht="15.75" customHeight="1">
      <c r="B210" s="127"/>
    </row>
    <row r="211" ht="15.75" customHeight="1">
      <c r="B211" s="127"/>
    </row>
    <row r="212" ht="15.75" customHeight="1">
      <c r="B212" s="127"/>
    </row>
    <row r="213" ht="15.75" customHeight="1">
      <c r="B213" s="127"/>
    </row>
    <row r="214" ht="15.75" customHeight="1">
      <c r="B214" s="127"/>
    </row>
    <row r="215" ht="15.75" customHeight="1">
      <c r="B215" s="127"/>
    </row>
    <row r="216" ht="15.75" customHeight="1">
      <c r="B216" s="127"/>
    </row>
    <row r="217" ht="15.75" customHeight="1">
      <c r="B217" s="127"/>
    </row>
    <row r="218" ht="15.75" customHeight="1">
      <c r="B218" s="127"/>
    </row>
    <row r="219" ht="15.75" customHeight="1">
      <c r="B219" s="127"/>
    </row>
    <row r="220" ht="15.75" customHeight="1">
      <c r="B220" s="127"/>
    </row>
    <row r="221" ht="15.75" customHeight="1">
      <c r="B221" s="127"/>
    </row>
    <row r="222" ht="15.75" customHeight="1">
      <c r="B222" s="127"/>
    </row>
    <row r="223" ht="15.75" customHeight="1">
      <c r="B223" s="127"/>
    </row>
    <row r="224" ht="15.75" customHeight="1">
      <c r="B224" s="127"/>
    </row>
    <row r="225" ht="15.75" customHeight="1">
      <c r="B225" s="127"/>
    </row>
    <row r="226" ht="15.75" customHeight="1">
      <c r="B226" s="127"/>
    </row>
    <row r="227" ht="15.75" customHeight="1">
      <c r="B227" s="127"/>
    </row>
    <row r="228" ht="15.75" customHeight="1">
      <c r="B228" s="127"/>
    </row>
    <row r="229" ht="15.75" customHeight="1">
      <c r="B229" s="127"/>
    </row>
    <row r="230" ht="15.75" customHeight="1">
      <c r="B230" s="127"/>
    </row>
    <row r="231" ht="15.75" customHeight="1">
      <c r="B231" s="127"/>
    </row>
    <row r="232" ht="15.75" customHeight="1">
      <c r="B232" s="127"/>
    </row>
    <row r="233" ht="15.75" customHeight="1">
      <c r="B233" s="127"/>
    </row>
    <row r="234" ht="15.75" customHeight="1">
      <c r="B234" s="127"/>
    </row>
    <row r="235" ht="15.75" customHeight="1">
      <c r="B235" s="127"/>
    </row>
    <row r="236" ht="15.75" customHeight="1">
      <c r="B236" s="127"/>
    </row>
    <row r="237" ht="15.75" customHeight="1">
      <c r="B237" s="127"/>
    </row>
    <row r="238" ht="15.75" customHeight="1">
      <c r="B238" s="127"/>
    </row>
    <row r="239" ht="15.75" customHeight="1">
      <c r="B239" s="127"/>
    </row>
    <row r="240" ht="15.75" customHeight="1">
      <c r="B240" s="127"/>
    </row>
    <row r="241" ht="15.75" customHeight="1">
      <c r="B241" s="127"/>
    </row>
    <row r="242" ht="15.75" customHeight="1">
      <c r="B242" s="127"/>
    </row>
    <row r="243" ht="15.75" customHeight="1">
      <c r="B243" s="127"/>
    </row>
    <row r="244" ht="15.75" customHeight="1">
      <c r="B244" s="127"/>
    </row>
    <row r="245" ht="15.75" customHeight="1">
      <c r="B245" s="127"/>
    </row>
    <row r="246" ht="15.75" customHeight="1">
      <c r="B246" s="127"/>
    </row>
    <row r="247" ht="15.75" customHeight="1">
      <c r="B247" s="127"/>
    </row>
    <row r="248" ht="15.75" customHeight="1">
      <c r="B248" s="127"/>
    </row>
    <row r="249" ht="15.75" customHeight="1">
      <c r="B249" s="127"/>
    </row>
    <row r="250" ht="15.75" customHeight="1">
      <c r="B250" s="127"/>
    </row>
    <row r="251" ht="15.75" customHeight="1">
      <c r="B251" s="127"/>
    </row>
    <row r="252" ht="15.75" customHeight="1">
      <c r="B252" s="127"/>
    </row>
    <row r="253" ht="15.75" customHeight="1">
      <c r="B253" s="127"/>
    </row>
    <row r="254" ht="15.75" customHeight="1">
      <c r="B254" s="127"/>
    </row>
    <row r="255" ht="15.75" customHeight="1">
      <c r="B255" s="127"/>
    </row>
    <row r="256" ht="15.75" customHeight="1">
      <c r="B256" s="127"/>
    </row>
    <row r="257" ht="15.75" customHeight="1">
      <c r="B257" s="127"/>
    </row>
    <row r="258" ht="15.75" customHeight="1">
      <c r="B258" s="127"/>
    </row>
    <row r="259" ht="15.75" customHeight="1">
      <c r="B259" s="127"/>
    </row>
    <row r="260" ht="15.75" customHeight="1">
      <c r="B260" s="127"/>
    </row>
    <row r="261" ht="15.75" customHeight="1">
      <c r="B261" s="127"/>
    </row>
    <row r="262" ht="15.75" customHeight="1">
      <c r="B262" s="127"/>
    </row>
    <row r="263" ht="15.75" customHeight="1">
      <c r="B263" s="127"/>
    </row>
    <row r="264" ht="15.75" customHeight="1">
      <c r="B264" s="127"/>
    </row>
    <row r="265" ht="15.75" customHeight="1">
      <c r="B265" s="127"/>
    </row>
    <row r="266" ht="15.75" customHeight="1">
      <c r="B266" s="127"/>
    </row>
    <row r="267" ht="15.75" customHeight="1">
      <c r="B267" s="127"/>
    </row>
    <row r="268" ht="15.75" customHeight="1">
      <c r="B268" s="127"/>
    </row>
    <row r="269" ht="15.75" customHeight="1">
      <c r="B269" s="127"/>
    </row>
    <row r="270" ht="15.75" customHeight="1">
      <c r="B270" s="127"/>
    </row>
    <row r="271" ht="15.75" customHeight="1">
      <c r="B271" s="127"/>
    </row>
    <row r="272" ht="15.75" customHeight="1">
      <c r="B272" s="127"/>
    </row>
    <row r="273" ht="15.75" customHeight="1">
      <c r="B273" s="127"/>
    </row>
    <row r="274" ht="15.75" customHeight="1">
      <c r="B274" s="127"/>
    </row>
    <row r="275" ht="15.75" customHeight="1">
      <c r="B275" s="127"/>
    </row>
    <row r="276" ht="15.75" customHeight="1">
      <c r="B276" s="127"/>
    </row>
    <row r="277" ht="15.75" customHeight="1">
      <c r="B277" s="127"/>
    </row>
    <row r="278" ht="15.75" customHeight="1">
      <c r="B278" s="127"/>
    </row>
    <row r="279" ht="15.75" customHeight="1">
      <c r="B279" s="127"/>
    </row>
    <row r="280" ht="15.75" customHeight="1">
      <c r="B280" s="127"/>
    </row>
    <row r="281" ht="15.75" customHeight="1">
      <c r="B281" s="127"/>
    </row>
    <row r="282" ht="15.75" customHeight="1">
      <c r="B282" s="127"/>
    </row>
    <row r="283" ht="15.75" customHeight="1">
      <c r="B283" s="127"/>
    </row>
    <row r="284" ht="15.75" customHeight="1">
      <c r="B284" s="127"/>
    </row>
    <row r="285" ht="15.75" customHeight="1">
      <c r="B285" s="127"/>
    </row>
    <row r="286" ht="15.75" customHeight="1">
      <c r="B286" s="127"/>
    </row>
    <row r="287" ht="15.75" customHeight="1">
      <c r="B287" s="127"/>
    </row>
    <row r="288" ht="15.75" customHeight="1">
      <c r="B288" s="127"/>
    </row>
    <row r="289" ht="15.75" customHeight="1">
      <c r="B289" s="127"/>
    </row>
    <row r="290" ht="15.75" customHeight="1">
      <c r="B290" s="127"/>
    </row>
    <row r="291" ht="15.75" customHeight="1">
      <c r="B291" s="127"/>
    </row>
    <row r="292" ht="15.75" customHeight="1">
      <c r="B292" s="127"/>
    </row>
    <row r="293" ht="15.75" customHeight="1">
      <c r="B293" s="127"/>
    </row>
    <row r="294" ht="15.75" customHeight="1">
      <c r="B294" s="127"/>
    </row>
    <row r="295" ht="15.75" customHeight="1">
      <c r="B295" s="127"/>
    </row>
    <row r="296" ht="15.75" customHeight="1">
      <c r="B296" s="127"/>
    </row>
    <row r="297" ht="15.75" customHeight="1">
      <c r="B297" s="127"/>
    </row>
    <row r="298" ht="15.75" customHeight="1">
      <c r="B298" s="127"/>
    </row>
    <row r="299" ht="15.75" customHeight="1">
      <c r="B299" s="127"/>
    </row>
    <row r="300" ht="15.75" customHeight="1">
      <c r="B300" s="127"/>
    </row>
    <row r="301" ht="15.75" customHeight="1">
      <c r="B301" s="127"/>
    </row>
    <row r="302" ht="15.75" customHeight="1">
      <c r="B302" s="127"/>
    </row>
    <row r="303" ht="15.75" customHeight="1">
      <c r="B303" s="127"/>
    </row>
    <row r="304" ht="15.75" customHeight="1">
      <c r="B304" s="127"/>
    </row>
    <row r="305" ht="15.75" customHeight="1">
      <c r="B305" s="127"/>
    </row>
    <row r="306" ht="15.75" customHeight="1">
      <c r="B306" s="127"/>
    </row>
    <row r="307" ht="15.75" customHeight="1">
      <c r="B307" s="127"/>
    </row>
    <row r="308" ht="15.75" customHeight="1">
      <c r="B308" s="127"/>
    </row>
    <row r="309" ht="15.75" customHeight="1">
      <c r="B309" s="127"/>
    </row>
    <row r="310" ht="15.75" customHeight="1">
      <c r="B310" s="127"/>
    </row>
    <row r="311" ht="15.75" customHeight="1">
      <c r="B311" s="127"/>
    </row>
    <row r="312" ht="15.75" customHeight="1">
      <c r="B312" s="127"/>
    </row>
    <row r="313" ht="15.75" customHeight="1">
      <c r="B313" s="127"/>
    </row>
    <row r="314" ht="15.75" customHeight="1">
      <c r="B314" s="127"/>
    </row>
    <row r="315" ht="15.75" customHeight="1">
      <c r="B315" s="127"/>
    </row>
    <row r="316" ht="15.75" customHeight="1">
      <c r="B316" s="127"/>
    </row>
    <row r="317" ht="15.75" customHeight="1">
      <c r="B317" s="127"/>
    </row>
    <row r="318" ht="15.75" customHeight="1">
      <c r="B318" s="127"/>
    </row>
    <row r="319" ht="15.75" customHeight="1">
      <c r="B319" s="127"/>
    </row>
    <row r="320" ht="15.75" customHeight="1">
      <c r="B320" s="127"/>
    </row>
    <row r="321" ht="15.75" customHeight="1">
      <c r="B321" s="127"/>
    </row>
    <row r="322" ht="15.75" customHeight="1">
      <c r="B322" s="127"/>
    </row>
    <row r="323" ht="15.75" customHeight="1">
      <c r="B323" s="127"/>
    </row>
    <row r="324" ht="15.75" customHeight="1">
      <c r="B324" s="127"/>
    </row>
    <row r="325" ht="15.75" customHeight="1">
      <c r="B325" s="127"/>
    </row>
    <row r="326" ht="15.75" customHeight="1">
      <c r="B326" s="127"/>
    </row>
    <row r="327" ht="15.75" customHeight="1">
      <c r="B327" s="127"/>
    </row>
    <row r="328" ht="15.75" customHeight="1">
      <c r="B328" s="127"/>
    </row>
    <row r="329" ht="15.75" customHeight="1">
      <c r="B329" s="127"/>
    </row>
    <row r="330" ht="15.75" customHeight="1">
      <c r="B330" s="127"/>
    </row>
    <row r="331" ht="15.75" customHeight="1">
      <c r="B331" s="127"/>
    </row>
    <row r="332" ht="15.75" customHeight="1">
      <c r="B332" s="127"/>
    </row>
    <row r="333" ht="15.75" customHeight="1">
      <c r="B333" s="127"/>
    </row>
    <row r="334" ht="15.75" customHeight="1">
      <c r="B334" s="127"/>
    </row>
    <row r="335" ht="15.75" customHeight="1">
      <c r="B335" s="127"/>
    </row>
    <row r="336" ht="15.75" customHeight="1">
      <c r="B336" s="127"/>
    </row>
    <row r="337" ht="15.75" customHeight="1">
      <c r="B337" s="127"/>
    </row>
    <row r="338" ht="15.75" customHeight="1">
      <c r="B338" s="127"/>
    </row>
    <row r="339" ht="15.75" customHeight="1">
      <c r="B339" s="127"/>
    </row>
    <row r="340" ht="15.75" customHeight="1">
      <c r="B340" s="127"/>
    </row>
    <row r="341" ht="15.75" customHeight="1">
      <c r="B341" s="127"/>
    </row>
    <row r="342" ht="15.75" customHeight="1">
      <c r="B342" s="127"/>
    </row>
    <row r="343" ht="15.75" customHeight="1">
      <c r="B343" s="127"/>
    </row>
    <row r="344" ht="15.75" customHeight="1">
      <c r="B344" s="127"/>
    </row>
    <row r="345" ht="15.75" customHeight="1">
      <c r="B345" s="127"/>
    </row>
    <row r="346" ht="15.75" customHeight="1">
      <c r="B346" s="127"/>
    </row>
    <row r="347" ht="15.75" customHeight="1">
      <c r="B347" s="127"/>
    </row>
    <row r="348" ht="15.75" customHeight="1">
      <c r="B348" s="127"/>
    </row>
    <row r="349" ht="15.75" customHeight="1">
      <c r="B349" s="127"/>
    </row>
    <row r="350" ht="15.75" customHeight="1">
      <c r="B350" s="127"/>
    </row>
    <row r="351" ht="15.75" customHeight="1">
      <c r="B351" s="127"/>
    </row>
    <row r="352" ht="15.75" customHeight="1">
      <c r="B352" s="127"/>
    </row>
    <row r="353" ht="15.75" customHeight="1">
      <c r="B353" s="127"/>
    </row>
    <row r="354" ht="15.75" customHeight="1">
      <c r="B354" s="127"/>
    </row>
    <row r="355" ht="15.75" customHeight="1">
      <c r="B355" s="127"/>
    </row>
    <row r="356" ht="15.75" customHeight="1">
      <c r="B356" s="127"/>
    </row>
    <row r="357" ht="15.75" customHeight="1">
      <c r="B357" s="127"/>
    </row>
    <row r="358" ht="15.75" customHeight="1">
      <c r="B358" s="127"/>
    </row>
    <row r="359" ht="15.75" customHeight="1">
      <c r="B359" s="127"/>
    </row>
    <row r="360" ht="15.75" customHeight="1">
      <c r="B360" s="127"/>
    </row>
    <row r="361" ht="15.75" customHeight="1">
      <c r="B361" s="127"/>
    </row>
    <row r="362" ht="15.75" customHeight="1">
      <c r="B362" s="127"/>
    </row>
    <row r="363" ht="15.75" customHeight="1">
      <c r="B363" s="127"/>
    </row>
    <row r="364" ht="15.75" customHeight="1">
      <c r="B364" s="127"/>
    </row>
    <row r="365" ht="15.75" customHeight="1">
      <c r="B365" s="127"/>
    </row>
    <row r="366" ht="15.75" customHeight="1">
      <c r="B366" s="127"/>
    </row>
    <row r="367" ht="15.75" customHeight="1">
      <c r="B367" s="127"/>
    </row>
    <row r="368" ht="15.75" customHeight="1">
      <c r="B368" s="127"/>
    </row>
    <row r="369" ht="15.75" customHeight="1">
      <c r="B369" s="127"/>
    </row>
    <row r="370" ht="15.75" customHeight="1">
      <c r="B370" s="127"/>
    </row>
    <row r="371" ht="15.75" customHeight="1">
      <c r="B371" s="127"/>
    </row>
    <row r="372" ht="15.75" customHeight="1">
      <c r="B372" s="127"/>
    </row>
    <row r="373" ht="15.75" customHeight="1">
      <c r="B373" s="127"/>
    </row>
    <row r="374" ht="15.75" customHeight="1">
      <c r="B374" s="127"/>
    </row>
    <row r="375" ht="15.75" customHeight="1">
      <c r="B375" s="127"/>
    </row>
    <row r="376" ht="15.75" customHeight="1">
      <c r="B376" s="127"/>
    </row>
    <row r="377" ht="15.75" customHeight="1">
      <c r="B377" s="127"/>
    </row>
    <row r="378" ht="15.75" customHeight="1">
      <c r="B378" s="127"/>
    </row>
    <row r="379" ht="15.75" customHeight="1">
      <c r="B379" s="127"/>
    </row>
    <row r="380" ht="15.75" customHeight="1">
      <c r="B380" s="127"/>
    </row>
    <row r="381" ht="15.75" customHeight="1">
      <c r="B381" s="127"/>
    </row>
    <row r="382" ht="15.75" customHeight="1">
      <c r="B382" s="127"/>
    </row>
    <row r="383" ht="15.75" customHeight="1">
      <c r="B383" s="127"/>
    </row>
    <row r="384" ht="15.75" customHeight="1">
      <c r="B384" s="127"/>
    </row>
    <row r="385" ht="15.75" customHeight="1">
      <c r="B385" s="127"/>
    </row>
    <row r="386" ht="15.75" customHeight="1">
      <c r="B386" s="127"/>
    </row>
    <row r="387" ht="15.75" customHeight="1">
      <c r="B387" s="127"/>
    </row>
    <row r="388" ht="15.75" customHeight="1">
      <c r="B388" s="127"/>
    </row>
    <row r="389" ht="15.75" customHeight="1">
      <c r="B389" s="127"/>
    </row>
    <row r="390" ht="15.75" customHeight="1">
      <c r="B390" s="127"/>
    </row>
    <row r="391" ht="15.75" customHeight="1">
      <c r="B391" s="127"/>
    </row>
    <row r="392" ht="15.75" customHeight="1">
      <c r="B392" s="127"/>
    </row>
    <row r="393" ht="15.75" customHeight="1">
      <c r="B393" s="127"/>
    </row>
    <row r="394" ht="15.75" customHeight="1">
      <c r="B394" s="127"/>
    </row>
    <row r="395" ht="15.75" customHeight="1">
      <c r="B395" s="127"/>
    </row>
    <row r="396" ht="15.75" customHeight="1">
      <c r="B396" s="127"/>
    </row>
    <row r="397" ht="15.75" customHeight="1">
      <c r="B397" s="127"/>
    </row>
    <row r="398" ht="15.75" customHeight="1">
      <c r="B398" s="127"/>
    </row>
    <row r="399" ht="15.75" customHeight="1">
      <c r="B399" s="127"/>
    </row>
    <row r="400" ht="15.75" customHeight="1">
      <c r="B400" s="127"/>
    </row>
    <row r="401" ht="15.75" customHeight="1">
      <c r="B401" s="127"/>
    </row>
    <row r="402" ht="15.75" customHeight="1">
      <c r="B402" s="127"/>
    </row>
    <row r="403" ht="15.75" customHeight="1">
      <c r="B403" s="127"/>
    </row>
    <row r="404" ht="15.75" customHeight="1">
      <c r="B404" s="127"/>
    </row>
    <row r="405" ht="15.75" customHeight="1">
      <c r="B405" s="127"/>
    </row>
    <row r="406" ht="15.75" customHeight="1">
      <c r="B406" s="127"/>
    </row>
    <row r="407" ht="15.75" customHeight="1">
      <c r="B407" s="127"/>
    </row>
    <row r="408" ht="15.75" customHeight="1">
      <c r="B408" s="127"/>
    </row>
    <row r="409" ht="15.75" customHeight="1">
      <c r="B409" s="127"/>
    </row>
    <row r="410" ht="15.75" customHeight="1">
      <c r="B410" s="127"/>
    </row>
    <row r="411" ht="15.75" customHeight="1">
      <c r="B411" s="127"/>
    </row>
    <row r="412" ht="15.75" customHeight="1">
      <c r="B412" s="127"/>
    </row>
    <row r="413" ht="15.75" customHeight="1">
      <c r="B413" s="127"/>
    </row>
    <row r="414" ht="15.75" customHeight="1">
      <c r="B414" s="127"/>
    </row>
    <row r="415" ht="15.75" customHeight="1">
      <c r="B415" s="127"/>
    </row>
    <row r="416" ht="15.75" customHeight="1">
      <c r="B416" s="127"/>
    </row>
    <row r="417" ht="15.75" customHeight="1">
      <c r="B417" s="127"/>
    </row>
    <row r="418" ht="15.75" customHeight="1">
      <c r="B418" s="127"/>
    </row>
    <row r="419" ht="15.75" customHeight="1">
      <c r="B419" s="127"/>
    </row>
    <row r="420" ht="15.75" customHeight="1">
      <c r="B420" s="127"/>
    </row>
    <row r="421" ht="15.75" customHeight="1">
      <c r="B421" s="127"/>
    </row>
    <row r="422" ht="15.75" customHeight="1">
      <c r="B422" s="127"/>
    </row>
    <row r="423" ht="15.75" customHeight="1">
      <c r="B423" s="127"/>
    </row>
    <row r="424" ht="15.75" customHeight="1">
      <c r="B424" s="127"/>
    </row>
    <row r="425" ht="15.75" customHeight="1">
      <c r="B425" s="127"/>
    </row>
    <row r="426" ht="15.75" customHeight="1">
      <c r="B426" s="127"/>
    </row>
    <row r="427" ht="15.75" customHeight="1">
      <c r="B427" s="127"/>
    </row>
    <row r="428" ht="15.75" customHeight="1">
      <c r="B428" s="127"/>
    </row>
    <row r="429" ht="15.75" customHeight="1">
      <c r="B429" s="127"/>
    </row>
    <row r="430" ht="15.75" customHeight="1">
      <c r="B430" s="127"/>
    </row>
    <row r="431" ht="15.75" customHeight="1">
      <c r="B431" s="127"/>
    </row>
    <row r="432" ht="15.75" customHeight="1">
      <c r="B432" s="127"/>
    </row>
    <row r="433" ht="15.75" customHeight="1">
      <c r="B433" s="127"/>
    </row>
    <row r="434" ht="15.75" customHeight="1">
      <c r="B434" s="127"/>
    </row>
    <row r="435" ht="15.75" customHeight="1">
      <c r="B435" s="127"/>
    </row>
    <row r="436" ht="15.75" customHeight="1">
      <c r="B436" s="127"/>
    </row>
    <row r="437" ht="15.75" customHeight="1">
      <c r="B437" s="127"/>
    </row>
    <row r="438" ht="15.75" customHeight="1">
      <c r="B438" s="127"/>
    </row>
    <row r="439" ht="15.75" customHeight="1">
      <c r="B439" s="127"/>
    </row>
    <row r="440" ht="15.75" customHeight="1">
      <c r="B440" s="127"/>
    </row>
    <row r="441" ht="15.75" customHeight="1">
      <c r="B441" s="127"/>
    </row>
    <row r="442" ht="15.75" customHeight="1">
      <c r="B442" s="127"/>
    </row>
    <row r="443" ht="15.75" customHeight="1">
      <c r="B443" s="127"/>
    </row>
    <row r="444" ht="15.75" customHeight="1">
      <c r="B444" s="127"/>
    </row>
    <row r="445" ht="15.75" customHeight="1">
      <c r="B445" s="127"/>
    </row>
    <row r="446" ht="15.75" customHeight="1">
      <c r="B446" s="127"/>
    </row>
    <row r="447" ht="15.75" customHeight="1">
      <c r="B447" s="127"/>
    </row>
    <row r="448" ht="15.75" customHeight="1">
      <c r="B448" s="127"/>
    </row>
    <row r="449" ht="15.75" customHeight="1">
      <c r="B449" s="127"/>
    </row>
    <row r="450" ht="15.75" customHeight="1">
      <c r="B450" s="127"/>
    </row>
    <row r="451" ht="15.75" customHeight="1">
      <c r="B451" s="127"/>
    </row>
    <row r="452" ht="15.75" customHeight="1">
      <c r="B452" s="127"/>
    </row>
    <row r="453" ht="15.75" customHeight="1">
      <c r="B453" s="127"/>
    </row>
    <row r="454" ht="15.75" customHeight="1">
      <c r="B454" s="127"/>
    </row>
    <row r="455" ht="15.75" customHeight="1">
      <c r="B455" s="127"/>
    </row>
    <row r="456" ht="15.75" customHeight="1">
      <c r="B456" s="127"/>
    </row>
    <row r="457" ht="15.75" customHeight="1">
      <c r="B457" s="127"/>
    </row>
    <row r="458" ht="15.75" customHeight="1">
      <c r="B458" s="127"/>
    </row>
    <row r="459" ht="15.75" customHeight="1">
      <c r="B459" s="127"/>
    </row>
    <row r="460" ht="15.75" customHeight="1">
      <c r="B460" s="127"/>
    </row>
    <row r="461" ht="15.75" customHeight="1">
      <c r="B461" s="127"/>
    </row>
    <row r="462" ht="15.75" customHeight="1">
      <c r="B462" s="127"/>
    </row>
    <row r="463" ht="15.75" customHeight="1">
      <c r="B463" s="127"/>
    </row>
    <row r="464" ht="15.75" customHeight="1">
      <c r="B464" s="127"/>
    </row>
    <row r="465" ht="15.75" customHeight="1">
      <c r="B465" s="127"/>
    </row>
    <row r="466" ht="15.75" customHeight="1">
      <c r="B466" s="127"/>
    </row>
    <row r="467" ht="15.75" customHeight="1">
      <c r="B467" s="127"/>
    </row>
    <row r="468" ht="15.75" customHeight="1">
      <c r="B468" s="127"/>
    </row>
    <row r="469" ht="15.75" customHeight="1">
      <c r="B469" s="127"/>
    </row>
    <row r="470" ht="15.75" customHeight="1">
      <c r="B470" s="127"/>
    </row>
    <row r="471" ht="15.75" customHeight="1">
      <c r="B471" s="127"/>
    </row>
    <row r="472" ht="15.75" customHeight="1">
      <c r="B472" s="127"/>
    </row>
    <row r="473" ht="15.75" customHeight="1">
      <c r="B473" s="127"/>
    </row>
    <row r="474" ht="15.75" customHeight="1">
      <c r="B474" s="127"/>
    </row>
    <row r="475" ht="15.75" customHeight="1">
      <c r="B475" s="127"/>
    </row>
    <row r="476" ht="15.75" customHeight="1">
      <c r="B476" s="127"/>
    </row>
    <row r="477" ht="15.75" customHeight="1">
      <c r="B477" s="127"/>
    </row>
    <row r="478" ht="15.75" customHeight="1">
      <c r="B478" s="127"/>
    </row>
    <row r="479" ht="15.75" customHeight="1">
      <c r="B479" s="127"/>
    </row>
    <row r="480" ht="15.75" customHeight="1">
      <c r="B480" s="127"/>
    </row>
    <row r="481" ht="15.75" customHeight="1">
      <c r="B481" s="127"/>
    </row>
    <row r="482" ht="15.75" customHeight="1">
      <c r="B482" s="127"/>
    </row>
    <row r="483" ht="15.75" customHeight="1">
      <c r="B483" s="127"/>
    </row>
    <row r="484" ht="15.75" customHeight="1">
      <c r="B484" s="127"/>
    </row>
    <row r="485" ht="15.75" customHeight="1">
      <c r="B485" s="127"/>
    </row>
    <row r="486" ht="15.75" customHeight="1">
      <c r="B486" s="127"/>
    </row>
    <row r="487" ht="15.75" customHeight="1">
      <c r="B487" s="127"/>
    </row>
    <row r="488" ht="15.75" customHeight="1">
      <c r="B488" s="127"/>
    </row>
    <row r="489" ht="15.75" customHeight="1">
      <c r="B489" s="127"/>
    </row>
    <row r="490" ht="15.75" customHeight="1">
      <c r="B490" s="127"/>
    </row>
    <row r="491" ht="15.75" customHeight="1">
      <c r="B491" s="127"/>
    </row>
    <row r="492" ht="15.75" customHeight="1">
      <c r="B492" s="127"/>
    </row>
    <row r="493" ht="15.75" customHeight="1">
      <c r="B493" s="127"/>
    </row>
    <row r="494" ht="15.75" customHeight="1">
      <c r="B494" s="127"/>
    </row>
    <row r="495" ht="15.75" customHeight="1">
      <c r="B495" s="127"/>
    </row>
    <row r="496" ht="15.75" customHeight="1">
      <c r="B496" s="127"/>
    </row>
    <row r="497" ht="15.75" customHeight="1">
      <c r="B497" s="127"/>
    </row>
    <row r="498" ht="15.75" customHeight="1">
      <c r="B498" s="127"/>
    </row>
    <row r="499" ht="15.75" customHeight="1">
      <c r="B499" s="127"/>
    </row>
    <row r="500" ht="15.75" customHeight="1">
      <c r="B500" s="127"/>
    </row>
    <row r="501" ht="15.75" customHeight="1">
      <c r="B501" s="127"/>
    </row>
    <row r="502" ht="15.75" customHeight="1">
      <c r="B502" s="127"/>
    </row>
    <row r="503" ht="15.75" customHeight="1">
      <c r="B503" s="127"/>
    </row>
    <row r="504" ht="15.75" customHeight="1">
      <c r="B504" s="127"/>
    </row>
    <row r="505" ht="15.75" customHeight="1">
      <c r="B505" s="127"/>
    </row>
    <row r="506" ht="15.75" customHeight="1">
      <c r="B506" s="127"/>
    </row>
    <row r="507" ht="15.75" customHeight="1">
      <c r="B507" s="127"/>
    </row>
    <row r="508" ht="15.75" customHeight="1">
      <c r="B508" s="127"/>
    </row>
    <row r="509" ht="15.75" customHeight="1">
      <c r="B509" s="127"/>
    </row>
    <row r="510" ht="15.75" customHeight="1">
      <c r="B510" s="127"/>
    </row>
    <row r="511" ht="15.75" customHeight="1">
      <c r="B511" s="127"/>
    </row>
    <row r="512" ht="15.75" customHeight="1">
      <c r="B512" s="127"/>
    </row>
    <row r="513" ht="15.75" customHeight="1">
      <c r="B513" s="127"/>
    </row>
    <row r="514" ht="15.75" customHeight="1">
      <c r="B514" s="127"/>
    </row>
    <row r="515" ht="15.75" customHeight="1">
      <c r="B515" s="127"/>
    </row>
    <row r="516" ht="15.75" customHeight="1">
      <c r="B516" s="127"/>
    </row>
    <row r="517" ht="15.75" customHeight="1">
      <c r="B517" s="127"/>
    </row>
    <row r="518" ht="15.75" customHeight="1">
      <c r="B518" s="127"/>
    </row>
    <row r="519" ht="15.75" customHeight="1">
      <c r="B519" s="127"/>
    </row>
    <row r="520" ht="15.75" customHeight="1">
      <c r="B520" s="127"/>
    </row>
    <row r="521" ht="15.75" customHeight="1">
      <c r="B521" s="127"/>
    </row>
    <row r="522" ht="15.75" customHeight="1">
      <c r="B522" s="127"/>
    </row>
    <row r="523" ht="15.75" customHeight="1">
      <c r="B523" s="127"/>
    </row>
    <row r="524" ht="15.75" customHeight="1">
      <c r="B524" s="127"/>
    </row>
    <row r="525" ht="15.75" customHeight="1">
      <c r="B525" s="127"/>
    </row>
    <row r="526" ht="15.75" customHeight="1">
      <c r="B526" s="127"/>
    </row>
    <row r="527" ht="15.75" customHeight="1">
      <c r="B527" s="127"/>
    </row>
    <row r="528" ht="15.75" customHeight="1">
      <c r="B528" s="127"/>
    </row>
    <row r="529" ht="15.75" customHeight="1">
      <c r="B529" s="127"/>
    </row>
    <row r="530" ht="15.75" customHeight="1">
      <c r="B530" s="127"/>
    </row>
    <row r="531" ht="15.75" customHeight="1">
      <c r="B531" s="127"/>
    </row>
    <row r="532" ht="15.75" customHeight="1">
      <c r="B532" s="127"/>
    </row>
    <row r="533" ht="15.75" customHeight="1">
      <c r="B533" s="127"/>
    </row>
    <row r="534" ht="15.75" customHeight="1">
      <c r="B534" s="127"/>
    </row>
    <row r="535" ht="15.75" customHeight="1">
      <c r="B535" s="127"/>
    </row>
    <row r="536" ht="15.75" customHeight="1">
      <c r="B536" s="127"/>
    </row>
    <row r="537" ht="15.75" customHeight="1">
      <c r="B537" s="127"/>
    </row>
    <row r="538" ht="15.75" customHeight="1">
      <c r="B538" s="127"/>
    </row>
    <row r="539" ht="15.75" customHeight="1">
      <c r="B539" s="127"/>
    </row>
    <row r="540" ht="15.75" customHeight="1">
      <c r="B540" s="127"/>
    </row>
    <row r="541" ht="15.75" customHeight="1">
      <c r="B541" s="127"/>
    </row>
    <row r="542" ht="15.75" customHeight="1">
      <c r="B542" s="127"/>
    </row>
    <row r="543" ht="15.75" customHeight="1">
      <c r="B543" s="127"/>
    </row>
    <row r="544" ht="15.75" customHeight="1">
      <c r="B544" s="127"/>
    </row>
    <row r="545" ht="15.75" customHeight="1">
      <c r="B545" s="127"/>
    </row>
    <row r="546" ht="15.75" customHeight="1">
      <c r="B546" s="127"/>
    </row>
    <row r="547" ht="15.75" customHeight="1">
      <c r="B547" s="127"/>
    </row>
    <row r="548" ht="15.75" customHeight="1">
      <c r="B548" s="127"/>
    </row>
    <row r="549" ht="15.75" customHeight="1">
      <c r="B549" s="127"/>
    </row>
    <row r="550" ht="15.75" customHeight="1">
      <c r="B550" s="127"/>
    </row>
    <row r="551" ht="15.75" customHeight="1">
      <c r="B551" s="127"/>
    </row>
    <row r="552" ht="15.75" customHeight="1">
      <c r="B552" s="127"/>
    </row>
    <row r="553" ht="15.75" customHeight="1">
      <c r="B553" s="127"/>
    </row>
    <row r="554" ht="15.75" customHeight="1">
      <c r="B554" s="127"/>
    </row>
    <row r="555" ht="15.75" customHeight="1">
      <c r="B555" s="127"/>
    </row>
    <row r="556" ht="15.75" customHeight="1">
      <c r="B556" s="127"/>
    </row>
    <row r="557" ht="15.75" customHeight="1">
      <c r="B557" s="127"/>
    </row>
    <row r="558" ht="15.75" customHeight="1">
      <c r="B558" s="127"/>
    </row>
    <row r="559" ht="15.75" customHeight="1">
      <c r="B559" s="127"/>
    </row>
    <row r="560" ht="15.75" customHeight="1">
      <c r="B560" s="127"/>
    </row>
    <row r="561" ht="15.75" customHeight="1">
      <c r="B561" s="127"/>
    </row>
    <row r="562" ht="15.75" customHeight="1">
      <c r="B562" s="127"/>
    </row>
    <row r="563" ht="15.75" customHeight="1">
      <c r="B563" s="127"/>
    </row>
    <row r="564" ht="15.75" customHeight="1">
      <c r="B564" s="127"/>
    </row>
    <row r="565" ht="15.75" customHeight="1">
      <c r="B565" s="127"/>
    </row>
    <row r="566" ht="15.75" customHeight="1">
      <c r="B566" s="127"/>
    </row>
    <row r="567" ht="15.75" customHeight="1">
      <c r="B567" s="127"/>
    </row>
    <row r="568" ht="15.75" customHeight="1">
      <c r="B568" s="127"/>
    </row>
    <row r="569" ht="15.75" customHeight="1">
      <c r="B569" s="127"/>
    </row>
    <row r="570" ht="15.75" customHeight="1">
      <c r="B570" s="127"/>
    </row>
    <row r="571" ht="15.75" customHeight="1">
      <c r="B571" s="127"/>
    </row>
    <row r="572" ht="15.75" customHeight="1">
      <c r="B572" s="127"/>
    </row>
    <row r="573" ht="15.75" customHeight="1">
      <c r="B573" s="127"/>
    </row>
    <row r="574" ht="15.75" customHeight="1">
      <c r="B574" s="127"/>
    </row>
    <row r="575" ht="15.75" customHeight="1">
      <c r="B575" s="127"/>
    </row>
    <row r="576" ht="15.75" customHeight="1">
      <c r="B576" s="127"/>
    </row>
    <row r="577" ht="15.75" customHeight="1">
      <c r="B577" s="127"/>
    </row>
    <row r="578" ht="15.75" customHeight="1">
      <c r="B578" s="127"/>
    </row>
    <row r="579" ht="15.75" customHeight="1">
      <c r="B579" s="127"/>
    </row>
    <row r="580" ht="15.75" customHeight="1">
      <c r="B580" s="127"/>
    </row>
    <row r="581" ht="15.75" customHeight="1">
      <c r="B581" s="127"/>
    </row>
    <row r="582" ht="15.75" customHeight="1">
      <c r="B582" s="127"/>
    </row>
    <row r="583" ht="15.75" customHeight="1">
      <c r="B583" s="127"/>
    </row>
    <row r="584" ht="15.75" customHeight="1">
      <c r="B584" s="127"/>
    </row>
    <row r="585" ht="15.75" customHeight="1">
      <c r="B585" s="127"/>
    </row>
    <row r="586" ht="15.75" customHeight="1">
      <c r="B586" s="127"/>
    </row>
    <row r="587" ht="15.75" customHeight="1">
      <c r="B587" s="127"/>
    </row>
    <row r="588" ht="15.75" customHeight="1">
      <c r="B588" s="127"/>
    </row>
    <row r="589" ht="15.75" customHeight="1">
      <c r="B589" s="127"/>
    </row>
    <row r="590" ht="15.75" customHeight="1">
      <c r="B590" s="127"/>
    </row>
    <row r="591" ht="15.75" customHeight="1">
      <c r="B591" s="127"/>
    </row>
    <row r="592" ht="15.75" customHeight="1">
      <c r="B592" s="127"/>
    </row>
    <row r="593" ht="15.75" customHeight="1">
      <c r="B593" s="127"/>
    </row>
    <row r="594" ht="15.75" customHeight="1">
      <c r="B594" s="127"/>
    </row>
    <row r="595" ht="15.75" customHeight="1">
      <c r="B595" s="127"/>
    </row>
    <row r="596" ht="15.75" customHeight="1">
      <c r="B596" s="127"/>
    </row>
    <row r="597" ht="15.75" customHeight="1">
      <c r="B597" s="127"/>
    </row>
    <row r="598" ht="15.75" customHeight="1">
      <c r="B598" s="127"/>
    </row>
    <row r="599" ht="15.75" customHeight="1">
      <c r="B599" s="127"/>
    </row>
    <row r="600" ht="15.75" customHeight="1">
      <c r="B600" s="127"/>
    </row>
    <row r="601" ht="15.75" customHeight="1">
      <c r="B601" s="127"/>
    </row>
    <row r="602" ht="15.75" customHeight="1">
      <c r="B602" s="127"/>
    </row>
    <row r="603" ht="15.75" customHeight="1">
      <c r="B603" s="127"/>
    </row>
    <row r="604" ht="15.75" customHeight="1">
      <c r="B604" s="127"/>
    </row>
    <row r="605" ht="15.75" customHeight="1">
      <c r="B605" s="127"/>
    </row>
    <row r="606" ht="15.75" customHeight="1">
      <c r="B606" s="127"/>
    </row>
    <row r="607" ht="15.75" customHeight="1">
      <c r="B607" s="127"/>
    </row>
    <row r="608" ht="15.75" customHeight="1">
      <c r="B608" s="127"/>
    </row>
    <row r="609" ht="15.75" customHeight="1">
      <c r="B609" s="127"/>
    </row>
    <row r="610" ht="15.75" customHeight="1">
      <c r="B610" s="127"/>
    </row>
    <row r="611" ht="15.75" customHeight="1">
      <c r="B611" s="127"/>
    </row>
    <row r="612" ht="15.75" customHeight="1">
      <c r="B612" s="127"/>
    </row>
    <row r="613" ht="15.75" customHeight="1">
      <c r="B613" s="127"/>
    </row>
    <row r="614" ht="15.75" customHeight="1">
      <c r="B614" s="127"/>
    </row>
    <row r="615" ht="15.75" customHeight="1">
      <c r="B615" s="127"/>
    </row>
    <row r="616" ht="15.75" customHeight="1">
      <c r="B616" s="127"/>
    </row>
    <row r="617" ht="15.75" customHeight="1">
      <c r="B617" s="127"/>
    </row>
    <row r="618" ht="15.75" customHeight="1">
      <c r="B618" s="127"/>
    </row>
    <row r="619" ht="15.75" customHeight="1">
      <c r="B619" s="127"/>
    </row>
    <row r="620" ht="15.75" customHeight="1">
      <c r="B620" s="127"/>
    </row>
    <row r="621" ht="15.75" customHeight="1">
      <c r="B621" s="127"/>
    </row>
    <row r="622" ht="15.75" customHeight="1">
      <c r="B622" s="127"/>
    </row>
    <row r="623" ht="15.75" customHeight="1">
      <c r="B623" s="127"/>
    </row>
    <row r="624" ht="15.75" customHeight="1">
      <c r="B624" s="127"/>
    </row>
    <row r="625" ht="15.75" customHeight="1">
      <c r="B625" s="127"/>
    </row>
    <row r="626" ht="15.75" customHeight="1">
      <c r="B626" s="127"/>
    </row>
    <row r="627" ht="15.75" customHeight="1">
      <c r="B627" s="127"/>
    </row>
    <row r="628" ht="15.75" customHeight="1">
      <c r="B628" s="127"/>
    </row>
    <row r="629" ht="15.75" customHeight="1">
      <c r="B629" s="127"/>
    </row>
    <row r="630" ht="15.75" customHeight="1">
      <c r="B630" s="127"/>
    </row>
    <row r="631" ht="15.75" customHeight="1">
      <c r="B631" s="127"/>
    </row>
    <row r="632" ht="15.75" customHeight="1">
      <c r="B632" s="127"/>
    </row>
    <row r="633" ht="15.75" customHeight="1">
      <c r="B633" s="127"/>
    </row>
    <row r="634" ht="15.75" customHeight="1">
      <c r="B634" s="127"/>
    </row>
    <row r="635" ht="15.75" customHeight="1">
      <c r="B635" s="127"/>
    </row>
    <row r="636" ht="15.75" customHeight="1">
      <c r="B636" s="127"/>
    </row>
    <row r="637" ht="15.75" customHeight="1">
      <c r="B637" s="127"/>
    </row>
    <row r="638" ht="15.75" customHeight="1">
      <c r="B638" s="127"/>
    </row>
    <row r="639" ht="15.75" customHeight="1">
      <c r="B639" s="127"/>
    </row>
    <row r="640" ht="15.75" customHeight="1">
      <c r="B640" s="127"/>
    </row>
    <row r="641" ht="15.75" customHeight="1">
      <c r="B641" s="127"/>
    </row>
    <row r="642" ht="15.75" customHeight="1">
      <c r="B642" s="127"/>
    </row>
    <row r="643" ht="15.75" customHeight="1">
      <c r="B643" s="127"/>
    </row>
    <row r="644" ht="15.75" customHeight="1">
      <c r="B644" s="127"/>
    </row>
    <row r="645" ht="15.75" customHeight="1">
      <c r="B645" s="127"/>
    </row>
    <row r="646" ht="15.75" customHeight="1">
      <c r="B646" s="127"/>
    </row>
    <row r="647" ht="15.75" customHeight="1">
      <c r="B647" s="127"/>
    </row>
    <row r="648" ht="15.75" customHeight="1">
      <c r="B648" s="127"/>
    </row>
    <row r="649" ht="15.75" customHeight="1">
      <c r="B649" s="127"/>
    </row>
    <row r="650" ht="15.75" customHeight="1">
      <c r="B650" s="127"/>
    </row>
    <row r="651" ht="15.75" customHeight="1">
      <c r="B651" s="127"/>
    </row>
    <row r="652" ht="15.75" customHeight="1">
      <c r="B652" s="127"/>
    </row>
    <row r="653" ht="15.75" customHeight="1">
      <c r="B653" s="127"/>
    </row>
    <row r="654" ht="15.75" customHeight="1">
      <c r="B654" s="127"/>
    </row>
    <row r="655" ht="15.75" customHeight="1">
      <c r="B655" s="127"/>
    </row>
    <row r="656" ht="15.75" customHeight="1">
      <c r="B656" s="127"/>
    </row>
    <row r="657" ht="15.75" customHeight="1">
      <c r="B657" s="127"/>
    </row>
    <row r="658" ht="15.75" customHeight="1">
      <c r="B658" s="127"/>
    </row>
    <row r="659" ht="15.75" customHeight="1">
      <c r="B659" s="127"/>
    </row>
    <row r="660" ht="15.75" customHeight="1">
      <c r="B660" s="127"/>
    </row>
    <row r="661" ht="15.75" customHeight="1">
      <c r="B661" s="127"/>
    </row>
    <row r="662" ht="15.75" customHeight="1">
      <c r="B662" s="127"/>
    </row>
    <row r="663" ht="15.75" customHeight="1">
      <c r="B663" s="127"/>
    </row>
    <row r="664" ht="15.75" customHeight="1">
      <c r="B664" s="127"/>
    </row>
    <row r="665" ht="15.75" customHeight="1">
      <c r="B665" s="127"/>
    </row>
    <row r="666" ht="15.75" customHeight="1">
      <c r="B666" s="127"/>
    </row>
    <row r="667" ht="15.75" customHeight="1">
      <c r="B667" s="127"/>
    </row>
    <row r="668" ht="15.75" customHeight="1">
      <c r="B668" s="127"/>
    </row>
    <row r="669" ht="15.75" customHeight="1">
      <c r="B669" s="127"/>
    </row>
    <row r="670" ht="15.75" customHeight="1">
      <c r="B670" s="127"/>
    </row>
    <row r="671" ht="15.75" customHeight="1">
      <c r="B671" s="127"/>
    </row>
    <row r="672" ht="15.75" customHeight="1">
      <c r="B672" s="127"/>
    </row>
    <row r="673" ht="15.75" customHeight="1">
      <c r="B673" s="127"/>
    </row>
    <row r="674" ht="15.75" customHeight="1">
      <c r="B674" s="127"/>
    </row>
    <row r="675" ht="15.75" customHeight="1">
      <c r="B675" s="127"/>
    </row>
    <row r="676" ht="15.75" customHeight="1">
      <c r="B676" s="127"/>
    </row>
    <row r="677" ht="15.75" customHeight="1">
      <c r="B677" s="127"/>
    </row>
    <row r="678" ht="15.75" customHeight="1">
      <c r="B678" s="127"/>
    </row>
    <row r="679" ht="15.75" customHeight="1">
      <c r="B679" s="127"/>
    </row>
    <row r="680" ht="15.75" customHeight="1">
      <c r="B680" s="127"/>
    </row>
    <row r="681" ht="15.75" customHeight="1">
      <c r="B681" s="127"/>
    </row>
    <row r="682" ht="15.75" customHeight="1">
      <c r="B682" s="127"/>
    </row>
    <row r="683" ht="15.75" customHeight="1">
      <c r="B683" s="127"/>
    </row>
    <row r="684" ht="15.75" customHeight="1">
      <c r="B684" s="127"/>
    </row>
    <row r="685" ht="15.75" customHeight="1">
      <c r="B685" s="127"/>
    </row>
    <row r="686" ht="15.75" customHeight="1">
      <c r="B686" s="127"/>
    </row>
    <row r="687" ht="15.75" customHeight="1">
      <c r="B687" s="127"/>
    </row>
    <row r="688" ht="15.75" customHeight="1">
      <c r="B688" s="127"/>
    </row>
    <row r="689" ht="15.75" customHeight="1">
      <c r="B689" s="127"/>
    </row>
    <row r="690" ht="15.75" customHeight="1">
      <c r="B690" s="127"/>
    </row>
    <row r="691" ht="15.75" customHeight="1">
      <c r="B691" s="127"/>
    </row>
    <row r="692" ht="15.75" customHeight="1">
      <c r="B692" s="127"/>
    </row>
    <row r="693" ht="15.75" customHeight="1">
      <c r="B693" s="127"/>
    </row>
    <row r="694" ht="15.75" customHeight="1">
      <c r="B694" s="127"/>
    </row>
    <row r="695" ht="15.75" customHeight="1">
      <c r="B695" s="127"/>
    </row>
    <row r="696" ht="15.75" customHeight="1">
      <c r="B696" s="127"/>
    </row>
    <row r="697" ht="15.75" customHeight="1">
      <c r="B697" s="127"/>
    </row>
    <row r="698" ht="15.75" customHeight="1">
      <c r="B698" s="127"/>
    </row>
    <row r="699" ht="15.75" customHeight="1">
      <c r="B699" s="127"/>
    </row>
    <row r="700" ht="15.75" customHeight="1">
      <c r="B700" s="127"/>
    </row>
    <row r="701" ht="15.75" customHeight="1">
      <c r="B701" s="127"/>
    </row>
    <row r="702" ht="15.75" customHeight="1">
      <c r="B702" s="127"/>
    </row>
    <row r="703" ht="15.75" customHeight="1">
      <c r="B703" s="127"/>
    </row>
    <row r="704" ht="15.75" customHeight="1">
      <c r="B704" s="127"/>
    </row>
    <row r="705" ht="15.75" customHeight="1">
      <c r="B705" s="127"/>
    </row>
    <row r="706" ht="15.75" customHeight="1">
      <c r="B706" s="127"/>
    </row>
    <row r="707" ht="15.75" customHeight="1">
      <c r="B707" s="127"/>
    </row>
    <row r="708" ht="15.75" customHeight="1">
      <c r="B708" s="127"/>
    </row>
    <row r="709" ht="15.75" customHeight="1">
      <c r="B709" s="127"/>
    </row>
    <row r="710" ht="15.75" customHeight="1">
      <c r="B710" s="127"/>
    </row>
    <row r="711" ht="15.75" customHeight="1">
      <c r="B711" s="127"/>
    </row>
    <row r="712" ht="15.75" customHeight="1">
      <c r="B712" s="127"/>
    </row>
    <row r="713" ht="15.75" customHeight="1">
      <c r="B713" s="127"/>
    </row>
    <row r="714" ht="15.75" customHeight="1">
      <c r="B714" s="127"/>
    </row>
    <row r="715" ht="15.75" customHeight="1">
      <c r="B715" s="127"/>
    </row>
    <row r="716" ht="15.75" customHeight="1">
      <c r="B716" s="127"/>
    </row>
    <row r="717" ht="15.75" customHeight="1">
      <c r="B717" s="127"/>
    </row>
    <row r="718" ht="15.75" customHeight="1">
      <c r="B718" s="127"/>
    </row>
    <row r="719" ht="15.75" customHeight="1">
      <c r="B719" s="127"/>
    </row>
    <row r="720" ht="15.75" customHeight="1">
      <c r="B720" s="127"/>
    </row>
    <row r="721" ht="15.75" customHeight="1">
      <c r="B721" s="127"/>
    </row>
    <row r="722" ht="15.75" customHeight="1">
      <c r="B722" s="127"/>
    </row>
    <row r="723" ht="15.75" customHeight="1">
      <c r="B723" s="127"/>
    </row>
    <row r="724" ht="15.75" customHeight="1">
      <c r="B724" s="127"/>
    </row>
    <row r="725" ht="15.75" customHeight="1">
      <c r="B725" s="127"/>
    </row>
    <row r="726" ht="15.75" customHeight="1">
      <c r="B726" s="127"/>
    </row>
    <row r="727" ht="15.75" customHeight="1">
      <c r="B727" s="127"/>
    </row>
    <row r="728" ht="15.75" customHeight="1">
      <c r="B728" s="127"/>
    </row>
    <row r="729" ht="15.75" customHeight="1">
      <c r="B729" s="127"/>
    </row>
    <row r="730" ht="15.75" customHeight="1">
      <c r="B730" s="127"/>
    </row>
    <row r="731" ht="15.75" customHeight="1">
      <c r="B731" s="127"/>
    </row>
    <row r="732" ht="15.75" customHeight="1">
      <c r="B732" s="127"/>
    </row>
    <row r="733" ht="15.75" customHeight="1">
      <c r="B733" s="127"/>
    </row>
    <row r="734" ht="15.75" customHeight="1">
      <c r="B734" s="127"/>
    </row>
    <row r="735" ht="15.75" customHeight="1">
      <c r="B735" s="127"/>
    </row>
    <row r="736" ht="15.75" customHeight="1">
      <c r="B736" s="127"/>
    </row>
    <row r="737" ht="15.75" customHeight="1">
      <c r="B737" s="127"/>
    </row>
    <row r="738" ht="15.75" customHeight="1">
      <c r="B738" s="127"/>
    </row>
    <row r="739" ht="15.75" customHeight="1">
      <c r="B739" s="127"/>
    </row>
    <row r="740" ht="15.75" customHeight="1">
      <c r="B740" s="127"/>
    </row>
    <row r="741" ht="15.75" customHeight="1">
      <c r="B741" s="127"/>
    </row>
    <row r="742" ht="15.75" customHeight="1">
      <c r="B742" s="127"/>
    </row>
    <row r="743" ht="15.75" customHeight="1">
      <c r="B743" s="127"/>
    </row>
    <row r="744" ht="15.75" customHeight="1">
      <c r="B744" s="127"/>
    </row>
    <row r="745" ht="15.75" customHeight="1">
      <c r="B745" s="127"/>
    </row>
    <row r="746" ht="15.75" customHeight="1">
      <c r="B746" s="127"/>
    </row>
    <row r="747" ht="15.75" customHeight="1">
      <c r="B747" s="127"/>
    </row>
    <row r="748" ht="15.75" customHeight="1">
      <c r="B748" s="127"/>
    </row>
    <row r="749" ht="15.75" customHeight="1">
      <c r="B749" s="127"/>
    </row>
    <row r="750" ht="15.75" customHeight="1">
      <c r="B750" s="127"/>
    </row>
    <row r="751" ht="15.75" customHeight="1">
      <c r="B751" s="127"/>
    </row>
    <row r="752" ht="15.75" customHeight="1">
      <c r="B752" s="127"/>
    </row>
    <row r="753" ht="15.75" customHeight="1">
      <c r="B753" s="127"/>
    </row>
    <row r="754" ht="15.75" customHeight="1">
      <c r="B754" s="127"/>
    </row>
    <row r="755" ht="15.75" customHeight="1">
      <c r="B755" s="127"/>
    </row>
    <row r="756" ht="15.75" customHeight="1">
      <c r="B756" s="127"/>
    </row>
    <row r="757" ht="15.75" customHeight="1">
      <c r="B757" s="127"/>
    </row>
    <row r="758" ht="15.75" customHeight="1">
      <c r="B758" s="127"/>
    </row>
    <row r="759" ht="15.75" customHeight="1">
      <c r="B759" s="127"/>
    </row>
    <row r="760" ht="15.75" customHeight="1">
      <c r="B760" s="127"/>
    </row>
    <row r="761" ht="15.75" customHeight="1">
      <c r="B761" s="127"/>
    </row>
    <row r="762" ht="15.75" customHeight="1">
      <c r="B762" s="127"/>
    </row>
    <row r="763" ht="15.75" customHeight="1">
      <c r="B763" s="127"/>
    </row>
    <row r="764" ht="15.75" customHeight="1">
      <c r="B764" s="127"/>
    </row>
    <row r="765" ht="15.75" customHeight="1">
      <c r="B765" s="127"/>
    </row>
    <row r="766" ht="15.75" customHeight="1">
      <c r="B766" s="127"/>
    </row>
    <row r="767" ht="15.75" customHeight="1">
      <c r="B767" s="127"/>
    </row>
    <row r="768" ht="15.75" customHeight="1">
      <c r="B768" s="127"/>
    </row>
    <row r="769" ht="15.75" customHeight="1">
      <c r="B769" s="127"/>
    </row>
    <row r="770" ht="15.75" customHeight="1">
      <c r="B770" s="127"/>
    </row>
    <row r="771" ht="15.75" customHeight="1">
      <c r="B771" s="127"/>
    </row>
    <row r="772" ht="15.75" customHeight="1">
      <c r="B772" s="127"/>
    </row>
    <row r="773" ht="15.75" customHeight="1">
      <c r="B773" s="127"/>
    </row>
    <row r="774" ht="15.75" customHeight="1">
      <c r="B774" s="127"/>
    </row>
    <row r="775" ht="15.75" customHeight="1">
      <c r="B775" s="127"/>
    </row>
    <row r="776" ht="15.75" customHeight="1">
      <c r="B776" s="127"/>
    </row>
    <row r="777" ht="15.75" customHeight="1">
      <c r="B777" s="127"/>
    </row>
    <row r="778" ht="15.75" customHeight="1">
      <c r="B778" s="127"/>
    </row>
    <row r="779" ht="15.75" customHeight="1">
      <c r="B779" s="127"/>
    </row>
    <row r="780" ht="15.75" customHeight="1">
      <c r="B780" s="127"/>
    </row>
    <row r="781" ht="15.75" customHeight="1">
      <c r="B781" s="127"/>
    </row>
    <row r="782" ht="15.75" customHeight="1">
      <c r="B782" s="127"/>
    </row>
    <row r="783" ht="15.75" customHeight="1">
      <c r="B783" s="127"/>
    </row>
    <row r="784" ht="15.75" customHeight="1">
      <c r="B784" s="127"/>
    </row>
    <row r="785" ht="15.75" customHeight="1">
      <c r="B785" s="127"/>
    </row>
    <row r="786" ht="15.75" customHeight="1">
      <c r="B786" s="127"/>
    </row>
    <row r="787" ht="15.75" customHeight="1">
      <c r="B787" s="127"/>
    </row>
    <row r="788" ht="15.75" customHeight="1">
      <c r="B788" s="127"/>
    </row>
    <row r="789" ht="15.75" customHeight="1">
      <c r="B789" s="127"/>
    </row>
    <row r="790" ht="15.75" customHeight="1">
      <c r="B790" s="127"/>
    </row>
    <row r="791" ht="15.75" customHeight="1">
      <c r="B791" s="127"/>
    </row>
    <row r="792" ht="15.75" customHeight="1">
      <c r="B792" s="127"/>
    </row>
    <row r="793" ht="15.75" customHeight="1">
      <c r="B793" s="127"/>
    </row>
    <row r="794" ht="15.75" customHeight="1">
      <c r="B794" s="127"/>
    </row>
    <row r="795" ht="15.75" customHeight="1">
      <c r="B795" s="127"/>
    </row>
    <row r="796" ht="15.75" customHeight="1">
      <c r="B796" s="127"/>
    </row>
    <row r="797" ht="15.75" customHeight="1">
      <c r="B797" s="127"/>
    </row>
    <row r="798" ht="15.75" customHeight="1">
      <c r="B798" s="127"/>
    </row>
    <row r="799" ht="15.75" customHeight="1">
      <c r="B799" s="127"/>
    </row>
    <row r="800" ht="15.75" customHeight="1">
      <c r="B800" s="127"/>
    </row>
    <row r="801" ht="15.75" customHeight="1">
      <c r="B801" s="127"/>
    </row>
    <row r="802" ht="15.75" customHeight="1">
      <c r="B802" s="127"/>
    </row>
    <row r="803" ht="15.75" customHeight="1">
      <c r="B803" s="127"/>
    </row>
    <row r="804" ht="15.75" customHeight="1">
      <c r="B804" s="127"/>
    </row>
    <row r="805" ht="15.75" customHeight="1">
      <c r="B805" s="127"/>
    </row>
    <row r="806" ht="15.75" customHeight="1">
      <c r="B806" s="127"/>
    </row>
    <row r="807" ht="15.75" customHeight="1">
      <c r="B807" s="127"/>
    </row>
    <row r="808" ht="15.75" customHeight="1">
      <c r="B808" s="127"/>
    </row>
    <row r="809" ht="15.75" customHeight="1">
      <c r="B809" s="127"/>
    </row>
    <row r="810" ht="15.75" customHeight="1">
      <c r="B810" s="127"/>
    </row>
    <row r="811" ht="15.75" customHeight="1">
      <c r="B811" s="127"/>
    </row>
    <row r="812" ht="15.75" customHeight="1">
      <c r="B812" s="127"/>
    </row>
    <row r="813" ht="15.75" customHeight="1">
      <c r="B813" s="127"/>
    </row>
    <row r="814" ht="15.75" customHeight="1">
      <c r="B814" s="127"/>
    </row>
    <row r="815" ht="15.75" customHeight="1">
      <c r="B815" s="127"/>
    </row>
    <row r="816" ht="15.75" customHeight="1">
      <c r="B816" s="127"/>
    </row>
    <row r="817" ht="15.75" customHeight="1">
      <c r="B817" s="127"/>
    </row>
    <row r="818" ht="15.75" customHeight="1">
      <c r="B818" s="127"/>
    </row>
    <row r="819" ht="15.75" customHeight="1">
      <c r="B819" s="127"/>
    </row>
    <row r="820" ht="15.75" customHeight="1">
      <c r="B820" s="127"/>
    </row>
    <row r="821" ht="15.75" customHeight="1">
      <c r="B821" s="127"/>
    </row>
    <row r="822" ht="15.75" customHeight="1">
      <c r="B822" s="127"/>
    </row>
    <row r="823" ht="15.75" customHeight="1">
      <c r="B823" s="127"/>
    </row>
    <row r="824" ht="15.75" customHeight="1">
      <c r="B824" s="127"/>
    </row>
    <row r="825" ht="15.75" customHeight="1">
      <c r="B825" s="127"/>
    </row>
    <row r="826" ht="15.75" customHeight="1">
      <c r="B826" s="127"/>
    </row>
    <row r="827" ht="15.75" customHeight="1">
      <c r="B827" s="127"/>
    </row>
    <row r="828" ht="15.75" customHeight="1">
      <c r="B828" s="127"/>
    </row>
    <row r="829" ht="15.75" customHeight="1">
      <c r="B829" s="127"/>
    </row>
    <row r="830" ht="15.75" customHeight="1">
      <c r="B830" s="127"/>
    </row>
    <row r="831" ht="15.75" customHeight="1">
      <c r="B831" s="127"/>
    </row>
    <row r="832" ht="15.75" customHeight="1">
      <c r="B832" s="127"/>
    </row>
    <row r="833" ht="15.75" customHeight="1">
      <c r="B833" s="127"/>
    </row>
    <row r="834" ht="15.75" customHeight="1">
      <c r="B834" s="127"/>
    </row>
    <row r="835" ht="15.75" customHeight="1">
      <c r="B835" s="127"/>
    </row>
    <row r="836" ht="15.75" customHeight="1">
      <c r="B836" s="127"/>
    </row>
    <row r="837" ht="15.75" customHeight="1">
      <c r="B837" s="127"/>
    </row>
    <row r="838" ht="15.75" customHeight="1">
      <c r="B838" s="127"/>
    </row>
    <row r="839" ht="15.75" customHeight="1">
      <c r="B839" s="127"/>
    </row>
    <row r="840" ht="15.75" customHeight="1">
      <c r="B840" s="127"/>
    </row>
    <row r="841" ht="15.75" customHeight="1">
      <c r="B841" s="127"/>
    </row>
    <row r="842" ht="15.75" customHeight="1">
      <c r="B842" s="127"/>
    </row>
    <row r="843" ht="15.75" customHeight="1">
      <c r="B843" s="127"/>
    </row>
    <row r="844" ht="15.75" customHeight="1">
      <c r="B844" s="127"/>
    </row>
    <row r="845" ht="15.75" customHeight="1">
      <c r="B845" s="127"/>
    </row>
    <row r="846" ht="15.75" customHeight="1">
      <c r="B846" s="127"/>
    </row>
    <row r="847" ht="15.75" customHeight="1">
      <c r="B847" s="127"/>
    </row>
    <row r="848" ht="15.75" customHeight="1">
      <c r="B848" s="127"/>
    </row>
    <row r="849" ht="15.75" customHeight="1">
      <c r="B849" s="127"/>
    </row>
    <row r="850" ht="15.75" customHeight="1">
      <c r="B850" s="127"/>
    </row>
    <row r="851" ht="15.75" customHeight="1">
      <c r="B851" s="127"/>
    </row>
    <row r="852" ht="15.75" customHeight="1">
      <c r="B852" s="127"/>
    </row>
    <row r="853" ht="15.75" customHeight="1">
      <c r="B853" s="127"/>
    </row>
    <row r="854" ht="15.75" customHeight="1">
      <c r="B854" s="127"/>
    </row>
    <row r="855" ht="15.75" customHeight="1">
      <c r="B855" s="127"/>
    </row>
    <row r="856" ht="15.75" customHeight="1">
      <c r="B856" s="127"/>
    </row>
    <row r="857" ht="15.75" customHeight="1">
      <c r="B857" s="127"/>
    </row>
    <row r="858" ht="15.75" customHeight="1">
      <c r="B858" s="127"/>
    </row>
    <row r="859" ht="15.75" customHeight="1">
      <c r="B859" s="127"/>
    </row>
    <row r="860" ht="15.75" customHeight="1">
      <c r="B860" s="127"/>
    </row>
    <row r="861" ht="15.75" customHeight="1">
      <c r="B861" s="127"/>
    </row>
    <row r="862" ht="15.75" customHeight="1">
      <c r="B862" s="127"/>
    </row>
    <row r="863" ht="15.75" customHeight="1">
      <c r="B863" s="127"/>
    </row>
    <row r="864" ht="15.75" customHeight="1">
      <c r="B864" s="127"/>
    </row>
    <row r="865" ht="15.75" customHeight="1">
      <c r="B865" s="127"/>
    </row>
    <row r="866" ht="15.75" customHeight="1">
      <c r="B866" s="127"/>
    </row>
    <row r="867" ht="15.75" customHeight="1">
      <c r="B867" s="127"/>
    </row>
    <row r="868" ht="15.75" customHeight="1">
      <c r="B868" s="127"/>
    </row>
    <row r="869" ht="15.75" customHeight="1">
      <c r="B869" s="127"/>
    </row>
    <row r="870" ht="15.75" customHeight="1">
      <c r="B870" s="127"/>
    </row>
    <row r="871" ht="15.75" customHeight="1">
      <c r="B871" s="127"/>
    </row>
    <row r="872" ht="15.75" customHeight="1">
      <c r="B872" s="127"/>
    </row>
    <row r="873" ht="15.75" customHeight="1">
      <c r="B873" s="127"/>
    </row>
    <row r="874" ht="15.75" customHeight="1">
      <c r="B874" s="127"/>
    </row>
    <row r="875" ht="15.75" customHeight="1">
      <c r="B875" s="127"/>
    </row>
    <row r="876" ht="15.75" customHeight="1">
      <c r="B876" s="127"/>
    </row>
    <row r="877" ht="15.75" customHeight="1">
      <c r="B877" s="127"/>
    </row>
    <row r="878" ht="15.75" customHeight="1">
      <c r="B878" s="127"/>
    </row>
    <row r="879" ht="15.75" customHeight="1">
      <c r="B879" s="127"/>
    </row>
    <row r="880" ht="15.75" customHeight="1">
      <c r="B880" s="127"/>
    </row>
    <row r="881" ht="15.75" customHeight="1">
      <c r="B881" s="127"/>
    </row>
    <row r="882" ht="15.75" customHeight="1">
      <c r="B882" s="127"/>
    </row>
    <row r="883" ht="15.75" customHeight="1">
      <c r="B883" s="127"/>
    </row>
    <row r="884" ht="15.75" customHeight="1">
      <c r="B884" s="127"/>
    </row>
    <row r="885" ht="15.75" customHeight="1">
      <c r="B885" s="127"/>
    </row>
    <row r="886" ht="15.75" customHeight="1">
      <c r="B886" s="127"/>
    </row>
    <row r="887" ht="15.75" customHeight="1">
      <c r="B887" s="127"/>
    </row>
    <row r="888" ht="15.75" customHeight="1">
      <c r="B888" s="127"/>
    </row>
    <row r="889" ht="15.75" customHeight="1">
      <c r="B889" s="127"/>
    </row>
    <row r="890" ht="15.75" customHeight="1">
      <c r="B890" s="127"/>
    </row>
    <row r="891" ht="15.75" customHeight="1">
      <c r="B891" s="127"/>
    </row>
    <row r="892" ht="15.75" customHeight="1">
      <c r="B892" s="127"/>
    </row>
    <row r="893" ht="15.75" customHeight="1">
      <c r="B893" s="127"/>
    </row>
    <row r="894" ht="15.75" customHeight="1">
      <c r="B894" s="127"/>
    </row>
    <row r="895" ht="15.75" customHeight="1">
      <c r="B895" s="127"/>
    </row>
    <row r="896" ht="15.75" customHeight="1">
      <c r="B896" s="127"/>
    </row>
    <row r="897" ht="15.75" customHeight="1">
      <c r="B897" s="127"/>
    </row>
    <row r="898" ht="15.75" customHeight="1">
      <c r="B898" s="127"/>
    </row>
    <row r="899" ht="15.75" customHeight="1">
      <c r="B899" s="127"/>
    </row>
    <row r="900" ht="15.75" customHeight="1">
      <c r="B900" s="127"/>
    </row>
    <row r="901" ht="15.75" customHeight="1">
      <c r="B901" s="127"/>
    </row>
    <row r="902" ht="15.75" customHeight="1">
      <c r="B902" s="127"/>
    </row>
    <row r="903" ht="15.75" customHeight="1">
      <c r="B903" s="127"/>
    </row>
    <row r="904" ht="15.75" customHeight="1">
      <c r="B904" s="127"/>
    </row>
    <row r="905" ht="15.75" customHeight="1">
      <c r="B905" s="127"/>
    </row>
    <row r="906" ht="15.75" customHeight="1">
      <c r="B906" s="127"/>
    </row>
    <row r="907" ht="15.75" customHeight="1">
      <c r="B907" s="127"/>
    </row>
    <row r="908" ht="15.75" customHeight="1">
      <c r="B908" s="127"/>
    </row>
    <row r="909" ht="15.75" customHeight="1">
      <c r="B909" s="127"/>
    </row>
    <row r="910" ht="15.75" customHeight="1">
      <c r="B910" s="127"/>
    </row>
    <row r="911" ht="15.75" customHeight="1">
      <c r="B911" s="127"/>
    </row>
    <row r="912" ht="15.75" customHeight="1">
      <c r="B912" s="127"/>
    </row>
    <row r="913" ht="15.75" customHeight="1">
      <c r="B913" s="127"/>
    </row>
    <row r="914" ht="15.75" customHeight="1">
      <c r="B914" s="127"/>
    </row>
    <row r="915" ht="15.75" customHeight="1">
      <c r="B915" s="127"/>
    </row>
    <row r="916" ht="15.75" customHeight="1">
      <c r="B916" s="127"/>
    </row>
    <row r="917" ht="15.75" customHeight="1">
      <c r="B917" s="127"/>
    </row>
    <row r="918" ht="15.75" customHeight="1">
      <c r="B918" s="127"/>
    </row>
    <row r="919" ht="15.75" customHeight="1">
      <c r="B919" s="127"/>
    </row>
    <row r="920" ht="15.75" customHeight="1">
      <c r="B920" s="127"/>
    </row>
    <row r="921" ht="15.75" customHeight="1">
      <c r="B921" s="127"/>
    </row>
    <row r="922" ht="15.75" customHeight="1">
      <c r="B922" s="127"/>
    </row>
    <row r="923" ht="15.75" customHeight="1">
      <c r="B923" s="127"/>
    </row>
    <row r="924" ht="15.75" customHeight="1">
      <c r="B924" s="127"/>
    </row>
    <row r="925" ht="15.75" customHeight="1">
      <c r="B925" s="127"/>
    </row>
    <row r="926" ht="15.75" customHeight="1">
      <c r="B926" s="127"/>
    </row>
    <row r="927" ht="15.75" customHeight="1">
      <c r="B927" s="127"/>
    </row>
    <row r="928" ht="15.75" customHeight="1">
      <c r="B928" s="127"/>
    </row>
    <row r="929" ht="15.75" customHeight="1">
      <c r="B929" s="127"/>
    </row>
    <row r="930" ht="15.75" customHeight="1">
      <c r="B930" s="127"/>
    </row>
    <row r="931" ht="15.75" customHeight="1">
      <c r="B931" s="127"/>
    </row>
    <row r="932" ht="15.75" customHeight="1">
      <c r="B932" s="127"/>
    </row>
    <row r="933" ht="15.75" customHeight="1">
      <c r="B933" s="127"/>
    </row>
    <row r="934" ht="15.75" customHeight="1">
      <c r="B934" s="127"/>
    </row>
    <row r="935" ht="15.75" customHeight="1">
      <c r="B935" s="127"/>
    </row>
    <row r="936" ht="15.75" customHeight="1">
      <c r="B936" s="127"/>
    </row>
    <row r="937" ht="15.75" customHeight="1">
      <c r="B937" s="127"/>
    </row>
    <row r="938" ht="15.75" customHeight="1">
      <c r="B938" s="127"/>
    </row>
    <row r="939" ht="15.75" customHeight="1">
      <c r="B939" s="127"/>
    </row>
    <row r="940" ht="15.75" customHeight="1">
      <c r="B940" s="127"/>
    </row>
    <row r="941" ht="15.75" customHeight="1">
      <c r="B941" s="127"/>
    </row>
    <row r="942" ht="15.75" customHeight="1">
      <c r="B942" s="127"/>
    </row>
    <row r="943" ht="15.75" customHeight="1">
      <c r="B943" s="127"/>
    </row>
    <row r="944" ht="15.75" customHeight="1">
      <c r="B944" s="127"/>
    </row>
    <row r="945" ht="15.75" customHeight="1">
      <c r="B945" s="127"/>
    </row>
    <row r="946" ht="15.75" customHeight="1">
      <c r="B946" s="127"/>
    </row>
    <row r="947" ht="15.75" customHeight="1">
      <c r="B947" s="127"/>
    </row>
    <row r="948" ht="15.75" customHeight="1">
      <c r="B948" s="127"/>
    </row>
    <row r="949" ht="15.75" customHeight="1">
      <c r="B949" s="127"/>
    </row>
    <row r="950" ht="15.75" customHeight="1">
      <c r="B950" s="127"/>
    </row>
    <row r="951" ht="15.75" customHeight="1">
      <c r="B951" s="127"/>
    </row>
    <row r="952" ht="15.75" customHeight="1">
      <c r="B952" s="127"/>
    </row>
    <row r="953" ht="15.75" customHeight="1">
      <c r="B953" s="127"/>
    </row>
    <row r="954" ht="15.75" customHeight="1">
      <c r="B954" s="127"/>
    </row>
    <row r="955" ht="15.75" customHeight="1">
      <c r="B955" s="127"/>
    </row>
    <row r="956" ht="15.75" customHeight="1">
      <c r="B956" s="127"/>
    </row>
    <row r="957" ht="15.75" customHeight="1">
      <c r="B957" s="127"/>
    </row>
    <row r="958" ht="15.75" customHeight="1">
      <c r="B958" s="127"/>
    </row>
    <row r="959" ht="15.75" customHeight="1">
      <c r="B959" s="127"/>
    </row>
    <row r="960" ht="15.75" customHeight="1">
      <c r="B960" s="127"/>
    </row>
    <row r="961" ht="15.75" customHeight="1">
      <c r="B961" s="127"/>
    </row>
    <row r="962" ht="15.75" customHeight="1">
      <c r="B962" s="127"/>
    </row>
    <row r="963" ht="15.75" customHeight="1">
      <c r="B963" s="127"/>
    </row>
    <row r="964" ht="15.75" customHeight="1">
      <c r="B964" s="127"/>
    </row>
    <row r="965" ht="15.75" customHeight="1">
      <c r="B965" s="127"/>
    </row>
    <row r="966" ht="15.75" customHeight="1">
      <c r="B966" s="127"/>
    </row>
    <row r="967" ht="15.75" customHeight="1">
      <c r="B967" s="127"/>
    </row>
    <row r="968" ht="15.75" customHeight="1">
      <c r="B968" s="127"/>
    </row>
    <row r="969" ht="15.75" customHeight="1">
      <c r="B969" s="127"/>
    </row>
    <row r="970" ht="15.75" customHeight="1">
      <c r="B970" s="127"/>
    </row>
    <row r="971" ht="15.75" customHeight="1">
      <c r="B971" s="127"/>
    </row>
    <row r="972" ht="15.75" customHeight="1">
      <c r="B972" s="127"/>
    </row>
    <row r="973" ht="15.75" customHeight="1">
      <c r="B973" s="127"/>
    </row>
    <row r="974" ht="15.75" customHeight="1">
      <c r="B974" s="127"/>
    </row>
    <row r="975" ht="15.75" customHeight="1">
      <c r="B975" s="127"/>
    </row>
    <row r="976" ht="15.75" customHeight="1">
      <c r="B976" s="127"/>
    </row>
    <row r="977" ht="15.75" customHeight="1">
      <c r="B977" s="127"/>
    </row>
    <row r="978" ht="15.75" customHeight="1">
      <c r="B978" s="127"/>
    </row>
    <row r="979" ht="15.75" customHeight="1">
      <c r="B979" s="127"/>
    </row>
    <row r="980" ht="15.75" customHeight="1">
      <c r="B980" s="127"/>
    </row>
    <row r="981" ht="15.75" customHeight="1">
      <c r="B981" s="127"/>
    </row>
    <row r="982" ht="15.75" customHeight="1">
      <c r="B982" s="127"/>
    </row>
    <row r="983" ht="15.75" customHeight="1">
      <c r="B983" s="127"/>
    </row>
    <row r="984" ht="15.75" customHeight="1">
      <c r="B984" s="127"/>
    </row>
    <row r="985" ht="15.75" customHeight="1">
      <c r="B985" s="127"/>
    </row>
    <row r="986" ht="15.75" customHeight="1">
      <c r="B986" s="127"/>
    </row>
    <row r="987" ht="15.75" customHeight="1">
      <c r="B987" s="127"/>
    </row>
    <row r="988" ht="15.75" customHeight="1">
      <c r="B988" s="127"/>
    </row>
    <row r="989" ht="15.75" customHeight="1">
      <c r="B989" s="127"/>
    </row>
    <row r="990" ht="15.75" customHeight="1">
      <c r="B990" s="127"/>
    </row>
    <row r="991" ht="15.75" customHeight="1">
      <c r="B991" s="127"/>
    </row>
    <row r="992" ht="15.75" customHeight="1">
      <c r="B992" s="127"/>
    </row>
    <row r="993" ht="15.75" customHeight="1">
      <c r="B993" s="127"/>
    </row>
    <row r="994" ht="15.75" customHeight="1">
      <c r="B994" s="127"/>
    </row>
    <row r="995" ht="15.75" customHeight="1">
      <c r="B995" s="127"/>
    </row>
    <row r="996" ht="15.75" customHeight="1">
      <c r="B996" s="127"/>
    </row>
    <row r="997" ht="15.75" customHeight="1">
      <c r="B997" s="127"/>
    </row>
    <row r="998" ht="15.75" customHeight="1">
      <c r="B998" s="127"/>
    </row>
    <row r="999" ht="15.75" customHeight="1">
      <c r="B999" s="127"/>
    </row>
    <row r="1000" ht="15.75" customHeight="1">
      <c r="B1000" s="127"/>
    </row>
  </sheetData>
  <printOptions/>
  <pageMargins bottom="0.75" footer="0.0" header="0.0" left="0.7" right="0.7" top="0.75"/>
  <pageSetup orientation="landscape"/>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14"/>
    <col customWidth="1" min="3" max="3" width="19.14"/>
    <col customWidth="1" min="4" max="5" width="17.14"/>
    <col customWidth="1" min="6" max="7" width="20.71"/>
    <col customWidth="1" min="8" max="8" width="21.14"/>
    <col customWidth="1" min="9" max="26" width="8.71"/>
  </cols>
  <sheetData>
    <row r="2">
      <c r="B2" s="49" t="s">
        <v>44</v>
      </c>
      <c r="C2" s="50"/>
      <c r="D2" s="50"/>
      <c r="E2" s="50"/>
      <c r="F2" s="50"/>
      <c r="G2" s="50"/>
      <c r="H2" s="51"/>
    </row>
    <row r="3">
      <c r="B3" s="24" t="s">
        <v>10</v>
      </c>
      <c r="C3" s="26" t="s">
        <v>45</v>
      </c>
      <c r="D3" s="26" t="s">
        <v>46</v>
      </c>
      <c r="E3" s="26" t="s">
        <v>47</v>
      </c>
      <c r="F3" s="26" t="s">
        <v>690</v>
      </c>
      <c r="G3" s="26" t="s">
        <v>48</v>
      </c>
      <c r="H3" s="27" t="s">
        <v>50</v>
      </c>
    </row>
    <row r="4">
      <c r="B4" s="29" t="s">
        <v>21</v>
      </c>
      <c r="C4" s="31" t="str">
        <f>('[1]Aggregated EOQ'!#REF!+'[1]Aggregated EOQ'!#REF!+'[1]Aggregated EOQ'!#REF!+'[1]Aggregated EOQ'!#REF!+'[1]Aggregated EOQ'!#REF!+'[1]Aggregated EOQ'!#REF!+'[1]Aggregated EOQ'!#REF!+'[1]Aggregated EOQ'!#REF!+'[1]Aggregated EOQ'!#REF!+'[1]Aggregated EOQ'!#REF!+'[1]Aggregated EOQ'!#REF!)</f>
        <v>#ERROR!</v>
      </c>
      <c r="D4" s="31">
        <v>40823.313299999994</v>
      </c>
      <c r="E4" s="63" t="str">
        <f t="shared" ref="E4:E11" si="1">ROUNDUP(C4/D4,0)</f>
        <v>#ERROR!</v>
      </c>
      <c r="F4" s="63"/>
      <c r="G4" s="30">
        <v>1921.0</v>
      </c>
      <c r="H4" s="56" t="str">
        <f t="shared" ref="H4:H11" si="2">G4*F4*E4</f>
        <v>#ERROR!</v>
      </c>
    </row>
    <row r="5">
      <c r="B5" s="36" t="s">
        <v>23</v>
      </c>
      <c r="C5" s="31" t="str">
        <f>('[1]Aggregated EOQ'!#REF!+'[1]Aggregated EOQ'!#REF!+'[1]Aggregated EOQ'!#REF!+'[1]Aggregated EOQ'!#REF!+'[1]Aggregated EOQ'!#REF!+'[1]Aggregated EOQ'!#REF!+'[1]Aggregated EOQ'!#REF!+'[1]Aggregated EOQ'!#REF!+'[1]Aggregated EOQ'!#REF!+'[1]Aggregated EOQ'!#REF!+'[1]Aggregated EOQ'!#REF!)</f>
        <v>#ERROR!</v>
      </c>
      <c r="D5" s="31">
        <v>40823.313299999994</v>
      </c>
      <c r="E5" s="63" t="str">
        <f t="shared" si="1"/>
        <v>#ERROR!</v>
      </c>
      <c r="F5" s="63"/>
      <c r="G5" s="30">
        <v>1921.0</v>
      </c>
      <c r="H5" s="56" t="str">
        <f t="shared" si="2"/>
        <v>#ERROR!</v>
      </c>
    </row>
    <row r="6">
      <c r="B6" s="36" t="s">
        <v>25</v>
      </c>
      <c r="C6" s="31" t="str">
        <f>('[1]Aggregated EOQ'!#REF!+'[1]Aggregated EOQ'!#REF!+'[1]Aggregated EOQ'!#REF!+'[1]Aggregated EOQ'!#REF!+'[1]Aggregated EOQ'!#REF!+'[1]Aggregated EOQ'!#REF!+'[1]Aggregated EOQ'!#REF!+'[1]Aggregated EOQ'!#REF!+'[1]Aggregated EOQ'!#REF!+'[1]Aggregated EOQ'!#REF!+'[1]Aggregated EOQ'!#REF!)</f>
        <v>#ERROR!</v>
      </c>
      <c r="D6" s="31">
        <v>40823.313299999994</v>
      </c>
      <c r="E6" s="63" t="str">
        <f t="shared" si="1"/>
        <v>#ERROR!</v>
      </c>
      <c r="F6" s="63"/>
      <c r="G6" s="30">
        <v>1921.0</v>
      </c>
      <c r="H6" s="56" t="str">
        <f t="shared" si="2"/>
        <v>#ERROR!</v>
      </c>
    </row>
    <row r="7">
      <c r="B7" s="36" t="s">
        <v>27</v>
      </c>
      <c r="C7" s="31" t="str">
        <f>('[1]Aggregated EOQ'!#REF!+'[1]Aggregated EOQ'!#REF!+'[1]Aggregated EOQ'!#REF!+'[1]Aggregated EOQ'!#REF!+'[1]Aggregated EOQ'!#REF!+'[1]Aggregated EOQ'!#REF!+'[1]Aggregated EOQ'!#REF!+'[1]Aggregated EOQ'!#REF!+'[1]Aggregated EOQ'!#REF!+'[1]Aggregated EOQ'!#REF!+'[1]Aggregated EOQ'!#REF!)</f>
        <v>#ERROR!</v>
      </c>
      <c r="D7" s="31">
        <v>40823.313299999994</v>
      </c>
      <c r="E7" s="63" t="str">
        <f t="shared" si="1"/>
        <v>#ERROR!</v>
      </c>
      <c r="F7" s="63"/>
      <c r="G7" s="30">
        <v>1921.0</v>
      </c>
      <c r="H7" s="56" t="str">
        <f t="shared" si="2"/>
        <v>#ERROR!</v>
      </c>
    </row>
    <row r="8">
      <c r="B8" s="36" t="s">
        <v>29</v>
      </c>
      <c r="C8" s="31" t="str">
        <f>('[1]Aggregated EOQ'!#REF!+'[1]Aggregated EOQ'!#REF!+'[1]Aggregated EOQ'!#REF!+'[1]Aggregated EOQ'!#REF!+'[1]Aggregated EOQ'!#REF!+'[1]Aggregated EOQ'!#REF!+'[1]Aggregated EOQ'!#REF!+'[1]Aggregated EOQ'!#REF!+'[1]Aggregated EOQ'!#REF!+'[1]Aggregated EOQ'!#REF!+'[1]Aggregated EOQ'!#REF!)</f>
        <v>#ERROR!</v>
      </c>
      <c r="D8" s="31">
        <v>40823.313299999994</v>
      </c>
      <c r="E8" s="63" t="str">
        <f t="shared" si="1"/>
        <v>#ERROR!</v>
      </c>
      <c r="F8" s="63"/>
      <c r="G8" s="30">
        <v>1921.0</v>
      </c>
      <c r="H8" s="56" t="str">
        <f t="shared" si="2"/>
        <v>#ERROR!</v>
      </c>
    </row>
    <row r="9">
      <c r="B9" s="36" t="s">
        <v>31</v>
      </c>
      <c r="C9" s="31" t="str">
        <f>('[1]Aggregated EOQ'!#REF!+'[1]Aggregated EOQ'!#REF!+'[1]Aggregated EOQ'!#REF!+'[1]Aggregated EOQ'!#REF!+'[1]Aggregated EOQ'!#REF!+'[1]Aggregated EOQ'!#REF!+'[1]Aggregated EOQ'!#REF!+'[1]Aggregated EOQ'!#REF!+'[1]Aggregated EOQ'!#REF!+'[1]Aggregated EOQ'!#REF!+'[1]Aggregated EOQ'!#REF!)</f>
        <v>#ERROR!</v>
      </c>
      <c r="D9" s="31">
        <v>40823.313299999994</v>
      </c>
      <c r="E9" s="63" t="str">
        <f t="shared" si="1"/>
        <v>#ERROR!</v>
      </c>
      <c r="F9" s="63"/>
      <c r="G9" s="30">
        <v>1921.0</v>
      </c>
      <c r="H9" s="56" t="str">
        <f t="shared" si="2"/>
        <v>#ERROR!</v>
      </c>
    </row>
    <row r="10">
      <c r="B10" s="63" t="s">
        <v>33</v>
      </c>
      <c r="C10" s="31" t="str">
        <f>('[1]Aggregated EOQ'!#REF!+'[1]Aggregated EOQ'!#REF!+'[1]Aggregated EOQ'!#REF!+'[1]Aggregated EOQ'!#REF!+'[1]Aggregated EOQ'!#REF!+'[1]Aggregated EOQ'!#REF!+'[1]Aggregated EOQ'!#REF!+'[1]Aggregated EOQ'!#REF!+'[1]Aggregated EOQ'!#REF!+'[1]Aggregated EOQ'!#REF!+'[1]Aggregated EOQ'!#REF!)</f>
        <v>#ERROR!</v>
      </c>
      <c r="D10" s="31">
        <v>40823.313299999994</v>
      </c>
      <c r="E10" s="63" t="str">
        <f t="shared" si="1"/>
        <v>#ERROR!</v>
      </c>
      <c r="F10" s="30"/>
      <c r="G10" s="30">
        <v>1921.0</v>
      </c>
      <c r="H10" s="56" t="str">
        <f t="shared" si="2"/>
        <v>#ERROR!</v>
      </c>
    </row>
    <row r="11">
      <c r="B11" s="65" t="s">
        <v>35</v>
      </c>
      <c r="C11" s="41" t="str">
        <f>('[1]Aggregated EOQ'!#REF!+'[1]Aggregated EOQ'!#REF!+'[1]Aggregated EOQ'!#REF!+'[1]Aggregated EOQ'!#REF!+'[1]Aggregated EOQ'!#REF!+'[1]Aggregated EOQ'!#REF!+'[1]Aggregated EOQ'!#REF!+'[1]Aggregated EOQ'!#REF!+'[1]Aggregated EOQ'!#REF!+'[1]Aggregated EOQ'!#REF!+'[1]Aggregated EOQ'!#REF!)</f>
        <v>#ERROR!</v>
      </c>
      <c r="D11" s="41">
        <v>40823.313299999994</v>
      </c>
      <c r="E11" s="65" t="str">
        <f t="shared" si="1"/>
        <v>#ERROR!</v>
      </c>
      <c r="F11" s="66"/>
      <c r="G11" s="30">
        <v>1921.0</v>
      </c>
      <c r="H11" s="56" t="str">
        <f t="shared" si="2"/>
        <v>#ERROR!</v>
      </c>
    </row>
    <row r="12">
      <c r="B12" s="23"/>
      <c r="C12" s="23"/>
      <c r="D12" s="23"/>
      <c r="E12" s="23"/>
      <c r="F12" s="23"/>
      <c r="G12" s="462" t="s">
        <v>51</v>
      </c>
      <c r="H12" s="463" t="str">
        <f>SUM(H4:H11)*52</f>
        <v>#ERROR!</v>
      </c>
    </row>
    <row r="14">
      <c r="H14" s="155" t="s">
        <v>691</v>
      </c>
    </row>
    <row r="15" ht="15.75" customHeight="1">
      <c r="B15" s="464" t="s">
        <v>692</v>
      </c>
      <c r="C15" s="465"/>
      <c r="D15" s="465"/>
      <c r="E15" s="465"/>
      <c r="F15" s="465"/>
      <c r="G15" s="465"/>
      <c r="H15" s="155">
        <v>0.0011</v>
      </c>
    </row>
    <row r="16">
      <c r="B16" s="24" t="s">
        <v>480</v>
      </c>
      <c r="C16" s="26" t="s">
        <v>481</v>
      </c>
      <c r="D16" s="26" t="s">
        <v>693</v>
      </c>
      <c r="E16" s="26" t="s">
        <v>48</v>
      </c>
      <c r="F16" s="27" t="s">
        <v>694</v>
      </c>
      <c r="G16" s="27" t="s">
        <v>695</v>
      </c>
    </row>
    <row r="17">
      <c r="B17" s="29" t="s">
        <v>696</v>
      </c>
      <c r="C17" s="127" t="s">
        <v>22</v>
      </c>
      <c r="D17" s="63">
        <v>18.2</v>
      </c>
      <c r="E17" s="30">
        <f t="shared" ref="E17:E34" si="3">1921/7</f>
        <v>274.4285714</v>
      </c>
      <c r="F17" s="56">
        <f t="shared" ref="F17:F34" si="4">2*E17*D17</f>
        <v>9989.2</v>
      </c>
      <c r="G17" s="466">
        <f t="shared" ref="G17:G34" si="5">F17*$H$15</f>
        <v>10.98812</v>
      </c>
    </row>
    <row r="18">
      <c r="B18" s="36" t="s">
        <v>696</v>
      </c>
      <c r="C18" s="127" t="s">
        <v>24</v>
      </c>
      <c r="D18" s="63">
        <v>14.9</v>
      </c>
      <c r="E18" s="30">
        <f t="shared" si="3"/>
        <v>274.4285714</v>
      </c>
      <c r="F18" s="56">
        <f t="shared" si="4"/>
        <v>8177.971429</v>
      </c>
      <c r="G18" s="466">
        <f t="shared" si="5"/>
        <v>8.995768571</v>
      </c>
    </row>
    <row r="19">
      <c r="B19" s="29" t="s">
        <v>696</v>
      </c>
      <c r="C19" s="127" t="s">
        <v>26</v>
      </c>
      <c r="D19" s="63">
        <v>10.5</v>
      </c>
      <c r="E19" s="30">
        <f t="shared" si="3"/>
        <v>274.4285714</v>
      </c>
      <c r="F19" s="56">
        <f t="shared" si="4"/>
        <v>5763</v>
      </c>
      <c r="G19" s="466">
        <f t="shared" si="5"/>
        <v>6.3393</v>
      </c>
    </row>
    <row r="20">
      <c r="B20" s="36" t="s">
        <v>696</v>
      </c>
      <c r="C20" s="127" t="s">
        <v>28</v>
      </c>
      <c r="D20" s="63">
        <v>12.1</v>
      </c>
      <c r="E20" s="30">
        <f t="shared" si="3"/>
        <v>274.4285714</v>
      </c>
      <c r="F20" s="56">
        <f t="shared" si="4"/>
        <v>6641.171429</v>
      </c>
      <c r="G20" s="466">
        <f t="shared" si="5"/>
        <v>7.305288571</v>
      </c>
    </row>
    <row r="21" ht="15.75" customHeight="1">
      <c r="B21" s="29" t="s">
        <v>696</v>
      </c>
      <c r="C21" s="127" t="s">
        <v>30</v>
      </c>
      <c r="D21" s="63">
        <v>17.1</v>
      </c>
      <c r="E21" s="30">
        <f t="shared" si="3"/>
        <v>274.4285714</v>
      </c>
      <c r="F21" s="56">
        <f t="shared" si="4"/>
        <v>9385.457143</v>
      </c>
      <c r="G21" s="466">
        <f t="shared" si="5"/>
        <v>10.32400286</v>
      </c>
    </row>
    <row r="22" ht="15.75" customHeight="1">
      <c r="B22" s="36" t="s">
        <v>696</v>
      </c>
      <c r="C22" s="127" t="s">
        <v>32</v>
      </c>
      <c r="D22" s="63">
        <v>22.5</v>
      </c>
      <c r="E22" s="30">
        <f t="shared" si="3"/>
        <v>274.4285714</v>
      </c>
      <c r="F22" s="56">
        <f t="shared" si="4"/>
        <v>12349.28571</v>
      </c>
      <c r="G22" s="466">
        <f t="shared" si="5"/>
        <v>13.58421429</v>
      </c>
    </row>
    <row r="23" ht="15.75" customHeight="1">
      <c r="B23" s="36" t="s">
        <v>696</v>
      </c>
      <c r="C23" s="127" t="s">
        <v>34</v>
      </c>
      <c r="D23" s="63">
        <v>34.9</v>
      </c>
      <c r="E23" s="30">
        <f t="shared" si="3"/>
        <v>274.4285714</v>
      </c>
      <c r="F23" s="56">
        <f t="shared" si="4"/>
        <v>19155.11429</v>
      </c>
      <c r="G23" s="466">
        <f t="shared" si="5"/>
        <v>21.07062571</v>
      </c>
    </row>
    <row r="24" ht="15.75" customHeight="1">
      <c r="B24" s="29" t="s">
        <v>696</v>
      </c>
      <c r="C24" s="127" t="s">
        <v>36</v>
      </c>
      <c r="D24" s="467">
        <v>32.7</v>
      </c>
      <c r="E24" s="30">
        <f t="shared" si="3"/>
        <v>274.4285714</v>
      </c>
      <c r="F24" s="56">
        <f t="shared" si="4"/>
        <v>17947.62857</v>
      </c>
      <c r="G24" s="466">
        <f t="shared" si="5"/>
        <v>19.74239143</v>
      </c>
    </row>
    <row r="25" ht="15.75" customHeight="1">
      <c r="B25" s="36" t="s">
        <v>696</v>
      </c>
      <c r="C25" s="36" t="s">
        <v>38</v>
      </c>
      <c r="D25" s="468">
        <v>38.0</v>
      </c>
      <c r="E25" s="30">
        <f t="shared" si="3"/>
        <v>274.4285714</v>
      </c>
      <c r="F25" s="56">
        <f t="shared" si="4"/>
        <v>20856.57143</v>
      </c>
      <c r="G25" s="466">
        <f t="shared" si="5"/>
        <v>22.94222857</v>
      </c>
    </row>
    <row r="26" ht="15.75" customHeight="1">
      <c r="B26" s="29" t="s">
        <v>697</v>
      </c>
      <c r="C26" s="127" t="s">
        <v>22</v>
      </c>
      <c r="D26" s="469">
        <v>28.8</v>
      </c>
      <c r="E26" s="30">
        <f t="shared" si="3"/>
        <v>274.4285714</v>
      </c>
      <c r="F26" s="56">
        <f t="shared" si="4"/>
        <v>15807.08571</v>
      </c>
      <c r="G26" s="466">
        <f t="shared" si="5"/>
        <v>17.38779429</v>
      </c>
    </row>
    <row r="27" ht="15.75" customHeight="1">
      <c r="B27" s="36" t="s">
        <v>697</v>
      </c>
      <c r="C27" s="127" t="s">
        <v>24</v>
      </c>
      <c r="D27" s="469">
        <v>20.2</v>
      </c>
      <c r="E27" s="30">
        <f t="shared" si="3"/>
        <v>274.4285714</v>
      </c>
      <c r="F27" s="56">
        <f t="shared" si="4"/>
        <v>11086.91429</v>
      </c>
      <c r="G27" s="466">
        <f t="shared" si="5"/>
        <v>12.19560571</v>
      </c>
    </row>
    <row r="28" ht="15.75" customHeight="1">
      <c r="B28" s="29" t="s">
        <v>697</v>
      </c>
      <c r="C28" s="127" t="s">
        <v>26</v>
      </c>
      <c r="D28" s="469">
        <v>14.0</v>
      </c>
      <c r="E28" s="30">
        <f t="shared" si="3"/>
        <v>274.4285714</v>
      </c>
      <c r="F28" s="56">
        <f t="shared" si="4"/>
        <v>7684</v>
      </c>
      <c r="G28" s="466">
        <f t="shared" si="5"/>
        <v>8.4524</v>
      </c>
    </row>
    <row r="29" ht="15.75" customHeight="1">
      <c r="B29" s="36" t="s">
        <v>697</v>
      </c>
      <c r="C29" s="127" t="s">
        <v>28</v>
      </c>
      <c r="D29" s="469">
        <v>20.3</v>
      </c>
      <c r="E29" s="30">
        <f t="shared" si="3"/>
        <v>274.4285714</v>
      </c>
      <c r="F29" s="56">
        <f t="shared" si="4"/>
        <v>11141.8</v>
      </c>
      <c r="G29" s="466">
        <f t="shared" si="5"/>
        <v>12.25598</v>
      </c>
    </row>
    <row r="30" ht="15.75" customHeight="1">
      <c r="B30" s="29" t="s">
        <v>697</v>
      </c>
      <c r="C30" s="127" t="s">
        <v>30</v>
      </c>
      <c r="D30" s="469">
        <v>3.2</v>
      </c>
      <c r="E30" s="30">
        <f t="shared" si="3"/>
        <v>274.4285714</v>
      </c>
      <c r="F30" s="56">
        <f t="shared" si="4"/>
        <v>1756.342857</v>
      </c>
      <c r="G30" s="466">
        <f t="shared" si="5"/>
        <v>1.931977143</v>
      </c>
    </row>
    <row r="31" ht="15.75" customHeight="1">
      <c r="B31" s="36" t="s">
        <v>697</v>
      </c>
      <c r="C31" s="127" t="s">
        <v>32</v>
      </c>
      <c r="D31" s="469">
        <v>9.8</v>
      </c>
      <c r="E31" s="30">
        <f t="shared" si="3"/>
        <v>274.4285714</v>
      </c>
      <c r="F31" s="56">
        <f t="shared" si="4"/>
        <v>5378.8</v>
      </c>
      <c r="G31" s="466">
        <f t="shared" si="5"/>
        <v>5.91668</v>
      </c>
    </row>
    <row r="32" ht="15.75" customHeight="1">
      <c r="B32" s="29" t="s">
        <v>697</v>
      </c>
      <c r="C32" s="127" t="s">
        <v>34</v>
      </c>
      <c r="D32" s="469">
        <v>21.0</v>
      </c>
      <c r="E32" s="30">
        <f t="shared" si="3"/>
        <v>274.4285714</v>
      </c>
      <c r="F32" s="56">
        <f t="shared" si="4"/>
        <v>11526</v>
      </c>
      <c r="G32" s="466">
        <f t="shared" si="5"/>
        <v>12.6786</v>
      </c>
    </row>
    <row r="33" ht="15.75" customHeight="1">
      <c r="B33" s="36" t="s">
        <v>697</v>
      </c>
      <c r="C33" s="127" t="s">
        <v>36</v>
      </c>
      <c r="D33" s="469">
        <v>19.0</v>
      </c>
      <c r="E33" s="30">
        <f t="shared" si="3"/>
        <v>274.4285714</v>
      </c>
      <c r="F33" s="56">
        <f t="shared" si="4"/>
        <v>10428.28571</v>
      </c>
      <c r="G33" s="466">
        <f t="shared" si="5"/>
        <v>11.47111429</v>
      </c>
    </row>
    <row r="34" ht="15.75" customHeight="1">
      <c r="B34" s="29" t="s">
        <v>697</v>
      </c>
      <c r="C34" s="36" t="s">
        <v>38</v>
      </c>
      <c r="D34" s="470">
        <v>24.2</v>
      </c>
      <c r="E34" s="30">
        <f t="shared" si="3"/>
        <v>274.4285714</v>
      </c>
      <c r="F34" s="56">
        <f t="shared" si="4"/>
        <v>13282.34286</v>
      </c>
      <c r="G34" s="466">
        <f t="shared" si="5"/>
        <v>14.61057714</v>
      </c>
    </row>
    <row r="35" ht="15.75" customHeight="1"/>
    <row r="36" ht="15.75" customHeight="1">
      <c r="B36" s="197" t="s">
        <v>480</v>
      </c>
      <c r="C36" s="127" t="s">
        <v>468</v>
      </c>
      <c r="D36" s="155" t="s">
        <v>698</v>
      </c>
      <c r="E36" s="155" t="s">
        <v>699</v>
      </c>
      <c r="F36" s="127" t="s">
        <v>700</v>
      </c>
      <c r="G36" s="155" t="s">
        <v>701</v>
      </c>
    </row>
    <row r="37" ht="15.75" customHeight="1">
      <c r="B37" s="197" t="s">
        <v>702</v>
      </c>
      <c r="C37" s="155">
        <v>3891.25</v>
      </c>
      <c r="E37" s="471">
        <v>9500.0</v>
      </c>
      <c r="F37" s="471">
        <f t="shared" ref="F37:F38" si="6">E37*C37</f>
        <v>36966875</v>
      </c>
      <c r="G37" s="471">
        <f t="shared" ref="G37:G38" si="7">ROUND(0.0011*F37,2)</f>
        <v>40663.56</v>
      </c>
      <c r="I37" s="155" t="s">
        <v>703</v>
      </c>
    </row>
    <row r="38" ht="15.75" customHeight="1">
      <c r="B38" s="197" t="s">
        <v>704</v>
      </c>
      <c r="C38" s="155">
        <v>3891.25</v>
      </c>
      <c r="E38" s="471">
        <v>12000.0</v>
      </c>
      <c r="F38" s="471">
        <f t="shared" si="6"/>
        <v>46695000</v>
      </c>
      <c r="G38" s="471">
        <f t="shared" si="7"/>
        <v>51364.5</v>
      </c>
      <c r="I38" s="155" t="s">
        <v>705</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H2"/>
    <mergeCell ref="B15:G15"/>
  </mergeCells>
  <printOptions/>
  <pageMargins bottom="0.75" footer="0.0" header="0.0" left="0.7" right="0.7" top="0.75"/>
  <pageSetup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2.71"/>
    <col customWidth="1" min="3" max="3" width="19.14"/>
    <col customWidth="1" min="4" max="4" width="15.57"/>
    <col customWidth="1" min="5" max="5" width="16.86"/>
    <col customWidth="1" min="6" max="6" width="8.86"/>
    <col customWidth="1" min="7" max="12" width="7.57"/>
    <col customWidth="1" min="13" max="13" width="10.86"/>
    <col customWidth="1" min="14" max="14" width="8.14"/>
    <col customWidth="1" min="15" max="15" width="10.43"/>
    <col customWidth="1" min="16" max="16" width="10.14"/>
    <col customWidth="1" min="17" max="17" width="8.29"/>
    <col customWidth="1" min="18" max="18" width="17.86"/>
    <col customWidth="1" min="19" max="26" width="8.71"/>
  </cols>
  <sheetData>
    <row r="1">
      <c r="E1" s="155" t="s">
        <v>418</v>
      </c>
    </row>
    <row r="2">
      <c r="A2" s="155" t="s">
        <v>419</v>
      </c>
      <c r="B2" s="155" t="s">
        <v>420</v>
      </c>
      <c r="C2" s="155" t="s">
        <v>21</v>
      </c>
      <c r="D2" s="155" t="s">
        <v>421</v>
      </c>
      <c r="E2" s="155" t="s">
        <v>83</v>
      </c>
      <c r="F2" s="155" t="s">
        <v>84</v>
      </c>
      <c r="G2" s="155" t="s">
        <v>85</v>
      </c>
      <c r="H2" s="155" t="s">
        <v>86</v>
      </c>
      <c r="I2" s="155" t="s">
        <v>87</v>
      </c>
      <c r="J2" s="155" t="s">
        <v>88</v>
      </c>
      <c r="K2" s="155" t="s">
        <v>89</v>
      </c>
      <c r="L2" s="155" t="s">
        <v>90</v>
      </c>
      <c r="M2" s="155" t="s">
        <v>91</v>
      </c>
      <c r="N2" s="155" t="s">
        <v>92</v>
      </c>
      <c r="O2" s="155" t="s">
        <v>93</v>
      </c>
      <c r="P2" s="155" t="s">
        <v>94</v>
      </c>
      <c r="Q2" s="155" t="s">
        <v>423</v>
      </c>
      <c r="R2" s="155" t="s">
        <v>433</v>
      </c>
    </row>
    <row r="3">
      <c r="A3" s="155">
        <v>-33.34335643</v>
      </c>
      <c r="B3" s="155">
        <v>-70.52466882</v>
      </c>
      <c r="C3" s="155" t="s">
        <v>22</v>
      </c>
      <c r="D3" s="461">
        <v>4034.0</v>
      </c>
      <c r="E3" s="461">
        <v>26291.0</v>
      </c>
      <c r="F3" s="461">
        <v>20521.0</v>
      </c>
      <c r="G3" s="461">
        <v>21423.0</v>
      </c>
      <c r="H3" s="461">
        <v>18992.0</v>
      </c>
      <c r="I3" s="461">
        <v>18143.0</v>
      </c>
      <c r="J3" s="461">
        <v>15524.0</v>
      </c>
      <c r="K3" s="461">
        <v>15911.0</v>
      </c>
      <c r="L3" s="461">
        <v>15954.0</v>
      </c>
      <c r="M3" s="461">
        <v>13595.0</v>
      </c>
      <c r="N3" s="461">
        <v>14549.0</v>
      </c>
      <c r="O3" s="461">
        <v>17801.0</v>
      </c>
      <c r="P3" s="461">
        <v>17510.0</v>
      </c>
      <c r="Q3" s="461">
        <v>18018.0</v>
      </c>
    </row>
    <row r="4">
      <c r="A4" s="155">
        <v>-33.42627012</v>
      </c>
      <c r="B4" s="155">
        <v>-70.54486003</v>
      </c>
      <c r="C4" s="155" t="s">
        <v>24</v>
      </c>
      <c r="D4" s="461">
        <v>16001.0</v>
      </c>
      <c r="E4" s="461">
        <v>104279.0</v>
      </c>
      <c r="F4" s="461">
        <v>81396.0</v>
      </c>
      <c r="G4" s="461">
        <v>84972.0</v>
      </c>
      <c r="H4" s="461">
        <v>75329.0</v>
      </c>
      <c r="I4" s="461">
        <v>71962.0</v>
      </c>
      <c r="J4" s="461">
        <v>61574.0</v>
      </c>
      <c r="K4" s="461">
        <v>63110.0</v>
      </c>
      <c r="L4" s="461">
        <v>63280.0</v>
      </c>
      <c r="M4" s="461">
        <v>53921.0</v>
      </c>
      <c r="N4" s="461">
        <v>57705.0</v>
      </c>
      <c r="O4" s="461">
        <v>70605.0</v>
      </c>
      <c r="P4" s="461">
        <v>69450.0</v>
      </c>
      <c r="Q4" s="461">
        <v>71465.0</v>
      </c>
    </row>
    <row r="5">
      <c r="A5" s="155">
        <v>-33.43795143</v>
      </c>
      <c r="B5" s="155">
        <v>-70.61132569</v>
      </c>
      <c r="C5" s="155" t="s">
        <v>26</v>
      </c>
      <c r="D5" s="461">
        <v>9332.0</v>
      </c>
      <c r="E5" s="461">
        <v>60819.0</v>
      </c>
      <c r="F5" s="461">
        <v>47473.0</v>
      </c>
      <c r="G5" s="461">
        <v>49559.0</v>
      </c>
      <c r="H5" s="461">
        <v>43934.0</v>
      </c>
      <c r="I5" s="461">
        <v>41971.0</v>
      </c>
      <c r="J5" s="461">
        <v>35912.0</v>
      </c>
      <c r="K5" s="461">
        <v>36808.0</v>
      </c>
      <c r="L5" s="461">
        <v>36907.0</v>
      </c>
      <c r="M5" s="461">
        <v>31449.0</v>
      </c>
      <c r="N5" s="461">
        <v>33656.0</v>
      </c>
      <c r="O5" s="461">
        <v>41179.0</v>
      </c>
      <c r="P5" s="461">
        <v>40506.0</v>
      </c>
      <c r="Q5" s="461">
        <v>41681.0</v>
      </c>
    </row>
    <row r="6">
      <c r="A6" s="155">
        <v>-33.38144958</v>
      </c>
      <c r="B6" s="155">
        <v>-70.56353561</v>
      </c>
      <c r="C6" s="155" t="s">
        <v>28</v>
      </c>
      <c r="D6" s="461">
        <v>4222.0</v>
      </c>
      <c r="E6" s="461">
        <v>27517.0</v>
      </c>
      <c r="F6" s="461">
        <v>21479.0</v>
      </c>
      <c r="G6" s="461">
        <v>22423.0</v>
      </c>
      <c r="H6" s="461">
        <v>19878.0</v>
      </c>
      <c r="I6" s="461">
        <v>18990.0</v>
      </c>
      <c r="J6" s="461">
        <v>16248.0</v>
      </c>
      <c r="K6" s="461">
        <v>16654.0</v>
      </c>
      <c r="L6" s="461">
        <v>16699.0</v>
      </c>
      <c r="M6" s="461">
        <v>14229.0</v>
      </c>
      <c r="N6" s="461">
        <v>15227.0</v>
      </c>
      <c r="O6" s="461">
        <v>18632.0</v>
      </c>
      <c r="P6" s="461">
        <v>18327.0</v>
      </c>
      <c r="Q6" s="461">
        <v>18859.0</v>
      </c>
    </row>
    <row r="7">
      <c r="A7" s="155">
        <v>-33.42043055</v>
      </c>
      <c r="B7" s="155">
        <v>-70.73374457</v>
      </c>
      <c r="C7" s="155" t="s">
        <v>30</v>
      </c>
      <c r="D7" s="461">
        <v>5798.0</v>
      </c>
      <c r="E7" s="461">
        <v>37784.0</v>
      </c>
      <c r="F7" s="461">
        <v>29493.0</v>
      </c>
      <c r="G7" s="461">
        <v>30788.0</v>
      </c>
      <c r="H7" s="461">
        <v>27294.0</v>
      </c>
      <c r="I7" s="461">
        <v>26074.0</v>
      </c>
      <c r="J7" s="461">
        <v>22311.0</v>
      </c>
      <c r="K7" s="461">
        <v>22867.0</v>
      </c>
      <c r="L7" s="461">
        <v>22929.0</v>
      </c>
      <c r="M7" s="461">
        <v>19538.0</v>
      </c>
      <c r="N7" s="461">
        <v>20909.0</v>
      </c>
      <c r="O7" s="461">
        <v>25583.0</v>
      </c>
      <c r="P7" s="461">
        <v>25164.0</v>
      </c>
      <c r="Q7" s="461">
        <v>25894.0</v>
      </c>
    </row>
    <row r="8">
      <c r="A8" s="155">
        <v>-33.47994856</v>
      </c>
      <c r="B8" s="155">
        <v>-70.66119652</v>
      </c>
      <c r="C8" s="155" t="s">
        <v>32</v>
      </c>
      <c r="D8" s="461">
        <v>4488.0</v>
      </c>
      <c r="E8" s="461">
        <v>29250.0</v>
      </c>
      <c r="F8" s="461">
        <v>22831.0</v>
      </c>
      <c r="G8" s="461">
        <v>23834.0</v>
      </c>
      <c r="H8" s="461">
        <v>21129.0</v>
      </c>
      <c r="I8" s="461">
        <v>20185.0</v>
      </c>
      <c r="J8" s="461">
        <v>17271.0</v>
      </c>
      <c r="K8" s="461">
        <v>17702.0</v>
      </c>
      <c r="L8" s="461">
        <v>17750.0</v>
      </c>
      <c r="M8" s="461">
        <v>15125.0</v>
      </c>
      <c r="N8" s="461">
        <v>16186.0</v>
      </c>
      <c r="O8" s="461">
        <v>19804.0</v>
      </c>
      <c r="P8" s="461">
        <v>19480.0</v>
      </c>
      <c r="Q8" s="461">
        <v>20046.0</v>
      </c>
    </row>
    <row r="9">
      <c r="A9" s="155">
        <v>-33.56691611</v>
      </c>
      <c r="B9" s="155">
        <v>-70.68212062</v>
      </c>
      <c r="C9" s="155" t="s">
        <v>34</v>
      </c>
      <c r="D9" s="461">
        <v>7108.0</v>
      </c>
      <c r="E9" s="461">
        <v>46321.0</v>
      </c>
      <c r="F9" s="461">
        <v>36156.0</v>
      </c>
      <c r="G9" s="461">
        <v>37745.0</v>
      </c>
      <c r="H9" s="461">
        <v>33461.0</v>
      </c>
      <c r="I9" s="461">
        <v>31966.0</v>
      </c>
      <c r="J9" s="461">
        <v>27351.0</v>
      </c>
      <c r="K9" s="461">
        <v>28034.0</v>
      </c>
      <c r="L9" s="461">
        <v>28109.0</v>
      </c>
      <c r="M9" s="461">
        <v>23952.0</v>
      </c>
      <c r="N9" s="461">
        <v>25633.0</v>
      </c>
      <c r="O9" s="461">
        <v>31363.0</v>
      </c>
      <c r="P9" s="461">
        <v>30850.0</v>
      </c>
      <c r="Q9" s="461">
        <v>31745.0</v>
      </c>
    </row>
    <row r="10">
      <c r="A10" s="155">
        <v>-33.52255651</v>
      </c>
      <c r="B10" s="155">
        <v>-70.77217402</v>
      </c>
      <c r="C10" s="155" t="s">
        <v>36</v>
      </c>
      <c r="D10" s="461">
        <v>23309.0</v>
      </c>
      <c r="E10" s="461">
        <v>151905.0</v>
      </c>
      <c r="F10" s="461">
        <v>118571.0</v>
      </c>
      <c r="G10" s="461">
        <v>123781.0</v>
      </c>
      <c r="H10" s="461">
        <v>109732.0</v>
      </c>
      <c r="I10" s="461">
        <v>104828.0</v>
      </c>
      <c r="J10" s="461">
        <v>89696.0</v>
      </c>
      <c r="K10" s="461">
        <v>91934.0</v>
      </c>
      <c r="L10" s="461">
        <v>92181.0</v>
      </c>
      <c r="M10" s="461">
        <v>78548.0</v>
      </c>
      <c r="N10" s="461">
        <v>84060.0</v>
      </c>
      <c r="O10" s="461">
        <v>102852.0</v>
      </c>
      <c r="P10" s="461">
        <v>101169.0</v>
      </c>
      <c r="Q10" s="461">
        <v>104105.0</v>
      </c>
    </row>
    <row r="11">
      <c r="A11" s="155">
        <v>-33.53890618</v>
      </c>
      <c r="B11" s="155">
        <v>-70.5892348</v>
      </c>
      <c r="C11" s="155" t="s">
        <v>38</v>
      </c>
      <c r="D11" s="461">
        <v>17274.0</v>
      </c>
      <c r="E11" s="461">
        <v>112577.0</v>
      </c>
      <c r="F11" s="461">
        <v>87874.0</v>
      </c>
      <c r="G11" s="461">
        <v>91734.0</v>
      </c>
      <c r="H11" s="461">
        <v>81323.0</v>
      </c>
      <c r="I11" s="461">
        <v>77689.0</v>
      </c>
      <c r="J11" s="461">
        <v>66474.0</v>
      </c>
      <c r="K11" s="461">
        <v>68133.0</v>
      </c>
      <c r="L11" s="461">
        <v>68316.0</v>
      </c>
      <c r="M11" s="461">
        <v>58212.0</v>
      </c>
      <c r="N11" s="461">
        <v>62297.0</v>
      </c>
      <c r="O11" s="461">
        <v>76224.0</v>
      </c>
      <c r="P11" s="461">
        <v>74977.0</v>
      </c>
      <c r="Q11" s="461">
        <v>77153.0</v>
      </c>
    </row>
    <row r="12">
      <c r="E12" s="461">
        <v>596743.0</v>
      </c>
      <c r="F12" s="461">
        <v>465795.0</v>
      </c>
      <c r="G12" s="461">
        <v>486260.0</v>
      </c>
      <c r="H12" s="461">
        <v>431073.0</v>
      </c>
      <c r="I12" s="461">
        <v>411808.0</v>
      </c>
      <c r="J12" s="461">
        <v>352363.0</v>
      </c>
      <c r="K12" s="461">
        <v>361153.0</v>
      </c>
      <c r="L12" s="461">
        <v>362124.0</v>
      </c>
      <c r="M12" s="461">
        <v>308567.0</v>
      </c>
      <c r="N12" s="461">
        <v>330223.0</v>
      </c>
      <c r="O12" s="461">
        <v>404043.0</v>
      </c>
      <c r="P12" s="461">
        <v>397432.0</v>
      </c>
      <c r="Q12" s="461">
        <v>408965.0</v>
      </c>
      <c r="R12" s="461">
        <v>596743.0</v>
      </c>
    </row>
    <row r="13">
      <c r="C13" s="155" t="s">
        <v>23</v>
      </c>
    </row>
    <row r="14">
      <c r="A14" s="155">
        <v>-33.34335643</v>
      </c>
      <c r="B14" s="155">
        <v>-70.52466882</v>
      </c>
      <c r="C14" s="155" t="s">
        <v>22</v>
      </c>
      <c r="D14" s="461">
        <v>4034.0</v>
      </c>
      <c r="E14" s="461">
        <v>10579.0</v>
      </c>
      <c r="F14" s="461">
        <v>9487.0</v>
      </c>
      <c r="G14" s="461">
        <v>12477.0</v>
      </c>
      <c r="H14" s="461">
        <v>11887.0</v>
      </c>
      <c r="I14" s="461">
        <v>13761.0</v>
      </c>
      <c r="J14" s="461">
        <v>11394.0</v>
      </c>
      <c r="K14" s="461">
        <v>9288.0</v>
      </c>
      <c r="L14" s="461">
        <v>14323.0</v>
      </c>
      <c r="M14" s="461">
        <v>11584.0</v>
      </c>
      <c r="N14" s="461">
        <v>11077.0</v>
      </c>
      <c r="O14" s="461">
        <v>11231.0</v>
      </c>
      <c r="P14" s="461">
        <v>12959.0</v>
      </c>
      <c r="Q14" s="461">
        <v>11671.0</v>
      </c>
    </row>
    <row r="15">
      <c r="A15" s="155">
        <v>-33.42627012</v>
      </c>
      <c r="B15" s="155">
        <v>-70.54486003</v>
      </c>
      <c r="C15" s="155" t="s">
        <v>24</v>
      </c>
      <c r="D15" s="461">
        <v>16001.0</v>
      </c>
      <c r="E15" s="461">
        <v>41959.0</v>
      </c>
      <c r="F15" s="461">
        <v>37627.0</v>
      </c>
      <c r="G15" s="461">
        <v>49489.0</v>
      </c>
      <c r="H15" s="461">
        <v>47150.0</v>
      </c>
      <c r="I15" s="461">
        <v>54582.0</v>
      </c>
      <c r="J15" s="461">
        <v>45194.0</v>
      </c>
      <c r="K15" s="461">
        <v>36839.0</v>
      </c>
      <c r="L15" s="461">
        <v>56811.0</v>
      </c>
      <c r="M15" s="461">
        <v>45948.0</v>
      </c>
      <c r="N15" s="461">
        <v>43935.0</v>
      </c>
      <c r="O15" s="461">
        <v>44546.0</v>
      </c>
      <c r="P15" s="461">
        <v>51401.0</v>
      </c>
      <c r="Q15" s="461">
        <v>46290.0</v>
      </c>
    </row>
    <row r="16">
      <c r="A16" s="155">
        <v>-33.43795143</v>
      </c>
      <c r="B16" s="155">
        <v>-70.61132569</v>
      </c>
      <c r="C16" s="155" t="s">
        <v>26</v>
      </c>
      <c r="D16" s="461">
        <v>9332.0</v>
      </c>
      <c r="E16" s="461">
        <v>24472.0</v>
      </c>
      <c r="F16" s="461">
        <v>21946.0</v>
      </c>
      <c r="G16" s="461">
        <v>28864.0</v>
      </c>
      <c r="H16" s="461">
        <v>27499.0</v>
      </c>
      <c r="I16" s="461">
        <v>31834.0</v>
      </c>
      <c r="J16" s="461">
        <v>26359.0</v>
      </c>
      <c r="K16" s="461">
        <v>21486.0</v>
      </c>
      <c r="L16" s="461">
        <v>33134.0</v>
      </c>
      <c r="M16" s="461">
        <v>26798.0</v>
      </c>
      <c r="N16" s="461">
        <v>25624.0</v>
      </c>
      <c r="O16" s="461">
        <v>25981.0</v>
      </c>
      <c r="P16" s="461">
        <v>29979.0</v>
      </c>
      <c r="Q16" s="461">
        <v>26998.0</v>
      </c>
    </row>
    <row r="17">
      <c r="A17" s="155">
        <v>-33.38144958</v>
      </c>
      <c r="B17" s="155">
        <v>-70.56353561</v>
      </c>
      <c r="C17" s="155" t="s">
        <v>28</v>
      </c>
      <c r="D17" s="461">
        <v>4222.0</v>
      </c>
      <c r="E17" s="461">
        <v>11072.0</v>
      </c>
      <c r="F17" s="461">
        <v>9929.0</v>
      </c>
      <c r="G17" s="461">
        <v>13059.0</v>
      </c>
      <c r="H17" s="461">
        <v>12442.0</v>
      </c>
      <c r="I17" s="461">
        <v>14403.0</v>
      </c>
      <c r="J17" s="461">
        <v>11926.0</v>
      </c>
      <c r="K17" s="461">
        <v>9721.0</v>
      </c>
      <c r="L17" s="461">
        <v>14991.0</v>
      </c>
      <c r="M17" s="461">
        <v>12125.0</v>
      </c>
      <c r="N17" s="461">
        <v>11594.0</v>
      </c>
      <c r="O17" s="461">
        <v>11755.0</v>
      </c>
      <c r="P17" s="461">
        <v>13564.0</v>
      </c>
      <c r="Q17" s="461">
        <v>12215.0</v>
      </c>
    </row>
    <row r="18">
      <c r="A18" s="155">
        <v>-33.42043055</v>
      </c>
      <c r="B18" s="155">
        <v>-70.73374457</v>
      </c>
      <c r="C18" s="155" t="s">
        <v>30</v>
      </c>
      <c r="D18" s="461">
        <v>5798.0</v>
      </c>
      <c r="E18" s="461">
        <v>15203.0</v>
      </c>
      <c r="F18" s="461">
        <v>13634.0</v>
      </c>
      <c r="G18" s="461">
        <v>17932.0</v>
      </c>
      <c r="H18" s="461">
        <v>17084.0</v>
      </c>
      <c r="I18" s="461">
        <v>19777.0</v>
      </c>
      <c r="J18" s="461">
        <v>16375.0</v>
      </c>
      <c r="K18" s="461">
        <v>13348.0</v>
      </c>
      <c r="L18" s="461">
        <v>20585.0</v>
      </c>
      <c r="M18" s="461">
        <v>16649.0</v>
      </c>
      <c r="N18" s="461">
        <v>15919.0</v>
      </c>
      <c r="O18" s="461">
        <v>16141.0</v>
      </c>
      <c r="P18" s="461">
        <v>18624.0</v>
      </c>
      <c r="Q18" s="461">
        <v>16773.0</v>
      </c>
    </row>
    <row r="19">
      <c r="A19" s="155">
        <v>-33.47994856</v>
      </c>
      <c r="B19" s="155">
        <v>-70.66119652</v>
      </c>
      <c r="C19" s="155" t="s">
        <v>32</v>
      </c>
      <c r="D19" s="461">
        <v>4488.0</v>
      </c>
      <c r="E19" s="461">
        <v>11769.0</v>
      </c>
      <c r="F19" s="461">
        <v>10554.0</v>
      </c>
      <c r="G19" s="461">
        <v>13881.0</v>
      </c>
      <c r="H19" s="461">
        <v>13225.0</v>
      </c>
      <c r="I19" s="461">
        <v>15310.0</v>
      </c>
      <c r="J19" s="461">
        <v>12677.0</v>
      </c>
      <c r="K19" s="461">
        <v>10333.0</v>
      </c>
      <c r="L19" s="461">
        <v>15935.0</v>
      </c>
      <c r="M19" s="461">
        <v>12888.0</v>
      </c>
      <c r="N19" s="461">
        <v>12324.0</v>
      </c>
      <c r="O19" s="461">
        <v>12495.0</v>
      </c>
      <c r="P19" s="461">
        <v>14418.0</v>
      </c>
      <c r="Q19" s="461">
        <v>12984.0</v>
      </c>
    </row>
    <row r="20">
      <c r="A20" s="155">
        <v>-33.56691611</v>
      </c>
      <c r="B20" s="155">
        <v>-70.68212062</v>
      </c>
      <c r="C20" s="155" t="s">
        <v>34</v>
      </c>
      <c r="D20" s="461">
        <v>7108.0</v>
      </c>
      <c r="E20" s="461">
        <v>18638.0</v>
      </c>
      <c r="F20" s="461">
        <v>16714.0</v>
      </c>
      <c r="G20" s="461">
        <v>21983.0</v>
      </c>
      <c r="H20" s="461">
        <v>20944.0</v>
      </c>
      <c r="I20" s="461">
        <v>24245.0</v>
      </c>
      <c r="J20" s="461">
        <v>20075.0</v>
      </c>
      <c r="K20" s="461">
        <v>16364.0</v>
      </c>
      <c r="L20" s="461">
        <v>25236.0</v>
      </c>
      <c r="M20" s="461">
        <v>20410.0</v>
      </c>
      <c r="N20" s="461">
        <v>19516.0</v>
      </c>
      <c r="O20" s="461">
        <v>19788.0</v>
      </c>
      <c r="P20" s="461">
        <v>22832.0</v>
      </c>
      <c r="Q20" s="461">
        <v>20562.0</v>
      </c>
    </row>
    <row r="21" ht="15.75" customHeight="1">
      <c r="A21" s="155">
        <v>-33.52255651</v>
      </c>
      <c r="B21" s="155">
        <v>-70.77217402</v>
      </c>
      <c r="C21" s="155" t="s">
        <v>36</v>
      </c>
      <c r="D21" s="461">
        <v>23309.0</v>
      </c>
      <c r="E21" s="461">
        <v>61122.0</v>
      </c>
      <c r="F21" s="461">
        <v>54813.0</v>
      </c>
      <c r="G21" s="461">
        <v>72091.0</v>
      </c>
      <c r="H21" s="461">
        <v>68684.0</v>
      </c>
      <c r="I21" s="461">
        <v>79510.0</v>
      </c>
      <c r="J21" s="461">
        <v>65835.0</v>
      </c>
      <c r="K21" s="461">
        <v>53664.0</v>
      </c>
      <c r="L21" s="461">
        <v>82757.0</v>
      </c>
      <c r="M21" s="461">
        <v>66933.0</v>
      </c>
      <c r="N21" s="461">
        <v>64001.0</v>
      </c>
      <c r="O21" s="461">
        <v>64891.0</v>
      </c>
      <c r="P21" s="461">
        <v>74877.0</v>
      </c>
      <c r="Q21" s="461">
        <v>67432.0</v>
      </c>
    </row>
    <row r="22" ht="15.75" customHeight="1">
      <c r="A22" s="155">
        <v>-33.53890618</v>
      </c>
      <c r="B22" s="155">
        <v>-70.5892348</v>
      </c>
      <c r="C22" s="155" t="s">
        <v>38</v>
      </c>
      <c r="D22" s="461">
        <v>17274.0</v>
      </c>
      <c r="E22" s="461">
        <v>45298.0</v>
      </c>
      <c r="F22" s="461">
        <v>40622.0</v>
      </c>
      <c r="G22" s="461">
        <v>53427.0</v>
      </c>
      <c r="H22" s="461">
        <v>50902.0</v>
      </c>
      <c r="I22" s="461">
        <v>58926.0</v>
      </c>
      <c r="J22" s="461">
        <v>48791.0</v>
      </c>
      <c r="K22" s="461">
        <v>39770.0</v>
      </c>
      <c r="L22" s="461">
        <v>61332.0</v>
      </c>
      <c r="M22" s="461">
        <v>49604.0</v>
      </c>
      <c r="N22" s="461">
        <v>47431.0</v>
      </c>
      <c r="O22" s="461">
        <v>48091.0</v>
      </c>
      <c r="P22" s="461">
        <v>55491.0</v>
      </c>
      <c r="Q22" s="461">
        <v>49974.0</v>
      </c>
    </row>
    <row r="23" ht="15.75" customHeight="1">
      <c r="E23" s="461">
        <v>240113.0</v>
      </c>
      <c r="F23" s="461">
        <v>215326.0</v>
      </c>
      <c r="G23" s="461">
        <v>283204.0</v>
      </c>
      <c r="H23" s="461">
        <v>269817.0</v>
      </c>
      <c r="I23" s="461">
        <v>312349.0</v>
      </c>
      <c r="J23" s="461">
        <v>258627.0</v>
      </c>
      <c r="K23" s="461">
        <v>210812.0</v>
      </c>
      <c r="L23" s="461">
        <v>325104.0</v>
      </c>
      <c r="M23" s="461">
        <v>262940.0</v>
      </c>
      <c r="N23" s="461">
        <v>251421.0</v>
      </c>
      <c r="O23" s="461">
        <v>254919.0</v>
      </c>
      <c r="P23" s="461">
        <v>294146.0</v>
      </c>
      <c r="Q23" s="461">
        <v>264898.0</v>
      </c>
      <c r="R23" s="461">
        <v>325104.0</v>
      </c>
    </row>
    <row r="24" ht="15.75" customHeight="1">
      <c r="C24" s="155" t="s">
        <v>25</v>
      </c>
    </row>
    <row r="25" ht="15.75" customHeight="1">
      <c r="A25" s="155">
        <v>-33.34335643</v>
      </c>
      <c r="B25" s="155">
        <v>-70.52466882</v>
      </c>
      <c r="C25" s="155" t="s">
        <v>22</v>
      </c>
      <c r="D25" s="461">
        <v>4034.0</v>
      </c>
      <c r="E25" s="461">
        <v>1274.0</v>
      </c>
      <c r="F25" s="461">
        <v>1993.0</v>
      </c>
      <c r="G25" s="461">
        <v>1471.0</v>
      </c>
      <c r="H25" s="461">
        <v>1604.0</v>
      </c>
      <c r="I25" s="461">
        <v>1890.0</v>
      </c>
      <c r="J25" s="461">
        <v>1821.0</v>
      </c>
      <c r="K25" s="461">
        <v>1898.0</v>
      </c>
      <c r="L25" s="461">
        <v>1676.0</v>
      </c>
      <c r="M25" s="461">
        <v>1444.0</v>
      </c>
      <c r="N25" s="461">
        <v>1936.0</v>
      </c>
      <c r="O25" s="461">
        <v>1832.0</v>
      </c>
      <c r="P25" s="461">
        <v>1553.0</v>
      </c>
      <c r="Q25" s="461">
        <v>1699.0</v>
      </c>
    </row>
    <row r="26" ht="15.75" customHeight="1">
      <c r="A26" s="155">
        <v>-33.42627012</v>
      </c>
      <c r="B26" s="155">
        <v>-70.54486003</v>
      </c>
      <c r="C26" s="155" t="s">
        <v>24</v>
      </c>
      <c r="D26" s="461">
        <v>16001.0</v>
      </c>
      <c r="E26" s="461">
        <v>5051.0</v>
      </c>
      <c r="F26" s="461">
        <v>7904.0</v>
      </c>
      <c r="G26" s="461">
        <v>5835.0</v>
      </c>
      <c r="H26" s="461">
        <v>6360.0</v>
      </c>
      <c r="I26" s="461">
        <v>7496.0</v>
      </c>
      <c r="J26" s="461">
        <v>7223.0</v>
      </c>
      <c r="K26" s="461">
        <v>7527.0</v>
      </c>
      <c r="L26" s="461">
        <v>6647.0</v>
      </c>
      <c r="M26" s="461">
        <v>5727.0</v>
      </c>
      <c r="N26" s="461">
        <v>7680.0</v>
      </c>
      <c r="O26" s="461">
        <v>7266.0</v>
      </c>
      <c r="P26" s="461">
        <v>6159.0</v>
      </c>
      <c r="Q26" s="461">
        <v>6740.0</v>
      </c>
    </row>
    <row r="27" ht="15.75" customHeight="1">
      <c r="A27" s="155">
        <v>-33.43795143</v>
      </c>
      <c r="B27" s="155">
        <v>-70.61132569</v>
      </c>
      <c r="C27" s="155" t="s">
        <v>26</v>
      </c>
      <c r="D27" s="461">
        <v>9332.0</v>
      </c>
      <c r="E27" s="461">
        <v>2946.0</v>
      </c>
      <c r="F27" s="461">
        <v>4610.0</v>
      </c>
      <c r="G27" s="461">
        <v>3403.0</v>
      </c>
      <c r="H27" s="461">
        <v>3710.0</v>
      </c>
      <c r="I27" s="461">
        <v>4372.0</v>
      </c>
      <c r="J27" s="461">
        <v>4213.0</v>
      </c>
      <c r="K27" s="461">
        <v>4390.0</v>
      </c>
      <c r="L27" s="461">
        <v>3877.0</v>
      </c>
      <c r="M27" s="461">
        <v>3340.0</v>
      </c>
      <c r="N27" s="461">
        <v>4479.0</v>
      </c>
      <c r="O27" s="461">
        <v>4238.0</v>
      </c>
      <c r="P27" s="461">
        <v>3592.0</v>
      </c>
      <c r="Q27" s="461">
        <v>3931.0</v>
      </c>
    </row>
    <row r="28" ht="15.75" customHeight="1">
      <c r="A28" s="155">
        <v>-33.38144958</v>
      </c>
      <c r="B28" s="155">
        <v>-70.56353561</v>
      </c>
      <c r="C28" s="155" t="s">
        <v>28</v>
      </c>
      <c r="D28" s="461">
        <v>4222.0</v>
      </c>
      <c r="E28" s="461">
        <v>1333.0</v>
      </c>
      <c r="F28" s="461">
        <v>2086.0</v>
      </c>
      <c r="G28" s="461">
        <v>1540.0</v>
      </c>
      <c r="H28" s="461">
        <v>1678.0</v>
      </c>
      <c r="I28" s="461">
        <v>1978.0</v>
      </c>
      <c r="J28" s="461">
        <v>1906.0</v>
      </c>
      <c r="K28" s="461">
        <v>1986.0</v>
      </c>
      <c r="L28" s="461">
        <v>1754.0</v>
      </c>
      <c r="M28" s="461">
        <v>1511.0</v>
      </c>
      <c r="N28" s="461">
        <v>2027.0</v>
      </c>
      <c r="O28" s="461">
        <v>1917.0</v>
      </c>
      <c r="P28" s="461">
        <v>1625.0</v>
      </c>
      <c r="Q28" s="461">
        <v>1778.0</v>
      </c>
    </row>
    <row r="29" ht="15.75" customHeight="1">
      <c r="A29" s="155">
        <v>-33.42043055</v>
      </c>
      <c r="B29" s="155">
        <v>-70.73374457</v>
      </c>
      <c r="C29" s="155" t="s">
        <v>30</v>
      </c>
      <c r="D29" s="461">
        <v>5798.0</v>
      </c>
      <c r="E29" s="461">
        <v>1830.0</v>
      </c>
      <c r="F29" s="461">
        <v>2864.0</v>
      </c>
      <c r="G29" s="461">
        <v>2114.0</v>
      </c>
      <c r="H29" s="461">
        <v>2305.0</v>
      </c>
      <c r="I29" s="461">
        <v>2716.0</v>
      </c>
      <c r="J29" s="461">
        <v>2617.0</v>
      </c>
      <c r="K29" s="461">
        <v>2727.0</v>
      </c>
      <c r="L29" s="461">
        <v>2408.0</v>
      </c>
      <c r="M29" s="461">
        <v>2075.0</v>
      </c>
      <c r="N29" s="461">
        <v>2783.0</v>
      </c>
      <c r="O29" s="461">
        <v>2633.0</v>
      </c>
      <c r="P29" s="461">
        <v>2232.0</v>
      </c>
      <c r="Q29" s="461">
        <v>2442.0</v>
      </c>
    </row>
    <row r="30" ht="15.75" customHeight="1">
      <c r="A30" s="155">
        <v>-33.47994856</v>
      </c>
      <c r="B30" s="155">
        <v>-70.66119652</v>
      </c>
      <c r="C30" s="155" t="s">
        <v>32</v>
      </c>
      <c r="D30" s="461">
        <v>4488.0</v>
      </c>
      <c r="E30" s="461">
        <v>1417.0</v>
      </c>
      <c r="F30" s="461">
        <v>2217.0</v>
      </c>
      <c r="G30" s="461">
        <v>1637.0</v>
      </c>
      <c r="H30" s="461">
        <v>1784.0</v>
      </c>
      <c r="I30" s="461">
        <v>2103.0</v>
      </c>
      <c r="J30" s="461">
        <v>2026.0</v>
      </c>
      <c r="K30" s="461">
        <v>2111.0</v>
      </c>
      <c r="L30" s="461">
        <v>1864.0</v>
      </c>
      <c r="M30" s="461">
        <v>1606.0</v>
      </c>
      <c r="N30" s="461">
        <v>2154.0</v>
      </c>
      <c r="O30" s="461">
        <v>2038.0</v>
      </c>
      <c r="P30" s="461">
        <v>1727.0</v>
      </c>
      <c r="Q30" s="461">
        <v>1890.0</v>
      </c>
    </row>
    <row r="31" ht="15.75" customHeight="1">
      <c r="A31" s="155">
        <v>-33.56691611</v>
      </c>
      <c r="B31" s="155">
        <v>-70.68212062</v>
      </c>
      <c r="C31" s="155" t="s">
        <v>34</v>
      </c>
      <c r="D31" s="461">
        <v>7108.0</v>
      </c>
      <c r="E31" s="461">
        <v>2244.0</v>
      </c>
      <c r="F31" s="461">
        <v>3511.0</v>
      </c>
      <c r="G31" s="461">
        <v>2592.0</v>
      </c>
      <c r="H31" s="461">
        <v>2825.0</v>
      </c>
      <c r="I31" s="461">
        <v>3330.0</v>
      </c>
      <c r="J31" s="461">
        <v>3208.0</v>
      </c>
      <c r="K31" s="461">
        <v>3343.0</v>
      </c>
      <c r="L31" s="461">
        <v>2952.0</v>
      </c>
      <c r="M31" s="461">
        <v>2544.0</v>
      </c>
      <c r="N31" s="461">
        <v>3412.0</v>
      </c>
      <c r="O31" s="461">
        <v>3228.0</v>
      </c>
      <c r="P31" s="461">
        <v>2736.0</v>
      </c>
      <c r="Q31" s="461">
        <v>2994.0</v>
      </c>
    </row>
    <row r="32" ht="15.75" customHeight="1">
      <c r="A32" s="155">
        <v>-33.52255651</v>
      </c>
      <c r="B32" s="155">
        <v>-70.77217402</v>
      </c>
      <c r="C32" s="155" t="s">
        <v>36</v>
      </c>
      <c r="D32" s="461">
        <v>23309.0</v>
      </c>
      <c r="E32" s="461">
        <v>7359.0</v>
      </c>
      <c r="F32" s="461">
        <v>11514.0</v>
      </c>
      <c r="G32" s="461">
        <v>8501.0</v>
      </c>
      <c r="H32" s="461">
        <v>9265.0</v>
      </c>
      <c r="I32" s="461">
        <v>10920.0</v>
      </c>
      <c r="J32" s="461">
        <v>10522.0</v>
      </c>
      <c r="K32" s="461">
        <v>10964.0</v>
      </c>
      <c r="L32" s="461">
        <v>9682.0</v>
      </c>
      <c r="M32" s="461">
        <v>8342.0</v>
      </c>
      <c r="N32" s="461">
        <v>11188.0</v>
      </c>
      <c r="O32" s="461">
        <v>10584.0</v>
      </c>
      <c r="P32" s="461">
        <v>8971.0</v>
      </c>
      <c r="Q32" s="461">
        <v>9818.0</v>
      </c>
    </row>
    <row r="33" ht="15.75" customHeight="1">
      <c r="A33" s="155">
        <v>-33.53890618</v>
      </c>
      <c r="B33" s="155">
        <v>-70.5892348</v>
      </c>
      <c r="C33" s="155" t="s">
        <v>38</v>
      </c>
      <c r="D33" s="461">
        <v>17274.0</v>
      </c>
      <c r="E33" s="461">
        <v>5453.0</v>
      </c>
      <c r="F33" s="461">
        <v>8533.0</v>
      </c>
      <c r="G33" s="461">
        <v>6300.0</v>
      </c>
      <c r="H33" s="461">
        <v>6866.0</v>
      </c>
      <c r="I33" s="461">
        <v>8093.0</v>
      </c>
      <c r="J33" s="461">
        <v>7798.0</v>
      </c>
      <c r="K33" s="461">
        <v>8126.0</v>
      </c>
      <c r="L33" s="461">
        <v>7176.0</v>
      </c>
      <c r="M33" s="461">
        <v>6182.0</v>
      </c>
      <c r="N33" s="461">
        <v>8292.0</v>
      </c>
      <c r="O33" s="461">
        <v>7844.0</v>
      </c>
      <c r="P33" s="461">
        <v>6649.0</v>
      </c>
      <c r="Q33" s="461">
        <v>7276.0</v>
      </c>
    </row>
    <row r="34" ht="15.75" customHeight="1">
      <c r="E34" s="461">
        <v>28907.0</v>
      </c>
      <c r="F34" s="461">
        <v>45230.0</v>
      </c>
      <c r="G34" s="461">
        <v>33394.0</v>
      </c>
      <c r="H34" s="461">
        <v>36397.0</v>
      </c>
      <c r="I34" s="461">
        <v>42899.0</v>
      </c>
      <c r="J34" s="461">
        <v>41333.0</v>
      </c>
      <c r="K34" s="461">
        <v>43073.0</v>
      </c>
      <c r="L34" s="461">
        <v>38036.0</v>
      </c>
      <c r="M34" s="461">
        <v>32771.0</v>
      </c>
      <c r="N34" s="461">
        <v>43952.0</v>
      </c>
      <c r="O34" s="461">
        <v>41580.0</v>
      </c>
      <c r="P34" s="461">
        <v>35244.0</v>
      </c>
      <c r="Q34" s="461">
        <v>38568.0</v>
      </c>
      <c r="R34" s="461">
        <v>45230.0</v>
      </c>
    </row>
    <row r="35" ht="15.75" customHeight="1">
      <c r="C35" s="155" t="s">
        <v>27</v>
      </c>
    </row>
    <row r="36" ht="15.75" customHeight="1">
      <c r="A36" s="155">
        <v>-33.34335643</v>
      </c>
      <c r="B36" s="155">
        <v>-70.52466882</v>
      </c>
      <c r="C36" s="155" t="s">
        <v>22</v>
      </c>
      <c r="D36" s="461">
        <v>4034.0</v>
      </c>
      <c r="E36" s="461">
        <v>4271.0</v>
      </c>
      <c r="F36" s="461">
        <v>3594.0</v>
      </c>
      <c r="G36" s="461">
        <v>4179.0</v>
      </c>
      <c r="H36" s="461">
        <v>4492.0</v>
      </c>
      <c r="I36" s="461">
        <v>4872.0</v>
      </c>
      <c r="J36" s="461">
        <v>4589.0</v>
      </c>
      <c r="K36" s="461">
        <v>4612.0</v>
      </c>
      <c r="L36" s="461">
        <v>4771.0</v>
      </c>
      <c r="M36" s="461">
        <v>3734.0</v>
      </c>
      <c r="N36" s="461">
        <v>4377.0</v>
      </c>
      <c r="O36" s="461">
        <v>4508.0</v>
      </c>
      <c r="P36" s="461">
        <v>3882.0</v>
      </c>
      <c r="Q36" s="461">
        <v>4323.0</v>
      </c>
    </row>
    <row r="37" ht="15.75" customHeight="1">
      <c r="A37" s="155">
        <v>-33.42627012</v>
      </c>
      <c r="B37" s="155">
        <v>-70.54486003</v>
      </c>
      <c r="C37" s="155" t="s">
        <v>24</v>
      </c>
      <c r="D37" s="461">
        <v>16001.0</v>
      </c>
      <c r="E37" s="461">
        <v>16940.0</v>
      </c>
      <c r="F37" s="461">
        <v>14256.0</v>
      </c>
      <c r="G37" s="461">
        <v>16574.0</v>
      </c>
      <c r="H37" s="461">
        <v>17817.0</v>
      </c>
      <c r="I37" s="461">
        <v>19326.0</v>
      </c>
      <c r="J37" s="461">
        <v>18203.0</v>
      </c>
      <c r="K37" s="461">
        <v>18292.0</v>
      </c>
      <c r="L37" s="461">
        <v>18924.0</v>
      </c>
      <c r="M37" s="461">
        <v>14812.0</v>
      </c>
      <c r="N37" s="461">
        <v>17361.0</v>
      </c>
      <c r="O37" s="461">
        <v>17881.0</v>
      </c>
      <c r="P37" s="461">
        <v>15398.0</v>
      </c>
      <c r="Q37" s="461">
        <v>17149.0</v>
      </c>
    </row>
    <row r="38" ht="15.75" customHeight="1">
      <c r="A38" s="155">
        <v>-33.43795143</v>
      </c>
      <c r="B38" s="155">
        <v>-70.61132569</v>
      </c>
      <c r="C38" s="155" t="s">
        <v>26</v>
      </c>
      <c r="D38" s="461">
        <v>9332.0</v>
      </c>
      <c r="E38" s="461">
        <v>9880.0</v>
      </c>
      <c r="F38" s="461">
        <v>8314.0</v>
      </c>
      <c r="G38" s="461">
        <v>9666.0</v>
      </c>
      <c r="H38" s="461">
        <v>10391.0</v>
      </c>
      <c r="I38" s="461">
        <v>11271.0</v>
      </c>
      <c r="J38" s="461">
        <v>10616.0</v>
      </c>
      <c r="K38" s="461">
        <v>10669.0</v>
      </c>
      <c r="L38" s="461">
        <v>11037.0</v>
      </c>
      <c r="M38" s="461">
        <v>8639.0</v>
      </c>
      <c r="N38" s="461">
        <v>10125.0</v>
      </c>
      <c r="O38" s="461">
        <v>10429.0</v>
      </c>
      <c r="P38" s="461">
        <v>8980.0</v>
      </c>
      <c r="Q38" s="461">
        <v>10002.0</v>
      </c>
    </row>
    <row r="39" ht="15.75" customHeight="1">
      <c r="A39" s="155">
        <v>-33.38144958</v>
      </c>
      <c r="B39" s="155">
        <v>-70.56353561</v>
      </c>
      <c r="C39" s="155" t="s">
        <v>28</v>
      </c>
      <c r="D39" s="461">
        <v>4222.0</v>
      </c>
      <c r="E39" s="461">
        <v>4470.0</v>
      </c>
      <c r="F39" s="461">
        <v>3762.0</v>
      </c>
      <c r="G39" s="461">
        <v>4374.0</v>
      </c>
      <c r="H39" s="461">
        <v>4702.0</v>
      </c>
      <c r="I39" s="461">
        <v>5100.0</v>
      </c>
      <c r="J39" s="461">
        <v>4803.0</v>
      </c>
      <c r="K39" s="461">
        <v>4827.0</v>
      </c>
      <c r="L39" s="461">
        <v>4994.0</v>
      </c>
      <c r="M39" s="461">
        <v>3909.0</v>
      </c>
      <c r="N39" s="461">
        <v>4581.0</v>
      </c>
      <c r="O39" s="461">
        <v>4718.0</v>
      </c>
      <c r="P39" s="461">
        <v>4063.0</v>
      </c>
      <c r="Q39" s="461">
        <v>4525.0</v>
      </c>
    </row>
    <row r="40" ht="15.75" customHeight="1">
      <c r="A40" s="155">
        <v>-33.42043055</v>
      </c>
      <c r="B40" s="155">
        <v>-70.73374457</v>
      </c>
      <c r="C40" s="155" t="s">
        <v>30</v>
      </c>
      <c r="D40" s="461">
        <v>5798.0</v>
      </c>
      <c r="E40" s="461">
        <v>6138.0</v>
      </c>
      <c r="F40" s="461">
        <v>5165.0</v>
      </c>
      <c r="G40" s="461">
        <v>6005.0</v>
      </c>
      <c r="H40" s="461">
        <v>6456.0</v>
      </c>
      <c r="I40" s="461">
        <v>7002.0</v>
      </c>
      <c r="J40" s="461">
        <v>6595.0</v>
      </c>
      <c r="K40" s="461">
        <v>6628.0</v>
      </c>
      <c r="L40" s="461">
        <v>6857.0</v>
      </c>
      <c r="M40" s="461">
        <v>5367.0</v>
      </c>
      <c r="N40" s="461">
        <v>6290.0</v>
      </c>
      <c r="O40" s="461">
        <v>6479.0</v>
      </c>
      <c r="P40" s="461">
        <v>5579.0</v>
      </c>
      <c r="Q40" s="461">
        <v>6214.0</v>
      </c>
    </row>
    <row r="41" ht="15.75" customHeight="1">
      <c r="A41" s="155">
        <v>-33.47994856</v>
      </c>
      <c r="B41" s="155">
        <v>-70.66119652</v>
      </c>
      <c r="C41" s="155" t="s">
        <v>32</v>
      </c>
      <c r="D41" s="461">
        <v>4488.0</v>
      </c>
      <c r="E41" s="461">
        <v>4752.0</v>
      </c>
      <c r="F41" s="461">
        <v>3999.0</v>
      </c>
      <c r="G41" s="461">
        <v>4649.0</v>
      </c>
      <c r="H41" s="461">
        <v>4998.0</v>
      </c>
      <c r="I41" s="461">
        <v>5421.0</v>
      </c>
      <c r="J41" s="461">
        <v>5106.0</v>
      </c>
      <c r="K41" s="461">
        <v>5131.0</v>
      </c>
      <c r="L41" s="461">
        <v>5308.0</v>
      </c>
      <c r="M41" s="461">
        <v>4155.0</v>
      </c>
      <c r="N41" s="461">
        <v>4870.0</v>
      </c>
      <c r="O41" s="461">
        <v>5016.0</v>
      </c>
      <c r="P41" s="461">
        <v>4319.0</v>
      </c>
      <c r="Q41" s="461">
        <v>4810.0</v>
      </c>
    </row>
    <row r="42" ht="15.75" customHeight="1">
      <c r="A42" s="155">
        <v>-33.56691611</v>
      </c>
      <c r="B42" s="155">
        <v>-70.68212062</v>
      </c>
      <c r="C42" s="155" t="s">
        <v>34</v>
      </c>
      <c r="D42" s="461">
        <v>7108.0</v>
      </c>
      <c r="E42" s="461">
        <v>7525.0</v>
      </c>
      <c r="F42" s="461">
        <v>6332.0</v>
      </c>
      <c r="G42" s="461">
        <v>7362.0</v>
      </c>
      <c r="H42" s="461">
        <v>7914.0</v>
      </c>
      <c r="I42" s="461">
        <v>8585.0</v>
      </c>
      <c r="J42" s="461">
        <v>8086.0</v>
      </c>
      <c r="K42" s="461">
        <v>8125.0</v>
      </c>
      <c r="L42" s="461">
        <v>8406.0</v>
      </c>
      <c r="M42" s="461">
        <v>6580.0</v>
      </c>
      <c r="N42" s="461">
        <v>7712.0</v>
      </c>
      <c r="O42" s="461">
        <v>7943.0</v>
      </c>
      <c r="P42" s="461">
        <v>6840.0</v>
      </c>
      <c r="Q42" s="461">
        <v>7617.0</v>
      </c>
    </row>
    <row r="43" ht="15.75" customHeight="1">
      <c r="A43" s="155">
        <v>-33.52255651</v>
      </c>
      <c r="B43" s="155">
        <v>-70.77217402</v>
      </c>
      <c r="C43" s="155" t="s">
        <v>36</v>
      </c>
      <c r="D43" s="461">
        <v>23309.0</v>
      </c>
      <c r="E43" s="461">
        <v>24677.0</v>
      </c>
      <c r="F43" s="461">
        <v>20767.0</v>
      </c>
      <c r="G43" s="461">
        <v>24143.0</v>
      </c>
      <c r="H43" s="461">
        <v>25954.0</v>
      </c>
      <c r="I43" s="461">
        <v>28152.0</v>
      </c>
      <c r="J43" s="461">
        <v>26516.0</v>
      </c>
      <c r="K43" s="461">
        <v>26646.0</v>
      </c>
      <c r="L43" s="461">
        <v>27567.0</v>
      </c>
      <c r="M43" s="461">
        <v>21577.0</v>
      </c>
      <c r="N43" s="461">
        <v>25290.0</v>
      </c>
      <c r="O43" s="461">
        <v>26047.0</v>
      </c>
      <c r="P43" s="461">
        <v>22430.0</v>
      </c>
      <c r="Q43" s="461">
        <v>24981.0</v>
      </c>
    </row>
    <row r="44" ht="15.75" customHeight="1">
      <c r="A44" s="155">
        <v>-33.53890618</v>
      </c>
      <c r="B44" s="155">
        <v>-70.5892348</v>
      </c>
      <c r="C44" s="155" t="s">
        <v>38</v>
      </c>
      <c r="D44" s="461">
        <v>17274.0</v>
      </c>
      <c r="E44" s="461">
        <v>18288.0</v>
      </c>
      <c r="F44" s="461">
        <v>15390.0</v>
      </c>
      <c r="G44" s="461">
        <v>17893.0</v>
      </c>
      <c r="H44" s="461">
        <v>19235.0</v>
      </c>
      <c r="I44" s="461">
        <v>20864.0</v>
      </c>
      <c r="J44" s="461">
        <v>19651.0</v>
      </c>
      <c r="K44" s="461">
        <v>19748.0</v>
      </c>
      <c r="L44" s="461">
        <v>20430.0</v>
      </c>
      <c r="M44" s="461">
        <v>15991.0</v>
      </c>
      <c r="N44" s="461">
        <v>18742.0</v>
      </c>
      <c r="O44" s="461">
        <v>19304.0</v>
      </c>
      <c r="P44" s="461">
        <v>16623.0</v>
      </c>
      <c r="Q44" s="461">
        <v>18513.0</v>
      </c>
    </row>
    <row r="45" ht="15.75" customHeight="1">
      <c r="E45" s="461">
        <v>96941.0</v>
      </c>
      <c r="F45" s="461">
        <v>81580.0</v>
      </c>
      <c r="G45" s="461">
        <v>94844.0</v>
      </c>
      <c r="H45" s="461">
        <v>101958.0</v>
      </c>
      <c r="I45" s="461">
        <v>110593.0</v>
      </c>
      <c r="J45" s="461">
        <v>104165.0</v>
      </c>
      <c r="K45" s="461">
        <v>104678.0</v>
      </c>
      <c r="L45" s="461">
        <v>108295.0</v>
      </c>
      <c r="M45" s="461">
        <v>84762.0</v>
      </c>
      <c r="N45" s="461">
        <v>99349.0</v>
      </c>
      <c r="O45" s="461">
        <v>102325.0</v>
      </c>
      <c r="P45" s="461">
        <v>88114.0</v>
      </c>
      <c r="Q45" s="461">
        <v>98134.0</v>
      </c>
      <c r="R45" s="461">
        <v>110593.0</v>
      </c>
    </row>
    <row r="46" ht="15.75" customHeight="1">
      <c r="C46" s="155" t="s">
        <v>29</v>
      </c>
    </row>
    <row r="47" ht="15.75" customHeight="1">
      <c r="A47" s="155">
        <v>-33.34335643</v>
      </c>
      <c r="B47" s="155">
        <v>-70.52466882</v>
      </c>
      <c r="C47" s="155" t="s">
        <v>22</v>
      </c>
      <c r="D47" s="461">
        <v>4034.0</v>
      </c>
      <c r="E47" s="461">
        <v>3099.0</v>
      </c>
      <c r="F47" s="461">
        <v>3039.0</v>
      </c>
      <c r="G47" s="461">
        <v>3180.0</v>
      </c>
      <c r="H47" s="461">
        <v>2734.0</v>
      </c>
      <c r="I47" s="461">
        <v>2821.0</v>
      </c>
      <c r="J47" s="461">
        <v>2433.0</v>
      </c>
      <c r="K47" s="461">
        <v>2449.0</v>
      </c>
      <c r="L47" s="461">
        <v>2575.0</v>
      </c>
      <c r="M47" s="461">
        <v>2228.0</v>
      </c>
      <c r="N47" s="461">
        <v>2546.0</v>
      </c>
      <c r="O47" s="461">
        <v>2424.0</v>
      </c>
      <c r="P47" s="461">
        <v>2412.0</v>
      </c>
      <c r="Q47" s="461">
        <v>2662.0</v>
      </c>
    </row>
    <row r="48" ht="15.75" customHeight="1">
      <c r="A48" s="155">
        <v>-33.42627012</v>
      </c>
      <c r="B48" s="155">
        <v>-70.54486003</v>
      </c>
      <c r="C48" s="155" t="s">
        <v>24</v>
      </c>
      <c r="D48" s="461">
        <v>16001.0</v>
      </c>
      <c r="E48" s="461">
        <v>12293.0</v>
      </c>
      <c r="F48" s="461">
        <v>12052.0</v>
      </c>
      <c r="G48" s="461">
        <v>12612.0</v>
      </c>
      <c r="H48" s="461">
        <v>10844.0</v>
      </c>
      <c r="I48" s="461">
        <v>11189.0</v>
      </c>
      <c r="J48" s="461">
        <v>9648.0</v>
      </c>
      <c r="K48" s="461">
        <v>9714.0</v>
      </c>
      <c r="L48" s="461">
        <v>10212.0</v>
      </c>
      <c r="M48" s="461">
        <v>8836.0</v>
      </c>
      <c r="N48" s="461">
        <v>10100.0</v>
      </c>
      <c r="O48" s="461">
        <v>9613.0</v>
      </c>
      <c r="P48" s="461">
        <v>9567.0</v>
      </c>
      <c r="Q48" s="461">
        <v>10557.0</v>
      </c>
    </row>
    <row r="49" ht="15.75" customHeight="1">
      <c r="A49" s="155">
        <v>-33.43795143</v>
      </c>
      <c r="B49" s="155">
        <v>-70.61132569</v>
      </c>
      <c r="C49" s="155" t="s">
        <v>26</v>
      </c>
      <c r="D49" s="461">
        <v>9332.0</v>
      </c>
      <c r="E49" s="461">
        <v>7170.0</v>
      </c>
      <c r="F49" s="461">
        <v>7029.0</v>
      </c>
      <c r="G49" s="461">
        <v>7356.0</v>
      </c>
      <c r="H49" s="461">
        <v>6324.0</v>
      </c>
      <c r="I49" s="461">
        <v>6526.0</v>
      </c>
      <c r="J49" s="461">
        <v>5627.0</v>
      </c>
      <c r="K49" s="461">
        <v>5666.0</v>
      </c>
      <c r="L49" s="461">
        <v>5956.0</v>
      </c>
      <c r="M49" s="461">
        <v>5153.0</v>
      </c>
      <c r="N49" s="461">
        <v>5891.0</v>
      </c>
      <c r="O49" s="461">
        <v>5607.0</v>
      </c>
      <c r="P49" s="461">
        <v>5580.0</v>
      </c>
      <c r="Q49" s="461">
        <v>6157.0</v>
      </c>
    </row>
    <row r="50" ht="15.75" customHeight="1">
      <c r="A50" s="155">
        <v>-33.38144958</v>
      </c>
      <c r="B50" s="155">
        <v>-70.56353561</v>
      </c>
      <c r="C50" s="155" t="s">
        <v>28</v>
      </c>
      <c r="D50" s="461">
        <v>4222.0</v>
      </c>
      <c r="E50" s="461">
        <v>3244.0</v>
      </c>
      <c r="F50" s="461">
        <v>3180.0</v>
      </c>
      <c r="G50" s="461">
        <v>3328.0</v>
      </c>
      <c r="H50" s="461">
        <v>2861.0</v>
      </c>
      <c r="I50" s="461">
        <v>2953.0</v>
      </c>
      <c r="J50" s="461">
        <v>2546.0</v>
      </c>
      <c r="K50" s="461">
        <v>2563.0</v>
      </c>
      <c r="L50" s="461">
        <v>2695.0</v>
      </c>
      <c r="M50" s="461">
        <v>2332.0</v>
      </c>
      <c r="N50" s="461">
        <v>2665.0</v>
      </c>
      <c r="O50" s="461">
        <v>2537.0</v>
      </c>
      <c r="P50" s="461">
        <v>2525.0</v>
      </c>
      <c r="Q50" s="461">
        <v>2786.0</v>
      </c>
    </row>
    <row r="51" ht="15.75" customHeight="1">
      <c r="A51" s="155">
        <v>-33.42043055</v>
      </c>
      <c r="B51" s="155">
        <v>-70.73374457</v>
      </c>
      <c r="C51" s="155" t="s">
        <v>30</v>
      </c>
      <c r="D51" s="461">
        <v>5798.0</v>
      </c>
      <c r="E51" s="461">
        <v>4454.0</v>
      </c>
      <c r="F51" s="461">
        <v>4367.0</v>
      </c>
      <c r="G51" s="461">
        <v>4570.0</v>
      </c>
      <c r="H51" s="461">
        <v>3929.0</v>
      </c>
      <c r="I51" s="461">
        <v>4054.0</v>
      </c>
      <c r="J51" s="461">
        <v>3496.0</v>
      </c>
      <c r="K51" s="461">
        <v>3520.0</v>
      </c>
      <c r="L51" s="461">
        <v>3700.0</v>
      </c>
      <c r="M51" s="461">
        <v>3201.0</v>
      </c>
      <c r="N51" s="461">
        <v>3659.0</v>
      </c>
      <c r="O51" s="461">
        <v>3483.0</v>
      </c>
      <c r="P51" s="461">
        <v>3466.0</v>
      </c>
      <c r="Q51" s="461">
        <v>3825.0</v>
      </c>
    </row>
    <row r="52" ht="15.75" customHeight="1">
      <c r="A52" s="155">
        <v>-33.47994856</v>
      </c>
      <c r="B52" s="155">
        <v>-70.66119652</v>
      </c>
      <c r="C52" s="155" t="s">
        <v>32</v>
      </c>
      <c r="D52" s="461">
        <v>4488.0</v>
      </c>
      <c r="E52" s="461">
        <v>3448.0</v>
      </c>
      <c r="F52" s="461">
        <v>3381.0</v>
      </c>
      <c r="G52" s="461">
        <v>3538.0</v>
      </c>
      <c r="H52" s="461">
        <v>3042.0</v>
      </c>
      <c r="I52" s="461">
        <v>3139.0</v>
      </c>
      <c r="J52" s="461">
        <v>2706.0</v>
      </c>
      <c r="K52" s="461">
        <v>2725.0</v>
      </c>
      <c r="L52" s="461">
        <v>2864.0</v>
      </c>
      <c r="M52" s="461">
        <v>2478.0</v>
      </c>
      <c r="N52" s="461">
        <v>2833.0</v>
      </c>
      <c r="O52" s="461">
        <v>2696.0</v>
      </c>
      <c r="P52" s="461">
        <v>2683.0</v>
      </c>
      <c r="Q52" s="461">
        <v>2961.0</v>
      </c>
    </row>
    <row r="53" ht="15.75" customHeight="1">
      <c r="A53" s="155">
        <v>-33.56691611</v>
      </c>
      <c r="B53" s="155">
        <v>-70.68212062</v>
      </c>
      <c r="C53" s="155" t="s">
        <v>34</v>
      </c>
      <c r="D53" s="461">
        <v>7108.0</v>
      </c>
      <c r="E53" s="461">
        <v>5461.0</v>
      </c>
      <c r="F53" s="461">
        <v>5354.0</v>
      </c>
      <c r="G53" s="461">
        <v>5602.0</v>
      </c>
      <c r="H53" s="461">
        <v>4817.0</v>
      </c>
      <c r="I53" s="461">
        <v>4970.0</v>
      </c>
      <c r="J53" s="461">
        <v>4286.0</v>
      </c>
      <c r="K53" s="461">
        <v>4315.0</v>
      </c>
      <c r="L53" s="461">
        <v>4536.0</v>
      </c>
      <c r="M53" s="461">
        <v>3925.0</v>
      </c>
      <c r="N53" s="461">
        <v>4486.0</v>
      </c>
      <c r="O53" s="461">
        <v>4270.0</v>
      </c>
      <c r="P53" s="461">
        <v>4250.0</v>
      </c>
      <c r="Q53" s="461">
        <v>4689.0</v>
      </c>
    </row>
    <row r="54" ht="15.75" customHeight="1">
      <c r="A54" s="155">
        <v>-33.52255651</v>
      </c>
      <c r="B54" s="155">
        <v>-70.77217402</v>
      </c>
      <c r="C54" s="155" t="s">
        <v>36</v>
      </c>
      <c r="D54" s="461">
        <v>23309.0</v>
      </c>
      <c r="E54" s="461">
        <v>17908.0</v>
      </c>
      <c r="F54" s="461">
        <v>17557.0</v>
      </c>
      <c r="G54" s="461">
        <v>18372.0</v>
      </c>
      <c r="H54" s="461">
        <v>15796.0</v>
      </c>
      <c r="I54" s="461">
        <v>16300.0</v>
      </c>
      <c r="J54" s="461">
        <v>14055.0</v>
      </c>
      <c r="K54" s="461">
        <v>14151.0</v>
      </c>
      <c r="L54" s="461">
        <v>14876.0</v>
      </c>
      <c r="M54" s="461">
        <v>12871.0</v>
      </c>
      <c r="N54" s="461">
        <v>14712.0</v>
      </c>
      <c r="O54" s="461">
        <v>14004.0</v>
      </c>
      <c r="P54" s="461">
        <v>13936.0</v>
      </c>
      <c r="Q54" s="461">
        <v>15378.0</v>
      </c>
    </row>
    <row r="55" ht="15.75" customHeight="1">
      <c r="A55" s="155">
        <v>-33.53890618</v>
      </c>
      <c r="B55" s="155">
        <v>-70.5892348</v>
      </c>
      <c r="C55" s="155" t="s">
        <v>38</v>
      </c>
      <c r="D55" s="461">
        <v>17274.0</v>
      </c>
      <c r="E55" s="461">
        <v>13272.0</v>
      </c>
      <c r="F55" s="461">
        <v>13011.0</v>
      </c>
      <c r="G55" s="461">
        <v>13615.0</v>
      </c>
      <c r="H55" s="461">
        <v>11707.0</v>
      </c>
      <c r="I55" s="461">
        <v>12080.0</v>
      </c>
      <c r="J55" s="461">
        <v>10416.0</v>
      </c>
      <c r="K55" s="461">
        <v>10487.0</v>
      </c>
      <c r="L55" s="461">
        <v>11024.0</v>
      </c>
      <c r="M55" s="461">
        <v>9539.0</v>
      </c>
      <c r="N55" s="461">
        <v>10903.0</v>
      </c>
      <c r="O55" s="461">
        <v>10378.0</v>
      </c>
      <c r="P55" s="461">
        <v>10328.0</v>
      </c>
      <c r="Q55" s="461">
        <v>11397.0</v>
      </c>
    </row>
    <row r="56" ht="15.75" customHeight="1">
      <c r="E56" s="461">
        <v>70350.0</v>
      </c>
      <c r="F56" s="461">
        <v>68969.0</v>
      </c>
      <c r="G56" s="461">
        <v>72172.0</v>
      </c>
      <c r="H56" s="461">
        <v>62054.0</v>
      </c>
      <c r="I56" s="461">
        <v>64032.0</v>
      </c>
      <c r="J56" s="461">
        <v>55214.0</v>
      </c>
      <c r="K56" s="461">
        <v>55590.0</v>
      </c>
      <c r="L56" s="461">
        <v>58437.0</v>
      </c>
      <c r="M56" s="461">
        <v>50563.0</v>
      </c>
      <c r="N56" s="461">
        <v>57796.0</v>
      </c>
      <c r="O56" s="461">
        <v>55013.0</v>
      </c>
      <c r="P56" s="461">
        <v>54747.0</v>
      </c>
      <c r="Q56" s="461">
        <v>60411.0</v>
      </c>
      <c r="R56" s="461">
        <v>72172.0</v>
      </c>
    </row>
    <row r="57" ht="15.75" customHeight="1">
      <c r="C57" s="155" t="s">
        <v>31</v>
      </c>
    </row>
    <row r="58" ht="15.75" customHeight="1">
      <c r="A58" s="155">
        <v>-33.34335643</v>
      </c>
      <c r="B58" s="155">
        <v>-70.52466882</v>
      </c>
      <c r="C58" s="155" t="s">
        <v>22</v>
      </c>
      <c r="D58" s="461">
        <v>4034.0</v>
      </c>
      <c r="E58" s="155">
        <v>587.0</v>
      </c>
      <c r="F58" s="461">
        <v>1409.0</v>
      </c>
      <c r="G58" s="155">
        <v>671.0</v>
      </c>
      <c r="H58" s="155">
        <v>738.0</v>
      </c>
      <c r="I58" s="155">
        <v>908.0</v>
      </c>
      <c r="J58" s="155">
        <v>812.0</v>
      </c>
      <c r="K58" s="155">
        <v>987.0</v>
      </c>
      <c r="L58" s="155">
        <v>852.0</v>
      </c>
      <c r="M58" s="155">
        <v>753.0</v>
      </c>
      <c r="N58" s="461">
        <v>11077.0</v>
      </c>
      <c r="O58" s="155">
        <v>893.0</v>
      </c>
      <c r="P58" s="155">
        <v>691.0</v>
      </c>
      <c r="Q58" s="461">
        <v>1698.0</v>
      </c>
    </row>
    <row r="59" ht="15.75" customHeight="1">
      <c r="A59" s="155">
        <v>-33.42627012</v>
      </c>
      <c r="B59" s="155">
        <v>-70.54486003</v>
      </c>
      <c r="C59" s="155" t="s">
        <v>24</v>
      </c>
      <c r="D59" s="461">
        <v>16001.0</v>
      </c>
      <c r="E59" s="461">
        <v>2328.0</v>
      </c>
      <c r="F59" s="461">
        <v>5588.0</v>
      </c>
      <c r="G59" s="461">
        <v>2663.0</v>
      </c>
      <c r="H59" s="461">
        <v>2927.0</v>
      </c>
      <c r="I59" s="461">
        <v>3603.0</v>
      </c>
      <c r="J59" s="461">
        <v>3221.0</v>
      </c>
      <c r="K59" s="461">
        <v>3915.0</v>
      </c>
      <c r="L59" s="461">
        <v>3381.0</v>
      </c>
      <c r="M59" s="461">
        <v>2986.0</v>
      </c>
      <c r="N59" s="461">
        <v>43935.0</v>
      </c>
      <c r="O59" s="461">
        <v>3543.0</v>
      </c>
      <c r="P59" s="461">
        <v>2743.0</v>
      </c>
      <c r="Q59" s="461">
        <v>6736.0</v>
      </c>
    </row>
    <row r="60" ht="15.75" customHeight="1">
      <c r="A60" s="155">
        <v>-33.43795143</v>
      </c>
      <c r="B60" s="155">
        <v>-70.61132569</v>
      </c>
      <c r="C60" s="155" t="s">
        <v>26</v>
      </c>
      <c r="D60" s="461">
        <v>9332.0</v>
      </c>
      <c r="E60" s="461">
        <v>1358.0</v>
      </c>
      <c r="F60" s="461">
        <v>3259.0</v>
      </c>
      <c r="G60" s="461">
        <v>1553.0</v>
      </c>
      <c r="H60" s="461">
        <v>1707.0</v>
      </c>
      <c r="I60" s="461">
        <v>2102.0</v>
      </c>
      <c r="J60" s="461">
        <v>1879.0</v>
      </c>
      <c r="K60" s="461">
        <v>2284.0</v>
      </c>
      <c r="L60" s="461">
        <v>1972.0</v>
      </c>
      <c r="M60" s="461">
        <v>1741.0</v>
      </c>
      <c r="N60" s="461">
        <v>25624.0</v>
      </c>
      <c r="O60" s="461">
        <v>2066.0</v>
      </c>
      <c r="P60" s="461">
        <v>1600.0</v>
      </c>
      <c r="Q60" s="461">
        <v>3929.0</v>
      </c>
    </row>
    <row r="61" ht="15.75" customHeight="1">
      <c r="A61" s="155">
        <v>-33.38144958</v>
      </c>
      <c r="B61" s="155">
        <v>-70.56353561</v>
      </c>
      <c r="C61" s="155" t="s">
        <v>28</v>
      </c>
      <c r="D61" s="461">
        <v>4222.0</v>
      </c>
      <c r="E61" s="155">
        <v>614.0</v>
      </c>
      <c r="F61" s="461">
        <v>1475.0</v>
      </c>
      <c r="G61" s="155">
        <v>703.0</v>
      </c>
      <c r="H61" s="155">
        <v>772.0</v>
      </c>
      <c r="I61" s="155">
        <v>951.0</v>
      </c>
      <c r="J61" s="155">
        <v>850.0</v>
      </c>
      <c r="K61" s="461">
        <v>1033.0</v>
      </c>
      <c r="L61" s="155">
        <v>892.0</v>
      </c>
      <c r="M61" s="155">
        <v>788.0</v>
      </c>
      <c r="N61" s="461">
        <v>11594.0</v>
      </c>
      <c r="O61" s="155">
        <v>935.0</v>
      </c>
      <c r="P61" s="155">
        <v>724.0</v>
      </c>
      <c r="Q61" s="461">
        <v>1778.0</v>
      </c>
    </row>
    <row r="62" ht="15.75" customHeight="1">
      <c r="A62" s="155">
        <v>-33.42043055</v>
      </c>
      <c r="B62" s="155">
        <v>-70.73374457</v>
      </c>
      <c r="C62" s="155" t="s">
        <v>30</v>
      </c>
      <c r="D62" s="461">
        <v>5798.0</v>
      </c>
      <c r="E62" s="155">
        <v>844.0</v>
      </c>
      <c r="F62" s="461">
        <v>2025.0</v>
      </c>
      <c r="G62" s="155">
        <v>965.0</v>
      </c>
      <c r="H62" s="461">
        <v>1060.0</v>
      </c>
      <c r="I62" s="461">
        <v>1306.0</v>
      </c>
      <c r="J62" s="461">
        <v>1167.0</v>
      </c>
      <c r="K62" s="461">
        <v>1419.0</v>
      </c>
      <c r="L62" s="461">
        <v>1225.0</v>
      </c>
      <c r="M62" s="461">
        <v>1082.0</v>
      </c>
      <c r="N62" s="461">
        <v>15919.0</v>
      </c>
      <c r="O62" s="461">
        <v>1284.0</v>
      </c>
      <c r="P62" s="155">
        <v>994.0</v>
      </c>
      <c r="Q62" s="461">
        <v>2441.0</v>
      </c>
    </row>
    <row r="63" ht="15.75" customHeight="1">
      <c r="A63" s="155">
        <v>-33.47994856</v>
      </c>
      <c r="B63" s="155">
        <v>-70.66119652</v>
      </c>
      <c r="C63" s="155" t="s">
        <v>32</v>
      </c>
      <c r="D63" s="461">
        <v>4488.0</v>
      </c>
      <c r="E63" s="155">
        <v>653.0</v>
      </c>
      <c r="F63" s="461">
        <v>1567.0</v>
      </c>
      <c r="G63" s="155">
        <v>747.0</v>
      </c>
      <c r="H63" s="155">
        <v>821.0</v>
      </c>
      <c r="I63" s="461">
        <v>1011.0</v>
      </c>
      <c r="J63" s="155">
        <v>903.0</v>
      </c>
      <c r="K63" s="461">
        <v>1098.0</v>
      </c>
      <c r="L63" s="155">
        <v>948.0</v>
      </c>
      <c r="M63" s="155">
        <v>837.0</v>
      </c>
      <c r="N63" s="461">
        <v>12324.0</v>
      </c>
      <c r="O63" s="155">
        <v>994.0</v>
      </c>
      <c r="P63" s="155">
        <v>769.0</v>
      </c>
      <c r="Q63" s="461">
        <v>1889.0</v>
      </c>
    </row>
    <row r="64" ht="15.75" customHeight="1">
      <c r="A64" s="155">
        <v>-33.56691611</v>
      </c>
      <c r="B64" s="155">
        <v>-70.68212062</v>
      </c>
      <c r="C64" s="155" t="s">
        <v>34</v>
      </c>
      <c r="D64" s="461">
        <v>7108.0</v>
      </c>
      <c r="E64" s="461">
        <v>1034.0</v>
      </c>
      <c r="F64" s="461">
        <v>2482.0</v>
      </c>
      <c r="G64" s="461">
        <v>1183.0</v>
      </c>
      <c r="H64" s="461">
        <v>1300.0</v>
      </c>
      <c r="I64" s="461">
        <v>1601.0</v>
      </c>
      <c r="J64" s="461">
        <v>1431.0</v>
      </c>
      <c r="K64" s="461">
        <v>1739.0</v>
      </c>
      <c r="L64" s="461">
        <v>1502.0</v>
      </c>
      <c r="M64" s="461">
        <v>1326.0</v>
      </c>
      <c r="N64" s="461">
        <v>19516.0</v>
      </c>
      <c r="O64" s="461">
        <v>1574.0</v>
      </c>
      <c r="P64" s="461">
        <v>1218.0</v>
      </c>
      <c r="Q64" s="461">
        <v>2992.0</v>
      </c>
    </row>
    <row r="65" ht="15.75" customHeight="1">
      <c r="A65" s="155">
        <v>-33.52255651</v>
      </c>
      <c r="B65" s="155">
        <v>-70.77217402</v>
      </c>
      <c r="C65" s="155" t="s">
        <v>36</v>
      </c>
      <c r="D65" s="461">
        <v>23309.0</v>
      </c>
      <c r="E65" s="461">
        <v>3391.0</v>
      </c>
      <c r="F65" s="461">
        <v>8140.0</v>
      </c>
      <c r="G65" s="461">
        <v>3879.0</v>
      </c>
      <c r="H65" s="461">
        <v>4263.0</v>
      </c>
      <c r="I65" s="461">
        <v>5249.0</v>
      </c>
      <c r="J65" s="461">
        <v>4692.0</v>
      </c>
      <c r="K65" s="461">
        <v>5704.0</v>
      </c>
      <c r="L65" s="461">
        <v>4925.0</v>
      </c>
      <c r="M65" s="461">
        <v>4349.0</v>
      </c>
      <c r="N65" s="461">
        <v>64001.0</v>
      </c>
      <c r="O65" s="461">
        <v>5161.0</v>
      </c>
      <c r="P65" s="461">
        <v>3995.0</v>
      </c>
      <c r="Q65" s="461">
        <v>9812.0</v>
      </c>
    </row>
    <row r="66" ht="15.75" customHeight="1">
      <c r="A66" s="155">
        <v>-33.53890618</v>
      </c>
      <c r="B66" s="155">
        <v>-70.5892348</v>
      </c>
      <c r="C66" s="155" t="s">
        <v>38</v>
      </c>
      <c r="D66" s="461">
        <v>17274.0</v>
      </c>
      <c r="E66" s="461">
        <v>2513.0</v>
      </c>
      <c r="F66" s="461">
        <v>6033.0</v>
      </c>
      <c r="G66" s="461">
        <v>2874.0</v>
      </c>
      <c r="H66" s="461">
        <v>3159.0</v>
      </c>
      <c r="I66" s="461">
        <v>3890.0</v>
      </c>
      <c r="J66" s="461">
        <v>3477.0</v>
      </c>
      <c r="K66" s="461">
        <v>4227.0</v>
      </c>
      <c r="L66" s="461">
        <v>3650.0</v>
      </c>
      <c r="M66" s="461">
        <v>3223.0</v>
      </c>
      <c r="N66" s="461">
        <v>47431.0</v>
      </c>
      <c r="O66" s="461">
        <v>3824.0</v>
      </c>
      <c r="P66" s="461">
        <v>2961.0</v>
      </c>
      <c r="Q66" s="461">
        <v>7272.0</v>
      </c>
    </row>
    <row r="67" ht="15.75" customHeight="1">
      <c r="E67" s="461">
        <v>13323.0</v>
      </c>
      <c r="F67" s="461">
        <v>31979.0</v>
      </c>
      <c r="G67" s="461">
        <v>15237.0</v>
      </c>
      <c r="H67" s="461">
        <v>16747.0</v>
      </c>
      <c r="I67" s="461">
        <v>20621.0</v>
      </c>
      <c r="J67" s="461">
        <v>18432.0</v>
      </c>
      <c r="K67" s="461">
        <v>22406.0</v>
      </c>
      <c r="L67" s="461">
        <v>19348.0</v>
      </c>
      <c r="M67" s="461">
        <v>17086.0</v>
      </c>
      <c r="N67" s="461">
        <v>251421.0</v>
      </c>
      <c r="O67" s="461">
        <v>20273.0</v>
      </c>
      <c r="P67" s="461">
        <v>15694.0</v>
      </c>
      <c r="Q67" s="461">
        <v>38547.0</v>
      </c>
      <c r="R67" s="461">
        <v>251421.0</v>
      </c>
    </row>
    <row r="68" ht="15.75" customHeight="1">
      <c r="C68" s="155" t="s">
        <v>33</v>
      </c>
    </row>
    <row r="69" ht="15.75" customHeight="1">
      <c r="A69" s="155">
        <v>-33.34335643</v>
      </c>
      <c r="B69" s="155">
        <v>-70.52466882</v>
      </c>
      <c r="C69" s="155" t="s">
        <v>22</v>
      </c>
      <c r="D69" s="461">
        <v>4034.0</v>
      </c>
      <c r="E69" s="155">
        <v>0.0</v>
      </c>
      <c r="F69" s="155">
        <v>0.0</v>
      </c>
      <c r="G69" s="155">
        <v>0.0</v>
      </c>
      <c r="H69" s="155">
        <v>1.0</v>
      </c>
      <c r="I69" s="155">
        <v>0.0</v>
      </c>
      <c r="J69" s="155">
        <v>0.0</v>
      </c>
      <c r="K69" s="155">
        <v>0.0</v>
      </c>
      <c r="L69" s="155">
        <v>3.0</v>
      </c>
      <c r="M69" s="155">
        <v>63.0</v>
      </c>
      <c r="N69" s="155">
        <v>297.0</v>
      </c>
      <c r="O69" s="155">
        <v>252.0</v>
      </c>
      <c r="P69" s="155">
        <v>75.0</v>
      </c>
      <c r="Q69" s="155">
        <v>58.0</v>
      </c>
    </row>
    <row r="70" ht="15.75" customHeight="1">
      <c r="A70" s="155">
        <v>-33.42627012</v>
      </c>
      <c r="B70" s="155">
        <v>-70.54486003</v>
      </c>
      <c r="C70" s="155" t="s">
        <v>24</v>
      </c>
      <c r="D70" s="461">
        <v>16001.0</v>
      </c>
      <c r="E70" s="155">
        <v>2.0</v>
      </c>
      <c r="F70" s="155">
        <v>0.0</v>
      </c>
      <c r="G70" s="155">
        <v>0.0</v>
      </c>
      <c r="H70" s="155">
        <v>5.0</v>
      </c>
      <c r="I70" s="155">
        <v>2.0</v>
      </c>
      <c r="J70" s="155">
        <v>0.0</v>
      </c>
      <c r="K70" s="155">
        <v>0.0</v>
      </c>
      <c r="L70" s="155">
        <v>13.0</v>
      </c>
      <c r="M70" s="155">
        <v>251.0</v>
      </c>
      <c r="N70" s="461">
        <v>1176.0</v>
      </c>
      <c r="O70" s="155">
        <v>998.0</v>
      </c>
      <c r="P70" s="155">
        <v>299.0</v>
      </c>
      <c r="Q70" s="155">
        <v>229.0</v>
      </c>
    </row>
    <row r="71" ht="15.75" customHeight="1">
      <c r="A71" s="155">
        <v>-33.43795143</v>
      </c>
      <c r="B71" s="155">
        <v>-70.61132569</v>
      </c>
      <c r="C71" s="155" t="s">
        <v>26</v>
      </c>
      <c r="D71" s="461">
        <v>9332.0</v>
      </c>
      <c r="E71" s="155">
        <v>1.0</v>
      </c>
      <c r="F71" s="155">
        <v>0.0</v>
      </c>
      <c r="G71" s="155">
        <v>0.0</v>
      </c>
      <c r="H71" s="155">
        <v>3.0</v>
      </c>
      <c r="I71" s="155">
        <v>1.0</v>
      </c>
      <c r="J71" s="155">
        <v>0.0</v>
      </c>
      <c r="K71" s="155">
        <v>0.0</v>
      </c>
      <c r="L71" s="155">
        <v>7.0</v>
      </c>
      <c r="M71" s="155">
        <v>147.0</v>
      </c>
      <c r="N71" s="155">
        <v>686.0</v>
      </c>
      <c r="O71" s="155">
        <v>582.0</v>
      </c>
      <c r="P71" s="155">
        <v>175.0</v>
      </c>
      <c r="Q71" s="155">
        <v>133.0</v>
      </c>
    </row>
    <row r="72" ht="15.75" customHeight="1">
      <c r="A72" s="155">
        <v>-33.38144958</v>
      </c>
      <c r="B72" s="155">
        <v>-70.56353561</v>
      </c>
      <c r="C72" s="155" t="s">
        <v>28</v>
      </c>
      <c r="D72" s="461">
        <v>4222.0</v>
      </c>
      <c r="E72" s="155">
        <v>0.0</v>
      </c>
      <c r="F72" s="155">
        <v>0.0</v>
      </c>
      <c r="G72" s="155">
        <v>0.0</v>
      </c>
      <c r="H72" s="155">
        <v>1.0</v>
      </c>
      <c r="I72" s="155">
        <v>0.0</v>
      </c>
      <c r="J72" s="155">
        <v>0.0</v>
      </c>
      <c r="K72" s="155">
        <v>0.0</v>
      </c>
      <c r="L72" s="155">
        <v>3.0</v>
      </c>
      <c r="M72" s="155">
        <v>66.0</v>
      </c>
      <c r="N72" s="155">
        <v>310.0</v>
      </c>
      <c r="O72" s="155">
        <v>263.0</v>
      </c>
      <c r="P72" s="155">
        <v>79.0</v>
      </c>
      <c r="Q72" s="155">
        <v>60.0</v>
      </c>
    </row>
    <row r="73" ht="15.75" customHeight="1">
      <c r="A73" s="155">
        <v>-33.42043055</v>
      </c>
      <c r="B73" s="155">
        <v>-70.73374457</v>
      </c>
      <c r="C73" s="155" t="s">
        <v>30</v>
      </c>
      <c r="D73" s="461">
        <v>5798.0</v>
      </c>
      <c r="E73" s="155">
        <v>1.0</v>
      </c>
      <c r="F73" s="155">
        <v>0.0</v>
      </c>
      <c r="G73" s="155">
        <v>0.0</v>
      </c>
      <c r="H73" s="155">
        <v>2.0</v>
      </c>
      <c r="I73" s="155">
        <v>1.0</v>
      </c>
      <c r="J73" s="155">
        <v>0.0</v>
      </c>
      <c r="K73" s="155">
        <v>0.0</v>
      </c>
      <c r="L73" s="155">
        <v>5.0</v>
      </c>
      <c r="M73" s="155">
        <v>91.0</v>
      </c>
      <c r="N73" s="155">
        <v>426.0</v>
      </c>
      <c r="O73" s="155">
        <v>362.0</v>
      </c>
      <c r="P73" s="155">
        <v>108.0</v>
      </c>
      <c r="Q73" s="155">
        <v>83.0</v>
      </c>
    </row>
    <row r="74" ht="15.75" customHeight="1">
      <c r="A74" s="155">
        <v>-33.47994856</v>
      </c>
      <c r="B74" s="155">
        <v>-70.66119652</v>
      </c>
      <c r="C74" s="155" t="s">
        <v>32</v>
      </c>
      <c r="D74" s="461">
        <v>4488.0</v>
      </c>
      <c r="E74" s="155">
        <v>0.0</v>
      </c>
      <c r="F74" s="155">
        <v>0.0</v>
      </c>
      <c r="G74" s="155">
        <v>0.0</v>
      </c>
      <c r="H74" s="155">
        <v>1.0</v>
      </c>
      <c r="I74" s="155">
        <v>0.0</v>
      </c>
      <c r="J74" s="155">
        <v>0.0</v>
      </c>
      <c r="K74" s="155">
        <v>0.0</v>
      </c>
      <c r="L74" s="155">
        <v>4.0</v>
      </c>
      <c r="M74" s="155">
        <v>70.0</v>
      </c>
      <c r="N74" s="155">
        <v>330.0</v>
      </c>
      <c r="O74" s="155">
        <v>280.0</v>
      </c>
      <c r="P74" s="155">
        <v>84.0</v>
      </c>
      <c r="Q74" s="155">
        <v>64.0</v>
      </c>
    </row>
    <row r="75" ht="15.75" customHeight="1">
      <c r="A75" s="155">
        <v>-33.56691611</v>
      </c>
      <c r="B75" s="155">
        <v>-70.68212062</v>
      </c>
      <c r="C75" s="155" t="s">
        <v>34</v>
      </c>
      <c r="D75" s="461">
        <v>7108.0</v>
      </c>
      <c r="E75" s="155">
        <v>1.0</v>
      </c>
      <c r="F75" s="155">
        <v>0.0</v>
      </c>
      <c r="G75" s="155">
        <v>0.0</v>
      </c>
      <c r="H75" s="155">
        <v>2.0</v>
      </c>
      <c r="I75" s="155">
        <v>1.0</v>
      </c>
      <c r="J75" s="155">
        <v>0.0</v>
      </c>
      <c r="K75" s="155">
        <v>0.0</v>
      </c>
      <c r="L75" s="155">
        <v>6.0</v>
      </c>
      <c r="M75" s="155">
        <v>112.0</v>
      </c>
      <c r="N75" s="155">
        <v>522.0</v>
      </c>
      <c r="O75" s="155">
        <v>444.0</v>
      </c>
      <c r="P75" s="155">
        <v>133.0</v>
      </c>
      <c r="Q75" s="155">
        <v>102.0</v>
      </c>
    </row>
    <row r="76" ht="15.75" customHeight="1">
      <c r="A76" s="155">
        <v>-33.52255651</v>
      </c>
      <c r="B76" s="155">
        <v>-70.77217402</v>
      </c>
      <c r="C76" s="155" t="s">
        <v>36</v>
      </c>
      <c r="D76" s="461">
        <v>23309.0</v>
      </c>
      <c r="E76" s="155">
        <v>2.0</v>
      </c>
      <c r="F76" s="155">
        <v>0.0</v>
      </c>
      <c r="G76" s="155">
        <v>0.0</v>
      </c>
      <c r="H76" s="155">
        <v>7.0</v>
      </c>
      <c r="I76" s="155">
        <v>2.0</v>
      </c>
      <c r="J76" s="155">
        <v>0.0</v>
      </c>
      <c r="K76" s="155">
        <v>0.0</v>
      </c>
      <c r="L76" s="155">
        <v>19.0</v>
      </c>
      <c r="M76" s="155">
        <v>366.0</v>
      </c>
      <c r="N76" s="461">
        <v>1713.0</v>
      </c>
      <c r="O76" s="461">
        <v>1454.0</v>
      </c>
      <c r="P76" s="155">
        <v>436.0</v>
      </c>
      <c r="Q76" s="155">
        <v>333.0</v>
      </c>
    </row>
    <row r="77" ht="15.75" customHeight="1">
      <c r="A77" s="155">
        <v>-33.53890618</v>
      </c>
      <c r="B77" s="155">
        <v>-70.5892348</v>
      </c>
      <c r="C77" s="155" t="s">
        <v>38</v>
      </c>
      <c r="D77" s="461">
        <v>17274.0</v>
      </c>
      <c r="E77" s="155">
        <v>2.0</v>
      </c>
      <c r="F77" s="155">
        <v>0.0</v>
      </c>
      <c r="G77" s="155">
        <v>0.0</v>
      </c>
      <c r="H77" s="155">
        <v>5.0</v>
      </c>
      <c r="I77" s="155">
        <v>2.0</v>
      </c>
      <c r="J77" s="155">
        <v>0.0</v>
      </c>
      <c r="K77" s="155">
        <v>0.0</v>
      </c>
      <c r="L77" s="155">
        <v>14.0</v>
      </c>
      <c r="M77" s="155">
        <v>271.0</v>
      </c>
      <c r="N77" s="461">
        <v>1270.0</v>
      </c>
      <c r="O77" s="461">
        <v>1078.0</v>
      </c>
      <c r="P77" s="155">
        <v>323.0</v>
      </c>
      <c r="Q77" s="155">
        <v>247.0</v>
      </c>
    </row>
    <row r="78" ht="15.75" customHeight="1">
      <c r="E78" s="155">
        <v>9.0</v>
      </c>
      <c r="F78" s="155">
        <v>0.0</v>
      </c>
      <c r="G78" s="155">
        <v>0.0</v>
      </c>
      <c r="H78" s="155">
        <v>27.0</v>
      </c>
      <c r="I78" s="155">
        <v>9.0</v>
      </c>
      <c r="J78" s="155">
        <v>0.0</v>
      </c>
      <c r="K78" s="155">
        <v>0.0</v>
      </c>
      <c r="L78" s="155">
        <v>73.0</v>
      </c>
      <c r="M78" s="461">
        <v>1438.0</v>
      </c>
      <c r="N78" s="461">
        <v>6730.0</v>
      </c>
      <c r="O78" s="461">
        <v>5714.0</v>
      </c>
      <c r="P78" s="461">
        <v>1712.0</v>
      </c>
      <c r="Q78" s="461">
        <v>1309.0</v>
      </c>
      <c r="R78" s="461">
        <v>6730.0</v>
      </c>
    </row>
    <row r="79" ht="15.75" customHeight="1">
      <c r="C79" s="155" t="s">
        <v>35</v>
      </c>
    </row>
    <row r="80" ht="15.75" customHeight="1">
      <c r="A80" s="155">
        <v>-33.34335643</v>
      </c>
      <c r="B80" s="155">
        <v>-70.52466882</v>
      </c>
      <c r="C80" s="155" t="s">
        <v>22</v>
      </c>
      <c r="D80" s="461">
        <v>4034.0</v>
      </c>
      <c r="E80" s="461">
        <v>4679.0</v>
      </c>
      <c r="F80" s="461">
        <v>4303.0</v>
      </c>
      <c r="G80" s="461">
        <v>5709.0</v>
      </c>
      <c r="H80" s="461">
        <v>5168.0</v>
      </c>
      <c r="I80" s="461">
        <v>5548.0</v>
      </c>
      <c r="J80" s="461">
        <v>5621.0</v>
      </c>
      <c r="K80" s="461">
        <v>5247.0</v>
      </c>
      <c r="L80" s="461">
        <v>5206.0</v>
      </c>
      <c r="M80" s="461">
        <v>4027.0</v>
      </c>
      <c r="N80" s="461">
        <v>3800.0</v>
      </c>
      <c r="O80" s="461">
        <v>4130.0</v>
      </c>
      <c r="P80" s="461">
        <v>3786.0</v>
      </c>
      <c r="Q80" s="461">
        <v>4769.0</v>
      </c>
    </row>
    <row r="81" ht="15.75" customHeight="1">
      <c r="A81" s="155">
        <v>-33.42627012</v>
      </c>
      <c r="B81" s="155">
        <v>-70.54486003</v>
      </c>
      <c r="C81" s="155" t="s">
        <v>24</v>
      </c>
      <c r="D81" s="461">
        <v>16001.0</v>
      </c>
      <c r="E81" s="461">
        <v>18559.0</v>
      </c>
      <c r="F81" s="461">
        <v>17067.0</v>
      </c>
      <c r="G81" s="461">
        <v>22644.0</v>
      </c>
      <c r="H81" s="461">
        <v>20497.0</v>
      </c>
      <c r="I81" s="461">
        <v>22004.0</v>
      </c>
      <c r="J81" s="461">
        <v>22294.0</v>
      </c>
      <c r="K81" s="461">
        <v>20812.0</v>
      </c>
      <c r="L81" s="461">
        <v>20651.0</v>
      </c>
      <c r="M81" s="461">
        <v>15972.0</v>
      </c>
      <c r="N81" s="461">
        <v>15071.0</v>
      </c>
      <c r="O81" s="461">
        <v>16380.0</v>
      </c>
      <c r="P81" s="461">
        <v>15017.0</v>
      </c>
      <c r="Q81" s="461">
        <v>18914.0</v>
      </c>
    </row>
    <row r="82" ht="15.75" customHeight="1">
      <c r="A82" s="155">
        <v>-33.43795143</v>
      </c>
      <c r="B82" s="155">
        <v>-70.61132569</v>
      </c>
      <c r="C82" s="155" t="s">
        <v>26</v>
      </c>
      <c r="D82" s="461">
        <v>9332.0</v>
      </c>
      <c r="E82" s="461">
        <v>10824.0</v>
      </c>
      <c r="F82" s="461">
        <v>9954.0</v>
      </c>
      <c r="G82" s="461">
        <v>13207.0</v>
      </c>
      <c r="H82" s="461">
        <v>11955.0</v>
      </c>
      <c r="I82" s="461">
        <v>12834.0</v>
      </c>
      <c r="J82" s="461">
        <v>13003.0</v>
      </c>
      <c r="K82" s="461">
        <v>12138.0</v>
      </c>
      <c r="L82" s="461">
        <v>12044.0</v>
      </c>
      <c r="M82" s="461">
        <v>9315.0</v>
      </c>
      <c r="N82" s="461">
        <v>8790.0</v>
      </c>
      <c r="O82" s="461">
        <v>9553.0</v>
      </c>
      <c r="P82" s="461">
        <v>8758.0</v>
      </c>
      <c r="Q82" s="461">
        <v>11031.0</v>
      </c>
    </row>
    <row r="83" ht="15.75" customHeight="1">
      <c r="A83" s="155">
        <v>-33.38144958</v>
      </c>
      <c r="B83" s="155">
        <v>-70.56353561</v>
      </c>
      <c r="C83" s="155" t="s">
        <v>28</v>
      </c>
      <c r="D83" s="461">
        <v>4222.0</v>
      </c>
      <c r="E83" s="461">
        <v>4898.0</v>
      </c>
      <c r="F83" s="461">
        <v>4504.0</v>
      </c>
      <c r="G83" s="461">
        <v>5975.0</v>
      </c>
      <c r="H83" s="461">
        <v>5409.0</v>
      </c>
      <c r="I83" s="461">
        <v>5807.0</v>
      </c>
      <c r="J83" s="461">
        <v>5883.0</v>
      </c>
      <c r="K83" s="461">
        <v>5492.0</v>
      </c>
      <c r="L83" s="461">
        <v>5449.0</v>
      </c>
      <c r="M83" s="461">
        <v>4215.0</v>
      </c>
      <c r="N83" s="461">
        <v>3977.0</v>
      </c>
      <c r="O83" s="461">
        <v>4322.0</v>
      </c>
      <c r="P83" s="461">
        <v>3963.0</v>
      </c>
      <c r="Q83" s="461">
        <v>4991.0</v>
      </c>
    </row>
    <row r="84" ht="15.75" customHeight="1">
      <c r="A84" s="155">
        <v>-33.42043055</v>
      </c>
      <c r="B84" s="155">
        <v>-70.73374457</v>
      </c>
      <c r="C84" s="155" t="s">
        <v>30</v>
      </c>
      <c r="D84" s="461">
        <v>5798.0</v>
      </c>
      <c r="E84" s="461">
        <v>6725.0</v>
      </c>
      <c r="F84" s="461">
        <v>6184.0</v>
      </c>
      <c r="G84" s="461">
        <v>8205.0</v>
      </c>
      <c r="H84" s="461">
        <v>7427.0</v>
      </c>
      <c r="I84" s="461">
        <v>7973.0</v>
      </c>
      <c r="J84" s="461">
        <v>8078.0</v>
      </c>
      <c r="K84" s="461">
        <v>7541.0</v>
      </c>
      <c r="L84" s="461">
        <v>7482.0</v>
      </c>
      <c r="M84" s="461">
        <v>5787.0</v>
      </c>
      <c r="N84" s="461">
        <v>5461.0</v>
      </c>
      <c r="O84" s="461">
        <v>5935.0</v>
      </c>
      <c r="P84" s="461">
        <v>5441.0</v>
      </c>
      <c r="Q84" s="461">
        <v>6853.0</v>
      </c>
    </row>
    <row r="85" ht="15.75" customHeight="1">
      <c r="A85" s="155">
        <v>-33.47994856</v>
      </c>
      <c r="B85" s="155">
        <v>-70.66119652</v>
      </c>
      <c r="C85" s="155" t="s">
        <v>32</v>
      </c>
      <c r="D85" s="461">
        <v>4488.0</v>
      </c>
      <c r="E85" s="461">
        <v>5206.0</v>
      </c>
      <c r="F85" s="461">
        <v>4787.0</v>
      </c>
      <c r="G85" s="461">
        <v>6352.0</v>
      </c>
      <c r="H85" s="461">
        <v>5749.0</v>
      </c>
      <c r="I85" s="461">
        <v>6172.0</v>
      </c>
      <c r="J85" s="461">
        <v>6253.0</v>
      </c>
      <c r="K85" s="461">
        <v>5838.0</v>
      </c>
      <c r="L85" s="461">
        <v>5792.0</v>
      </c>
      <c r="M85" s="461">
        <v>4480.0</v>
      </c>
      <c r="N85" s="461">
        <v>4227.0</v>
      </c>
      <c r="O85" s="461">
        <v>4595.0</v>
      </c>
      <c r="P85" s="461">
        <v>4212.0</v>
      </c>
      <c r="Q85" s="461">
        <v>5305.0</v>
      </c>
    </row>
    <row r="86" ht="15.75" customHeight="1">
      <c r="A86" s="155">
        <v>-33.56691611</v>
      </c>
      <c r="B86" s="155">
        <v>-70.68212062</v>
      </c>
      <c r="C86" s="155" t="s">
        <v>34</v>
      </c>
      <c r="D86" s="461">
        <v>7108.0</v>
      </c>
      <c r="E86" s="461">
        <v>8244.0</v>
      </c>
      <c r="F86" s="461">
        <v>7581.0</v>
      </c>
      <c r="G86" s="461">
        <v>10059.0</v>
      </c>
      <c r="H86" s="461">
        <v>9105.0</v>
      </c>
      <c r="I86" s="461">
        <v>9774.0</v>
      </c>
      <c r="J86" s="461">
        <v>9903.0</v>
      </c>
      <c r="K86" s="461">
        <v>9245.0</v>
      </c>
      <c r="L86" s="461">
        <v>9173.0</v>
      </c>
      <c r="M86" s="461">
        <v>7095.0</v>
      </c>
      <c r="N86" s="461">
        <v>6695.0</v>
      </c>
      <c r="O86" s="461">
        <v>7276.0</v>
      </c>
      <c r="P86" s="461">
        <v>6670.0</v>
      </c>
      <c r="Q86" s="461">
        <v>8402.0</v>
      </c>
    </row>
    <row r="87" ht="15.75" customHeight="1">
      <c r="A87" s="155">
        <v>-33.52255651</v>
      </c>
      <c r="B87" s="155">
        <v>-70.77217402</v>
      </c>
      <c r="C87" s="155" t="s">
        <v>36</v>
      </c>
      <c r="D87" s="461">
        <v>23309.0</v>
      </c>
      <c r="E87" s="461">
        <v>27036.0</v>
      </c>
      <c r="F87" s="461">
        <v>24862.0</v>
      </c>
      <c r="G87" s="461">
        <v>32986.0</v>
      </c>
      <c r="H87" s="461">
        <v>29858.0</v>
      </c>
      <c r="I87" s="461">
        <v>32054.0</v>
      </c>
      <c r="J87" s="461">
        <v>32476.0</v>
      </c>
      <c r="K87" s="461">
        <v>30318.0</v>
      </c>
      <c r="L87" s="461">
        <v>30082.0</v>
      </c>
      <c r="M87" s="461">
        <v>23267.0</v>
      </c>
      <c r="N87" s="461">
        <v>21954.0</v>
      </c>
      <c r="O87" s="461">
        <v>23861.0</v>
      </c>
      <c r="P87" s="461">
        <v>21875.0</v>
      </c>
      <c r="Q87" s="461">
        <v>27552.0</v>
      </c>
    </row>
    <row r="88" ht="15.75" customHeight="1">
      <c r="A88" s="155">
        <v>-33.53890618</v>
      </c>
      <c r="B88" s="155">
        <v>-70.5892348</v>
      </c>
      <c r="C88" s="155" t="s">
        <v>38</v>
      </c>
      <c r="D88" s="461">
        <v>17274.0</v>
      </c>
      <c r="E88" s="461">
        <v>20036.0</v>
      </c>
      <c r="F88" s="461">
        <v>18425.0</v>
      </c>
      <c r="G88" s="461">
        <v>24446.0</v>
      </c>
      <c r="H88" s="461">
        <v>22128.0</v>
      </c>
      <c r="I88" s="461">
        <v>23755.0</v>
      </c>
      <c r="J88" s="461">
        <v>24068.0</v>
      </c>
      <c r="K88" s="461">
        <v>22468.0</v>
      </c>
      <c r="L88" s="461">
        <v>22294.0</v>
      </c>
      <c r="M88" s="461">
        <v>17243.0</v>
      </c>
      <c r="N88" s="461">
        <v>16271.0</v>
      </c>
      <c r="O88" s="461">
        <v>17684.0</v>
      </c>
      <c r="P88" s="461">
        <v>16212.0</v>
      </c>
      <c r="Q88" s="461">
        <v>20419.0</v>
      </c>
    </row>
    <row r="89" ht="15.75" customHeight="1">
      <c r="E89" s="461">
        <v>106207.0</v>
      </c>
      <c r="F89" s="461">
        <v>97668.0</v>
      </c>
      <c r="G89" s="461">
        <v>129584.0</v>
      </c>
      <c r="H89" s="461">
        <v>117296.0</v>
      </c>
      <c r="I89" s="461">
        <v>125921.0</v>
      </c>
      <c r="J89" s="461">
        <v>127578.0</v>
      </c>
      <c r="K89" s="461">
        <v>119100.0</v>
      </c>
      <c r="L89" s="461">
        <v>118175.0</v>
      </c>
      <c r="M89" s="461">
        <v>91401.0</v>
      </c>
      <c r="N89" s="461">
        <v>86246.0</v>
      </c>
      <c r="O89" s="461">
        <v>93736.0</v>
      </c>
      <c r="P89" s="461">
        <v>85934.0</v>
      </c>
      <c r="Q89" s="461">
        <v>108237.0</v>
      </c>
      <c r="R89" s="461">
        <v>129584.0</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8.71"/>
  </cols>
  <sheetData>
    <row r="1">
      <c r="O1" s="394"/>
      <c r="P1" s="394"/>
      <c r="Q1" s="394"/>
      <c r="R1" s="394"/>
      <c r="S1" s="394"/>
      <c r="T1" s="394"/>
      <c r="U1" s="394"/>
      <c r="V1" s="394"/>
      <c r="W1" s="394"/>
      <c r="X1" s="394"/>
      <c r="Y1" s="394"/>
      <c r="Z1" s="394"/>
    </row>
    <row r="2">
      <c r="O2" s="394"/>
      <c r="P2" s="394"/>
      <c r="Q2" s="394"/>
      <c r="R2" s="394"/>
      <c r="S2" s="394"/>
      <c r="T2" s="394"/>
      <c r="U2" s="394"/>
      <c r="V2" s="394"/>
      <c r="W2" s="394"/>
      <c r="X2" s="394"/>
      <c r="Y2" s="394"/>
      <c r="Z2" s="394"/>
    </row>
    <row r="3">
      <c r="B3" s="472" t="s">
        <v>10</v>
      </c>
      <c r="C3" s="473" t="s">
        <v>706</v>
      </c>
      <c r="D3" s="473" t="s">
        <v>707</v>
      </c>
      <c r="E3" s="473" t="s">
        <v>708</v>
      </c>
      <c r="F3" s="394"/>
      <c r="G3" s="394"/>
      <c r="H3" s="394"/>
      <c r="I3" s="394"/>
      <c r="J3" s="394"/>
      <c r="K3" s="394"/>
      <c r="L3" s="394"/>
      <c r="M3" s="394"/>
      <c r="N3" s="394"/>
      <c r="O3" s="394"/>
      <c r="P3" s="394"/>
      <c r="Q3" s="394"/>
      <c r="R3" s="394"/>
      <c r="S3" s="394"/>
      <c r="T3" s="394"/>
      <c r="U3" s="394"/>
      <c r="V3" s="394"/>
      <c r="W3" s="394"/>
      <c r="X3" s="394"/>
      <c r="Y3" s="394"/>
      <c r="Z3" s="394"/>
    </row>
    <row r="4">
      <c r="B4" s="474" t="s">
        <v>21</v>
      </c>
      <c r="C4" s="475">
        <v>2.0</v>
      </c>
      <c r="D4" s="475">
        <v>14.0</v>
      </c>
      <c r="E4" s="476">
        <f>AVERAGE('Sourcing_costs_LT_and stdv'!C6:N6)</f>
        <v>374.75</v>
      </c>
      <c r="F4" s="394"/>
      <c r="G4" s="394"/>
      <c r="H4" s="394"/>
      <c r="I4" s="394"/>
      <c r="J4" s="394"/>
      <c r="K4" s="394"/>
      <c r="L4" s="394"/>
      <c r="M4" s="394"/>
      <c r="N4" s="394"/>
      <c r="O4" s="394"/>
      <c r="P4" s="394"/>
      <c r="Q4" s="394"/>
      <c r="R4" s="394"/>
      <c r="S4" s="394"/>
      <c r="T4" s="394"/>
      <c r="U4" s="394"/>
      <c r="V4" s="394"/>
      <c r="W4" s="394"/>
      <c r="X4" s="394"/>
      <c r="Y4" s="394"/>
      <c r="Z4" s="394"/>
    </row>
    <row r="5">
      <c r="B5" s="474" t="s">
        <v>23</v>
      </c>
      <c r="C5" s="475">
        <v>2.0</v>
      </c>
      <c r="D5" s="475">
        <v>22.0</v>
      </c>
      <c r="E5" s="477">
        <f>AVERAGE('Sourcing_costs_LT_and stdv'!C10:N10)</f>
        <v>425.5833333</v>
      </c>
      <c r="F5" s="394"/>
      <c r="G5" s="394"/>
      <c r="H5" s="394"/>
      <c r="I5" s="394"/>
      <c r="J5" s="394"/>
      <c r="K5" s="394"/>
      <c r="L5" s="394"/>
      <c r="M5" s="394"/>
      <c r="N5" s="394"/>
      <c r="O5" s="394"/>
      <c r="P5" s="394"/>
      <c r="Q5" s="394"/>
      <c r="R5" s="394"/>
      <c r="S5" s="394"/>
      <c r="T5" s="394"/>
      <c r="U5" s="394"/>
      <c r="V5" s="394"/>
      <c r="W5" s="394"/>
      <c r="X5" s="394"/>
      <c r="Y5" s="394"/>
      <c r="Z5" s="394"/>
    </row>
    <row r="6">
      <c r="B6" s="474" t="s">
        <v>25</v>
      </c>
      <c r="C6" s="475">
        <v>2.0</v>
      </c>
      <c r="D6" s="475">
        <v>12.0</v>
      </c>
      <c r="E6" s="477">
        <f>AVERAGE('Sourcing_costs_LT_and stdv'!C14:N14)</f>
        <v>926.5833333</v>
      </c>
      <c r="F6" s="394"/>
      <c r="G6" s="394"/>
      <c r="H6" s="394"/>
      <c r="I6" s="394"/>
      <c r="J6" s="394"/>
      <c r="K6" s="394"/>
      <c r="L6" s="394"/>
      <c r="M6" s="394"/>
      <c r="N6" s="394"/>
      <c r="O6" s="394"/>
      <c r="P6" s="394"/>
      <c r="Q6" s="394"/>
      <c r="R6" s="394"/>
      <c r="S6" s="394"/>
      <c r="T6" s="394"/>
      <c r="U6" s="394"/>
      <c r="V6" s="394"/>
      <c r="W6" s="394"/>
      <c r="X6" s="394"/>
      <c r="Y6" s="394"/>
      <c r="Z6" s="394"/>
    </row>
    <row r="7">
      <c r="B7" s="474" t="s">
        <v>27</v>
      </c>
      <c r="C7" s="475">
        <v>2.0</v>
      </c>
      <c r="D7" s="475">
        <v>15.0</v>
      </c>
      <c r="E7" s="477">
        <f>AVERAGE('Sourcing_costs_LT_and stdv'!C18:N18)</f>
        <v>280.9166667</v>
      </c>
      <c r="F7" s="394"/>
      <c r="G7" s="394"/>
      <c r="H7" s="394"/>
      <c r="I7" s="394"/>
      <c r="J7" s="394"/>
      <c r="K7" s="394"/>
      <c r="L7" s="394"/>
      <c r="M7" s="394"/>
      <c r="N7" s="394"/>
      <c r="O7" s="394"/>
      <c r="P7" s="394"/>
      <c r="Q7" s="394"/>
      <c r="R7" s="394"/>
      <c r="S7" s="394"/>
      <c r="T7" s="394"/>
      <c r="U7" s="394"/>
      <c r="V7" s="394"/>
      <c r="W7" s="394"/>
      <c r="X7" s="394"/>
      <c r="Y7" s="394"/>
      <c r="Z7" s="394"/>
    </row>
    <row r="8">
      <c r="B8" s="474" t="s">
        <v>29</v>
      </c>
      <c r="C8" s="475">
        <v>2.0</v>
      </c>
      <c r="D8" s="475">
        <v>20.0</v>
      </c>
      <c r="E8" s="477">
        <f>AVERAGE('Sourcing_costs_LT_and stdv'!C22:N22)</f>
        <v>264.3333333</v>
      </c>
      <c r="F8" s="394"/>
      <c r="G8" s="394"/>
      <c r="H8" s="394"/>
      <c r="I8" s="394"/>
      <c r="J8" s="394"/>
      <c r="K8" s="394"/>
      <c r="L8" s="394"/>
      <c r="M8" s="394"/>
      <c r="N8" s="394"/>
      <c r="O8" s="394"/>
      <c r="P8" s="394"/>
      <c r="Q8" s="394"/>
      <c r="R8" s="394"/>
      <c r="S8" s="394"/>
      <c r="T8" s="394"/>
      <c r="U8" s="394"/>
      <c r="V8" s="394"/>
      <c r="W8" s="394"/>
      <c r="X8" s="394"/>
      <c r="Y8" s="394"/>
      <c r="Z8" s="394"/>
    </row>
    <row r="9">
      <c r="B9" s="474" t="s">
        <v>31</v>
      </c>
      <c r="C9" s="475">
        <v>2.0</v>
      </c>
      <c r="D9" s="475">
        <v>12.0</v>
      </c>
      <c r="E9" s="477">
        <f>AVERAGE('Sourcing_costs_LT_and stdv'!C26:N26)</f>
        <v>373.8333333</v>
      </c>
      <c r="F9" s="394"/>
      <c r="G9" s="394"/>
      <c r="H9" s="394"/>
      <c r="I9" s="394"/>
      <c r="J9" s="394"/>
      <c r="K9" s="394"/>
      <c r="L9" s="394"/>
      <c r="M9" s="394"/>
      <c r="N9" s="394"/>
      <c r="O9" s="394"/>
      <c r="P9" s="394"/>
      <c r="Q9" s="394"/>
      <c r="R9" s="394"/>
      <c r="S9" s="394"/>
      <c r="T9" s="394"/>
      <c r="U9" s="394"/>
      <c r="V9" s="394"/>
      <c r="W9" s="394"/>
      <c r="X9" s="394"/>
      <c r="Y9" s="394"/>
      <c r="Z9" s="394"/>
    </row>
    <row r="10">
      <c r="B10" s="474" t="s">
        <v>33</v>
      </c>
      <c r="C10" s="475">
        <v>2.0</v>
      </c>
      <c r="D10" s="475">
        <v>15.0</v>
      </c>
      <c r="E10" s="478">
        <f>AVERAGE('Sourcing_costs_LT_and stdv'!C30:N30)</f>
        <v>799.9166667</v>
      </c>
      <c r="F10" s="394"/>
      <c r="G10" s="394"/>
      <c r="H10" s="394"/>
      <c r="I10" s="394"/>
      <c r="J10" s="394"/>
      <c r="K10" s="394"/>
      <c r="L10" s="394"/>
      <c r="M10" s="394"/>
      <c r="N10" s="394"/>
      <c r="O10" s="394"/>
      <c r="P10" s="394"/>
      <c r="Q10" s="394"/>
      <c r="R10" s="394"/>
      <c r="S10" s="394"/>
      <c r="T10" s="394"/>
      <c r="U10" s="394"/>
      <c r="V10" s="394"/>
      <c r="W10" s="394"/>
      <c r="X10" s="394"/>
      <c r="Y10" s="394"/>
      <c r="Z10" s="394"/>
    </row>
    <row r="11">
      <c r="B11" s="474" t="s">
        <v>35</v>
      </c>
      <c r="C11" s="475">
        <v>2.0</v>
      </c>
      <c r="D11" s="475">
        <v>16.0</v>
      </c>
      <c r="E11" s="478">
        <f>AVERAGE('Sourcing_costs_LT_and stdv'!C34:N34)</f>
        <v>2600.5</v>
      </c>
      <c r="F11" s="394"/>
      <c r="G11" s="394"/>
      <c r="H11" s="394"/>
      <c r="I11" s="394"/>
      <c r="J11" s="394"/>
      <c r="K11" s="394"/>
      <c r="L11" s="394"/>
      <c r="M11" s="394"/>
      <c r="N11" s="394"/>
      <c r="O11" s="394"/>
      <c r="P11" s="394"/>
      <c r="Q11" s="394"/>
      <c r="R11" s="394"/>
      <c r="S11" s="394"/>
      <c r="T11" s="394"/>
      <c r="U11" s="394"/>
      <c r="V11" s="394"/>
      <c r="W11" s="394"/>
      <c r="X11" s="394"/>
      <c r="Y11" s="394"/>
      <c r="Z11" s="394"/>
    </row>
    <row r="12">
      <c r="B12" s="211"/>
      <c r="C12" s="394"/>
      <c r="D12" s="211"/>
      <c r="E12" s="211"/>
      <c r="F12" s="394"/>
      <c r="G12" s="394"/>
      <c r="H12" s="394"/>
      <c r="I12" s="394"/>
      <c r="J12" s="394"/>
      <c r="K12" s="394"/>
      <c r="L12" s="394"/>
      <c r="M12" s="394"/>
      <c r="N12" s="394"/>
      <c r="O12" s="394"/>
      <c r="P12" s="394"/>
      <c r="Q12" s="394"/>
      <c r="R12" s="394"/>
      <c r="S12" s="394"/>
      <c r="T12" s="394"/>
      <c r="U12" s="394"/>
      <c r="V12" s="394"/>
      <c r="W12" s="394"/>
      <c r="X12" s="394"/>
      <c r="Y12" s="394"/>
      <c r="Z12" s="394"/>
    </row>
    <row r="13">
      <c r="B13" s="211"/>
      <c r="C13" s="394"/>
      <c r="D13" s="211"/>
      <c r="E13" s="211"/>
      <c r="F13" s="394"/>
      <c r="G13" s="394"/>
      <c r="H13" s="394"/>
      <c r="I13" s="394"/>
      <c r="J13" s="394"/>
      <c r="K13" s="394"/>
      <c r="L13" s="394"/>
      <c r="M13" s="394"/>
      <c r="N13" s="394"/>
      <c r="O13" s="394"/>
      <c r="P13" s="394"/>
      <c r="Q13" s="394"/>
      <c r="R13" s="394"/>
      <c r="S13" s="394"/>
      <c r="T13" s="394"/>
      <c r="U13" s="394"/>
      <c r="V13" s="394"/>
      <c r="W13" s="394"/>
      <c r="X13" s="394"/>
      <c r="Y13" s="394"/>
      <c r="Z13" s="394"/>
    </row>
    <row r="14" ht="1.5" customHeight="1">
      <c r="B14" s="479" t="s">
        <v>709</v>
      </c>
      <c r="C14" s="394"/>
      <c r="D14" s="211"/>
      <c r="E14" s="211"/>
      <c r="F14" s="394"/>
      <c r="G14" s="394"/>
      <c r="H14" s="394"/>
      <c r="I14" s="394"/>
      <c r="J14" s="394"/>
      <c r="K14" s="394"/>
      <c r="L14" s="394"/>
      <c r="M14" s="394"/>
      <c r="N14" s="394"/>
      <c r="O14" s="394"/>
      <c r="P14" s="394"/>
      <c r="Q14" s="394"/>
      <c r="R14" s="394"/>
      <c r="S14" s="394"/>
      <c r="T14" s="394"/>
      <c r="U14" s="394"/>
      <c r="V14" s="394"/>
      <c r="W14" s="394"/>
      <c r="X14" s="394"/>
      <c r="Y14" s="394"/>
      <c r="Z14" s="394"/>
    </row>
    <row r="15" ht="42.0" customHeight="1">
      <c r="B15" s="480"/>
      <c r="C15" s="480"/>
      <c r="D15" s="480"/>
      <c r="E15" s="480"/>
      <c r="F15" s="394"/>
      <c r="G15" s="394"/>
      <c r="H15" s="481" t="s">
        <v>710</v>
      </c>
      <c r="I15" s="394"/>
      <c r="J15" s="394"/>
      <c r="K15" s="394"/>
      <c r="L15" s="394"/>
      <c r="M15" s="394"/>
      <c r="N15" s="394"/>
      <c r="O15" s="394"/>
      <c r="P15" s="394"/>
      <c r="Q15" s="394"/>
      <c r="R15" s="394"/>
      <c r="S15" s="394"/>
      <c r="T15" s="394"/>
      <c r="U15" s="394"/>
      <c r="V15" s="394"/>
      <c r="W15" s="394"/>
      <c r="X15" s="394"/>
      <c r="Y15" s="394"/>
      <c r="Z15" s="394"/>
    </row>
    <row r="16">
      <c r="B16" s="482" t="s">
        <v>711</v>
      </c>
      <c r="C16" s="483" t="s">
        <v>712</v>
      </c>
      <c r="D16" s="483" t="s">
        <v>713</v>
      </c>
      <c r="E16" s="483" t="s">
        <v>714</v>
      </c>
      <c r="F16" s="394"/>
      <c r="G16" s="484">
        <v>0.0</v>
      </c>
      <c r="H16" s="394">
        <f t="shared" ref="H16:H24" si="1">(1-D17)*$E$4</f>
        <v>0</v>
      </c>
      <c r="I16" s="394"/>
      <c r="J16" s="394"/>
      <c r="K16" s="394"/>
      <c r="L16" s="394"/>
      <c r="M16" s="394"/>
      <c r="N16" s="394"/>
      <c r="O16" s="394"/>
      <c r="P16" s="394"/>
      <c r="Q16" s="394"/>
      <c r="R16" s="394"/>
      <c r="S16" s="394"/>
      <c r="T16" s="394"/>
      <c r="U16" s="394"/>
      <c r="V16" s="394"/>
      <c r="W16" s="394"/>
      <c r="X16" s="394"/>
      <c r="Y16" s="394"/>
      <c r="Z16" s="394"/>
    </row>
    <row r="17">
      <c r="B17" s="485">
        <v>0.0</v>
      </c>
      <c r="C17" s="486">
        <f t="shared" ref="C17:C31" si="2">($C$4/$D$4)*(1-EXP(-($C$4/$D$4)*B17))</f>
        <v>0</v>
      </c>
      <c r="D17" s="486">
        <v>1.0</v>
      </c>
      <c r="E17" s="486">
        <f>+D4*D17</f>
        <v>14</v>
      </c>
      <c r="F17" s="394"/>
      <c r="G17" s="485">
        <v>1.0</v>
      </c>
      <c r="H17" s="394">
        <f t="shared" si="1"/>
        <v>7.126786724</v>
      </c>
      <c r="I17" s="394"/>
      <c r="J17" s="394"/>
      <c r="K17" s="394"/>
      <c r="L17" s="394"/>
      <c r="M17" s="394"/>
      <c r="N17" s="394"/>
      <c r="O17" s="394"/>
      <c r="P17" s="394"/>
      <c r="Q17" s="394"/>
      <c r="R17" s="394"/>
      <c r="S17" s="394"/>
      <c r="T17" s="394"/>
      <c r="U17" s="394"/>
      <c r="V17" s="394"/>
      <c r="W17" s="394"/>
      <c r="X17" s="394"/>
      <c r="Y17" s="394"/>
      <c r="Z17" s="394"/>
    </row>
    <row r="18">
      <c r="B18" s="485">
        <v>1.0</v>
      </c>
      <c r="C18" s="486">
        <f t="shared" si="2"/>
        <v>0.01901744289</v>
      </c>
      <c r="D18" s="486">
        <f t="shared" ref="D18:D31" si="3">D17-C18</f>
        <v>0.9809825571</v>
      </c>
      <c r="E18" s="486">
        <f t="shared" ref="E18:E31" si="4">$D$4*D18</f>
        <v>13.7337558</v>
      </c>
      <c r="F18" s="394"/>
      <c r="G18" s="485">
        <v>2.0</v>
      </c>
      <c r="H18" s="394">
        <f t="shared" si="1"/>
        <v>20.43162736</v>
      </c>
      <c r="I18" s="394"/>
      <c r="J18" s="394"/>
      <c r="K18" s="394"/>
      <c r="L18" s="394"/>
      <c r="M18" s="394"/>
      <c r="N18" s="394"/>
      <c r="O18" s="394"/>
      <c r="P18" s="394"/>
      <c r="Q18" s="394"/>
      <c r="R18" s="394"/>
      <c r="S18" s="394"/>
      <c r="T18" s="394"/>
      <c r="U18" s="394"/>
      <c r="V18" s="394"/>
      <c r="W18" s="394"/>
      <c r="X18" s="394"/>
      <c r="Y18" s="394"/>
      <c r="Z18" s="394"/>
    </row>
    <row r="19">
      <c r="B19" s="485">
        <v>2.0</v>
      </c>
      <c r="C19" s="486">
        <f t="shared" si="2"/>
        <v>0.03550324385</v>
      </c>
      <c r="D19" s="486">
        <f t="shared" si="3"/>
        <v>0.9454793133</v>
      </c>
      <c r="E19" s="486">
        <f t="shared" si="4"/>
        <v>13.23671039</v>
      </c>
      <c r="F19" s="394"/>
      <c r="G19" s="485">
        <v>3.0</v>
      </c>
      <c r="H19" s="394">
        <f t="shared" si="1"/>
        <v>39.09208638</v>
      </c>
      <c r="I19" s="394"/>
      <c r="J19" s="394"/>
      <c r="K19" s="394"/>
      <c r="L19" s="394"/>
      <c r="M19" s="394"/>
      <c r="N19" s="394"/>
      <c r="O19" s="394"/>
      <c r="P19" s="394"/>
      <c r="Q19" s="394"/>
      <c r="R19" s="394"/>
      <c r="S19" s="394"/>
      <c r="T19" s="394"/>
      <c r="U19" s="394"/>
      <c r="V19" s="394"/>
      <c r="W19" s="394"/>
      <c r="X19" s="394"/>
      <c r="Y19" s="394"/>
      <c r="Z19" s="394"/>
    </row>
    <row r="20">
      <c r="B20" s="485">
        <v>3.0</v>
      </c>
      <c r="C20" s="486">
        <f t="shared" si="2"/>
        <v>0.04979442035</v>
      </c>
      <c r="D20" s="486">
        <f t="shared" si="3"/>
        <v>0.8956848929</v>
      </c>
      <c r="E20" s="486">
        <f t="shared" si="4"/>
        <v>12.5395885</v>
      </c>
      <c r="F20" s="394"/>
      <c r="G20" s="485">
        <v>4.0</v>
      </c>
      <c r="H20" s="394">
        <f t="shared" si="1"/>
        <v>62.39521264</v>
      </c>
      <c r="I20" s="394"/>
      <c r="J20" s="394"/>
      <c r="K20" s="394"/>
      <c r="L20" s="394"/>
      <c r="M20" s="394"/>
      <c r="N20" s="394"/>
      <c r="O20" s="394"/>
      <c r="P20" s="394"/>
      <c r="Q20" s="394"/>
      <c r="R20" s="394"/>
      <c r="S20" s="394"/>
      <c r="T20" s="394"/>
      <c r="U20" s="394"/>
      <c r="V20" s="394"/>
      <c r="W20" s="394"/>
      <c r="X20" s="394"/>
      <c r="Y20" s="394"/>
      <c r="Z20" s="394"/>
    </row>
    <row r="21">
      <c r="B21" s="485">
        <v>4.0</v>
      </c>
      <c r="C21" s="486">
        <f t="shared" si="2"/>
        <v>0.06218312543</v>
      </c>
      <c r="D21" s="486">
        <f t="shared" si="3"/>
        <v>0.8335017675</v>
      </c>
      <c r="E21" s="486">
        <f t="shared" si="4"/>
        <v>11.66902474</v>
      </c>
      <c r="F21" s="394"/>
      <c r="G21" s="485">
        <v>5.0</v>
      </c>
      <c r="H21" s="394">
        <f t="shared" si="1"/>
        <v>89.72296451</v>
      </c>
      <c r="I21" s="394"/>
      <c r="J21" s="394"/>
      <c r="K21" s="394"/>
      <c r="L21" s="394"/>
      <c r="M21" s="394"/>
      <c r="N21" s="394"/>
      <c r="O21" s="394"/>
      <c r="P21" s="394"/>
      <c r="Q21" s="394"/>
      <c r="R21" s="394"/>
      <c r="S21" s="394"/>
      <c r="T21" s="394"/>
      <c r="U21" s="394"/>
      <c r="V21" s="394"/>
      <c r="W21" s="394"/>
      <c r="X21" s="394"/>
      <c r="Y21" s="394"/>
      <c r="Z21" s="394"/>
    </row>
    <row r="22">
      <c r="B22" s="485">
        <v>5.0</v>
      </c>
      <c r="C22" s="486">
        <f t="shared" si="2"/>
        <v>0.07292262006</v>
      </c>
      <c r="D22" s="486">
        <f t="shared" si="3"/>
        <v>0.7605791474</v>
      </c>
      <c r="E22" s="486">
        <f t="shared" si="4"/>
        <v>10.64810806</v>
      </c>
      <c r="F22" s="394"/>
      <c r="G22" s="485">
        <v>6.0</v>
      </c>
      <c r="H22" s="394">
        <f t="shared" si="1"/>
        <v>120.5395754</v>
      </c>
      <c r="I22" s="394"/>
      <c r="J22" s="394"/>
      <c r="K22" s="394"/>
      <c r="L22" s="394"/>
      <c r="M22" s="394"/>
      <c r="N22" s="394"/>
      <c r="O22" s="394"/>
      <c r="P22" s="394"/>
      <c r="Q22" s="394"/>
      <c r="R22" s="394"/>
      <c r="S22" s="394"/>
      <c r="T22" s="394"/>
      <c r="U22" s="394"/>
      <c r="V22" s="394"/>
      <c r="W22" s="394"/>
      <c r="X22" s="394"/>
      <c r="Y22" s="394"/>
      <c r="Z22" s="394"/>
    </row>
    <row r="23">
      <c r="B23" s="485">
        <v>6.0</v>
      </c>
      <c r="C23" s="486">
        <f t="shared" si="2"/>
        <v>0.08223245062</v>
      </c>
      <c r="D23" s="486">
        <f t="shared" si="3"/>
        <v>0.6783466968</v>
      </c>
      <c r="E23" s="486">
        <f t="shared" si="4"/>
        <v>9.496853755</v>
      </c>
      <c r="F23" s="394"/>
      <c r="G23" s="485">
        <v>7.0</v>
      </c>
      <c r="H23" s="394">
        <f t="shared" si="1"/>
        <v>154.380601</v>
      </c>
      <c r="I23" s="394"/>
      <c r="J23" s="394"/>
      <c r="K23" s="394"/>
      <c r="L23" s="394"/>
      <c r="M23" s="394"/>
      <c r="N23" s="394"/>
      <c r="O23" s="394"/>
      <c r="P23" s="394"/>
      <c r="Q23" s="394"/>
      <c r="R23" s="394"/>
      <c r="S23" s="394"/>
      <c r="T23" s="394"/>
      <c r="U23" s="394"/>
      <c r="V23" s="394"/>
      <c r="W23" s="394"/>
      <c r="X23" s="394"/>
      <c r="Y23" s="394"/>
      <c r="Z23" s="394"/>
    </row>
    <row r="24">
      <c r="B24" s="485">
        <v>7.0</v>
      </c>
      <c r="C24" s="486">
        <f t="shared" si="2"/>
        <v>0.09030293698</v>
      </c>
      <c r="D24" s="486">
        <f t="shared" si="3"/>
        <v>0.5880437598</v>
      </c>
      <c r="E24" s="486">
        <f t="shared" si="4"/>
        <v>8.232612638</v>
      </c>
      <c r="F24" s="394"/>
      <c r="G24" s="487">
        <v>8.0</v>
      </c>
      <c r="H24" s="488">
        <f t="shared" si="1"/>
        <v>190.843425</v>
      </c>
      <c r="I24" s="394"/>
      <c r="J24" s="394"/>
      <c r="K24" s="394"/>
      <c r="L24" s="394"/>
      <c r="M24" s="394"/>
      <c r="N24" s="394"/>
      <c r="O24" s="394"/>
      <c r="P24" s="394"/>
      <c r="Q24" s="394"/>
      <c r="R24" s="394"/>
      <c r="S24" s="394"/>
      <c r="T24" s="394"/>
      <c r="U24" s="394"/>
      <c r="V24" s="394"/>
      <c r="W24" s="394"/>
      <c r="X24" s="394"/>
      <c r="Y24" s="394"/>
      <c r="Z24" s="394"/>
    </row>
    <row r="25">
      <c r="B25" s="489">
        <v>8.0</v>
      </c>
      <c r="C25" s="490">
        <f t="shared" si="2"/>
        <v>0.09729906324</v>
      </c>
      <c r="D25" s="490">
        <f t="shared" si="3"/>
        <v>0.4907446966</v>
      </c>
      <c r="E25" s="490">
        <f t="shared" si="4"/>
        <v>6.870425752</v>
      </c>
      <c r="F25" s="394"/>
      <c r="G25" s="491" t="s">
        <v>715</v>
      </c>
      <c r="H25" s="394">
        <f>AVERAGE(H16:H24)</f>
        <v>76.0591421</v>
      </c>
      <c r="I25" s="394"/>
      <c r="J25" s="394"/>
      <c r="K25" s="394"/>
      <c r="L25" s="394"/>
      <c r="M25" s="394"/>
      <c r="N25" s="394"/>
      <c r="O25" s="394"/>
      <c r="P25" s="394"/>
      <c r="Q25" s="394"/>
      <c r="R25" s="394"/>
      <c r="S25" s="394"/>
      <c r="T25" s="394"/>
      <c r="U25" s="394"/>
      <c r="V25" s="394"/>
      <c r="W25" s="394"/>
      <c r="X25" s="394"/>
      <c r="Y25" s="394"/>
      <c r="Z25" s="394"/>
    </row>
    <row r="26">
      <c r="B26" s="485">
        <v>9.0</v>
      </c>
      <c r="C26" s="486">
        <f t="shared" si="2"/>
        <v>0.1033638505</v>
      </c>
      <c r="D26" s="486">
        <f t="shared" si="3"/>
        <v>0.3873808461</v>
      </c>
      <c r="E26" s="486">
        <f t="shared" si="4"/>
        <v>5.423331845</v>
      </c>
      <c r="F26" s="394"/>
      <c r="G26" s="394"/>
      <c r="H26" s="394"/>
      <c r="I26" s="394"/>
      <c r="J26" s="394"/>
      <c r="K26" s="394"/>
      <c r="L26" s="394"/>
      <c r="M26" s="394"/>
      <c r="N26" s="394"/>
      <c r="O26" s="394"/>
      <c r="P26" s="394"/>
      <c r="Q26" s="394"/>
      <c r="R26" s="394"/>
      <c r="S26" s="394"/>
      <c r="T26" s="394"/>
      <c r="U26" s="394"/>
      <c r="V26" s="394"/>
      <c r="W26" s="394"/>
      <c r="X26" s="394"/>
      <c r="Y26" s="394"/>
      <c r="Z26" s="394"/>
    </row>
    <row r="27">
      <c r="B27" s="485">
        <v>10.0</v>
      </c>
      <c r="C27" s="486">
        <f t="shared" si="2"/>
        <v>0.1086212805</v>
      </c>
      <c r="D27" s="486">
        <f t="shared" si="3"/>
        <v>0.2787595656</v>
      </c>
      <c r="E27" s="486">
        <f t="shared" si="4"/>
        <v>3.902633918</v>
      </c>
      <c r="F27" s="394"/>
      <c r="G27" s="394"/>
      <c r="H27" s="394"/>
      <c r="I27" s="394"/>
      <c r="J27" s="394"/>
      <c r="K27" s="394"/>
      <c r="L27" s="394"/>
      <c r="M27" s="394"/>
      <c r="N27" s="394"/>
      <c r="O27" s="394"/>
      <c r="P27" s="394"/>
      <c r="Q27" s="394"/>
      <c r="R27" s="394"/>
      <c r="S27" s="394"/>
      <c r="T27" s="394"/>
      <c r="U27" s="394"/>
      <c r="V27" s="394"/>
      <c r="W27" s="394"/>
      <c r="X27" s="394"/>
      <c r="Y27" s="394"/>
      <c r="Z27" s="394"/>
    </row>
    <row r="28">
      <c r="B28" s="485">
        <v>11.0</v>
      </c>
      <c r="C28" s="486">
        <f t="shared" si="2"/>
        <v>0.1131788304</v>
      </c>
      <c r="D28" s="486">
        <f t="shared" si="3"/>
        <v>0.1655807352</v>
      </c>
      <c r="E28" s="486">
        <f t="shared" si="4"/>
        <v>2.318130293</v>
      </c>
      <c r="F28" s="394"/>
      <c r="G28" s="394"/>
      <c r="H28" s="394"/>
      <c r="I28" s="394"/>
      <c r="J28" s="394"/>
      <c r="K28" s="394"/>
      <c r="L28" s="394"/>
      <c r="M28" s="394"/>
      <c r="N28" s="394"/>
      <c r="O28" s="394"/>
      <c r="P28" s="394"/>
      <c r="Q28" s="394"/>
      <c r="R28" s="394"/>
      <c r="S28" s="394"/>
      <c r="T28" s="394"/>
      <c r="U28" s="394"/>
      <c r="V28" s="394"/>
      <c r="W28" s="394"/>
      <c r="X28" s="394"/>
      <c r="Y28" s="394"/>
      <c r="Z28" s="394"/>
    </row>
    <row r="29">
      <c r="B29" s="485">
        <v>12.0</v>
      </c>
      <c r="C29" s="486">
        <f t="shared" si="2"/>
        <v>0.1171296697</v>
      </c>
      <c r="D29" s="486">
        <f t="shared" si="3"/>
        <v>0.04845106549</v>
      </c>
      <c r="E29" s="486">
        <f t="shared" si="4"/>
        <v>0.6783149169</v>
      </c>
      <c r="F29" s="394"/>
      <c r="G29" s="394"/>
      <c r="H29" s="394"/>
      <c r="I29" s="394"/>
      <c r="J29" s="394"/>
      <c r="K29" s="394"/>
      <c r="L29" s="394"/>
      <c r="M29" s="394"/>
      <c r="N29" s="394"/>
      <c r="O29" s="394"/>
      <c r="P29" s="394"/>
      <c r="Q29" s="394"/>
      <c r="R29" s="394"/>
      <c r="S29" s="394"/>
      <c r="T29" s="394"/>
      <c r="U29" s="394"/>
      <c r="V29" s="394"/>
      <c r="W29" s="394"/>
      <c r="X29" s="394"/>
      <c r="Y29" s="394"/>
      <c r="Z29" s="394"/>
    </row>
    <row r="30">
      <c r="B30" s="485">
        <v>13.0</v>
      </c>
      <c r="C30" s="486">
        <f t="shared" si="2"/>
        <v>0.120554565</v>
      </c>
      <c r="D30" s="486">
        <f t="shared" si="3"/>
        <v>-0.07210349946</v>
      </c>
      <c r="E30" s="486">
        <f t="shared" si="4"/>
        <v>-1.009448992</v>
      </c>
      <c r="F30" s="394"/>
      <c r="G30" s="394"/>
      <c r="H30" s="394"/>
      <c r="I30" s="394"/>
      <c r="J30" s="394"/>
      <c r="K30" s="394"/>
      <c r="L30" s="394"/>
      <c r="M30" s="394"/>
      <c r="N30" s="394"/>
      <c r="O30" s="394"/>
      <c r="P30" s="394"/>
      <c r="Q30" s="394"/>
      <c r="R30" s="394"/>
      <c r="S30" s="394"/>
      <c r="T30" s="394"/>
      <c r="U30" s="394"/>
      <c r="V30" s="394"/>
      <c r="W30" s="394"/>
      <c r="X30" s="394"/>
      <c r="Y30" s="394"/>
      <c r="Z30" s="394"/>
    </row>
    <row r="31">
      <c r="B31" s="485">
        <v>14.0</v>
      </c>
      <c r="C31" s="486">
        <f t="shared" si="2"/>
        <v>0.123523531</v>
      </c>
      <c r="D31" s="486">
        <f t="shared" si="3"/>
        <v>-0.1956270304</v>
      </c>
      <c r="E31" s="486">
        <f t="shared" si="4"/>
        <v>-2.738778426</v>
      </c>
      <c r="F31" s="394"/>
      <c r="G31" s="394"/>
      <c r="H31" s="394"/>
      <c r="I31" s="394"/>
      <c r="J31" s="394"/>
      <c r="K31" s="394"/>
      <c r="L31" s="394"/>
      <c r="M31" s="394"/>
      <c r="N31" s="394"/>
      <c r="O31" s="394"/>
      <c r="P31" s="394"/>
      <c r="Q31" s="394"/>
      <c r="R31" s="394"/>
      <c r="S31" s="394"/>
      <c r="T31" s="394"/>
      <c r="U31" s="394"/>
      <c r="V31" s="394"/>
      <c r="W31" s="394"/>
      <c r="X31" s="394"/>
      <c r="Y31" s="394"/>
      <c r="Z31" s="394"/>
    </row>
    <row r="32">
      <c r="B32" s="394"/>
      <c r="C32" s="394"/>
      <c r="D32" s="394"/>
      <c r="E32" s="394"/>
      <c r="F32" s="394"/>
      <c r="G32" s="394"/>
      <c r="H32" s="394"/>
      <c r="I32" s="394"/>
      <c r="J32" s="394"/>
      <c r="K32" s="394"/>
      <c r="L32" s="394"/>
      <c r="M32" s="394"/>
      <c r="N32" s="394"/>
      <c r="O32" s="394"/>
      <c r="P32" s="394"/>
      <c r="Q32" s="394"/>
      <c r="R32" s="394"/>
      <c r="S32" s="394"/>
      <c r="T32" s="394"/>
      <c r="U32" s="394"/>
      <c r="V32" s="394"/>
      <c r="W32" s="394"/>
      <c r="X32" s="394"/>
      <c r="Y32" s="394"/>
      <c r="Z32" s="394"/>
    </row>
    <row r="33">
      <c r="B33" s="394"/>
      <c r="C33" s="394"/>
      <c r="D33" s="394"/>
      <c r="E33" s="394"/>
      <c r="F33" s="394"/>
      <c r="G33" s="394"/>
      <c r="H33" s="394"/>
      <c r="I33" s="394"/>
      <c r="J33" s="394"/>
      <c r="K33" s="394"/>
      <c r="L33" s="394"/>
      <c r="M33" s="394"/>
      <c r="N33" s="394"/>
      <c r="O33" s="394"/>
      <c r="P33" s="394"/>
      <c r="Q33" s="394"/>
      <c r="R33" s="394"/>
      <c r="S33" s="394"/>
      <c r="T33" s="394"/>
      <c r="U33" s="394"/>
      <c r="V33" s="394"/>
      <c r="W33" s="394"/>
      <c r="X33" s="394"/>
      <c r="Y33" s="394"/>
      <c r="Z33" s="394"/>
    </row>
    <row r="34">
      <c r="B34" s="479" t="s">
        <v>716</v>
      </c>
      <c r="C34" s="394"/>
      <c r="D34" s="211"/>
      <c r="E34" s="211"/>
      <c r="F34" s="394"/>
      <c r="G34" s="394"/>
      <c r="H34" s="394"/>
      <c r="I34" s="394"/>
      <c r="J34" s="394"/>
      <c r="K34" s="394"/>
      <c r="L34" s="394"/>
      <c r="M34" s="394"/>
      <c r="N34" s="394"/>
      <c r="O34" s="394"/>
      <c r="P34" s="394"/>
      <c r="Q34" s="394"/>
      <c r="R34" s="394"/>
      <c r="S34" s="394"/>
      <c r="T34" s="394"/>
      <c r="U34" s="394"/>
      <c r="V34" s="394"/>
      <c r="W34" s="394"/>
      <c r="X34" s="394"/>
      <c r="Y34" s="394"/>
      <c r="Z34" s="394"/>
    </row>
    <row r="35">
      <c r="B35" s="480"/>
      <c r="C35" s="480"/>
      <c r="D35" s="480"/>
      <c r="E35" s="480"/>
      <c r="F35" s="394"/>
      <c r="G35" s="394"/>
      <c r="H35" s="394"/>
      <c r="I35" s="394"/>
      <c r="J35" s="394"/>
      <c r="K35" s="394"/>
      <c r="L35" s="394"/>
      <c r="M35" s="394"/>
      <c r="N35" s="394"/>
      <c r="O35" s="394"/>
      <c r="P35" s="394"/>
      <c r="Q35" s="394"/>
      <c r="R35" s="394"/>
      <c r="S35" s="394"/>
      <c r="T35" s="394"/>
      <c r="U35" s="394"/>
      <c r="V35" s="394"/>
      <c r="W35" s="394"/>
      <c r="X35" s="394"/>
      <c r="Y35" s="394"/>
      <c r="Z35" s="394"/>
    </row>
    <row r="36">
      <c r="B36" s="482" t="s">
        <v>711</v>
      </c>
      <c r="C36" s="483" t="s">
        <v>712</v>
      </c>
      <c r="D36" s="483" t="s">
        <v>713</v>
      </c>
      <c r="E36" s="483" t="s">
        <v>714</v>
      </c>
      <c r="F36" s="394"/>
      <c r="G36" s="482" t="s">
        <v>711</v>
      </c>
      <c r="H36" s="394" t="s">
        <v>717</v>
      </c>
      <c r="I36" s="394"/>
      <c r="J36" s="394"/>
      <c r="K36" s="394"/>
      <c r="L36" s="394"/>
      <c r="M36" s="394"/>
      <c r="N36" s="394"/>
      <c r="O36" s="394"/>
      <c r="P36" s="394"/>
      <c r="Q36" s="394"/>
      <c r="R36" s="394"/>
      <c r="S36" s="394"/>
      <c r="T36" s="394"/>
      <c r="U36" s="394"/>
      <c r="V36" s="394"/>
      <c r="W36" s="394"/>
      <c r="X36" s="394"/>
      <c r="Y36" s="394"/>
      <c r="Z36" s="394"/>
    </row>
    <row r="37">
      <c r="B37" s="485">
        <v>0.0</v>
      </c>
      <c r="C37" s="486">
        <f t="shared" ref="C37:C58" si="5">($C$5/$D$5)*(1-EXP(-($C$5/$D$5)*B37))</f>
        <v>0</v>
      </c>
      <c r="D37" s="486">
        <v>1.0</v>
      </c>
      <c r="E37" s="486">
        <f t="shared" ref="E37:E58" si="6">+$D$5*D37</f>
        <v>22</v>
      </c>
      <c r="F37" s="394"/>
      <c r="G37" s="485">
        <v>0.0</v>
      </c>
      <c r="H37" s="394">
        <f t="shared" ref="H37:H51" si="7">(1-D37)*$E$5</f>
        <v>0</v>
      </c>
      <c r="I37" s="394"/>
      <c r="J37" s="394"/>
      <c r="K37" s="394"/>
      <c r="L37" s="394"/>
      <c r="M37" s="394"/>
      <c r="N37" s="394"/>
      <c r="O37" s="394"/>
      <c r="P37" s="394"/>
      <c r="Q37" s="394"/>
      <c r="R37" s="394"/>
      <c r="S37" s="394"/>
      <c r="T37" s="394"/>
      <c r="U37" s="394"/>
      <c r="V37" s="394"/>
      <c r="W37" s="394"/>
      <c r="X37" s="394"/>
      <c r="Y37" s="394"/>
      <c r="Z37" s="394"/>
    </row>
    <row r="38">
      <c r="B38" s="485">
        <v>1.0</v>
      </c>
      <c r="C38" s="486">
        <f t="shared" si="5"/>
        <v>0.007899934883</v>
      </c>
      <c r="D38" s="486">
        <f t="shared" ref="D38:D58" si="8">D37-C38</f>
        <v>0.9921000651</v>
      </c>
      <c r="E38" s="486">
        <f t="shared" si="6"/>
        <v>21.82620143</v>
      </c>
      <c r="F38" s="394"/>
      <c r="G38" s="485">
        <v>1.0</v>
      </c>
      <c r="H38" s="394">
        <f t="shared" si="7"/>
        <v>3.362080621</v>
      </c>
      <c r="I38" s="394"/>
      <c r="J38" s="394"/>
      <c r="K38" s="394"/>
      <c r="L38" s="394"/>
      <c r="M38" s="394"/>
      <c r="N38" s="394"/>
      <c r="O38" s="394"/>
      <c r="P38" s="394"/>
      <c r="Q38" s="394"/>
      <c r="R38" s="394"/>
      <c r="S38" s="394"/>
      <c r="T38" s="394"/>
      <c r="U38" s="394"/>
      <c r="V38" s="394"/>
      <c r="W38" s="394"/>
      <c r="X38" s="394"/>
      <c r="Y38" s="394"/>
      <c r="Z38" s="394"/>
    </row>
    <row r="39">
      <c r="B39" s="485">
        <v>2.0</v>
      </c>
      <c r="C39" s="486">
        <f t="shared" si="5"/>
        <v>0.01511337108</v>
      </c>
      <c r="D39" s="486">
        <f t="shared" si="8"/>
        <v>0.976986694</v>
      </c>
      <c r="E39" s="486">
        <f t="shared" si="6"/>
        <v>21.49370727</v>
      </c>
      <c r="F39" s="394"/>
      <c r="G39" s="485">
        <v>2.0</v>
      </c>
      <c r="H39" s="394">
        <f t="shared" si="7"/>
        <v>9.794079465</v>
      </c>
      <c r="I39" s="394"/>
      <c r="J39" s="394"/>
      <c r="K39" s="394"/>
      <c r="L39" s="394"/>
      <c r="M39" s="394"/>
      <c r="N39" s="394"/>
      <c r="O39" s="394"/>
      <c r="P39" s="394"/>
      <c r="Q39" s="394"/>
      <c r="R39" s="394"/>
      <c r="S39" s="394"/>
      <c r="T39" s="394"/>
      <c r="U39" s="394"/>
      <c r="V39" s="394"/>
      <c r="W39" s="394"/>
      <c r="X39" s="394"/>
      <c r="Y39" s="394"/>
      <c r="Z39" s="394"/>
    </row>
    <row r="40">
      <c r="B40" s="485">
        <v>3.0</v>
      </c>
      <c r="C40" s="486">
        <f t="shared" si="5"/>
        <v>0.02169996485</v>
      </c>
      <c r="D40" s="486">
        <f t="shared" si="8"/>
        <v>0.9552867292</v>
      </c>
      <c r="E40" s="486">
        <f t="shared" si="6"/>
        <v>21.01630804</v>
      </c>
      <c r="F40" s="394"/>
      <c r="G40" s="485">
        <v>3.0</v>
      </c>
      <c r="H40" s="394">
        <f t="shared" si="7"/>
        <v>19.02922284</v>
      </c>
      <c r="I40" s="394"/>
      <c r="J40" s="394"/>
      <c r="K40" s="394"/>
      <c r="L40" s="394"/>
      <c r="M40" s="394"/>
      <c r="N40" s="394"/>
      <c r="O40" s="394"/>
      <c r="P40" s="394"/>
      <c r="Q40" s="394"/>
      <c r="R40" s="394"/>
      <c r="S40" s="394"/>
      <c r="T40" s="394"/>
      <c r="U40" s="394"/>
      <c r="V40" s="394"/>
      <c r="W40" s="394"/>
      <c r="X40" s="394"/>
      <c r="Y40" s="394"/>
      <c r="Z40" s="394"/>
    </row>
    <row r="41">
      <c r="B41" s="485">
        <v>4.0</v>
      </c>
      <c r="C41" s="486">
        <f t="shared" si="5"/>
        <v>0.02771418833</v>
      </c>
      <c r="D41" s="486">
        <f t="shared" si="8"/>
        <v>0.9275725409</v>
      </c>
      <c r="E41" s="486">
        <f t="shared" si="6"/>
        <v>20.4065959</v>
      </c>
      <c r="F41" s="394"/>
      <c r="G41" s="485">
        <v>4.0</v>
      </c>
      <c r="H41" s="394">
        <f t="shared" si="7"/>
        <v>30.82391949</v>
      </c>
      <c r="I41" s="394"/>
      <c r="J41" s="394"/>
      <c r="K41" s="394"/>
      <c r="L41" s="394"/>
      <c r="M41" s="394"/>
      <c r="N41" s="394"/>
      <c r="O41" s="394"/>
      <c r="P41" s="394"/>
      <c r="Q41" s="394"/>
      <c r="R41" s="394"/>
      <c r="S41" s="394"/>
      <c r="T41" s="394"/>
      <c r="U41" s="394"/>
      <c r="V41" s="394"/>
      <c r="W41" s="394"/>
      <c r="X41" s="394"/>
      <c r="Y41" s="394"/>
      <c r="Z41" s="394"/>
    </row>
    <row r="42">
      <c r="B42" s="485">
        <v>5.0</v>
      </c>
      <c r="C42" s="486">
        <f t="shared" si="5"/>
        <v>0.0332057801</v>
      </c>
      <c r="D42" s="486">
        <f t="shared" si="8"/>
        <v>0.8943667608</v>
      </c>
      <c r="E42" s="486">
        <f t="shared" si="6"/>
        <v>19.67606874</v>
      </c>
      <c r="F42" s="394"/>
      <c r="G42" s="485">
        <v>5.0</v>
      </c>
      <c r="H42" s="394">
        <f t="shared" si="7"/>
        <v>44.95574607</v>
      </c>
      <c r="I42" s="394"/>
      <c r="J42" s="394"/>
      <c r="K42" s="394"/>
      <c r="L42" s="394"/>
      <c r="M42" s="394"/>
      <c r="N42" s="394"/>
      <c r="O42" s="394"/>
      <c r="P42" s="394"/>
      <c r="Q42" s="394"/>
      <c r="R42" s="394"/>
      <c r="S42" s="394"/>
      <c r="T42" s="394"/>
      <c r="U42" s="394"/>
      <c r="V42" s="394"/>
      <c r="W42" s="394"/>
      <c r="X42" s="394"/>
      <c r="Y42" s="394"/>
      <c r="Z42" s="394"/>
    </row>
    <row r="43">
      <c r="B43" s="485">
        <v>6.0</v>
      </c>
      <c r="C43" s="486">
        <f t="shared" si="5"/>
        <v>0.03822015647</v>
      </c>
      <c r="D43" s="486">
        <f t="shared" si="8"/>
        <v>0.8561466043</v>
      </c>
      <c r="E43" s="486">
        <f t="shared" si="6"/>
        <v>18.83522529</v>
      </c>
      <c r="F43" s="394"/>
      <c r="G43" s="485">
        <v>6.0</v>
      </c>
      <c r="H43" s="394">
        <f t="shared" si="7"/>
        <v>61.22160766</v>
      </c>
      <c r="I43" s="394"/>
      <c r="J43" s="394"/>
      <c r="K43" s="394"/>
      <c r="L43" s="394"/>
      <c r="M43" s="394"/>
      <c r="N43" s="394"/>
      <c r="O43" s="394"/>
      <c r="P43" s="394"/>
      <c r="Q43" s="394"/>
      <c r="R43" s="394"/>
      <c r="S43" s="394"/>
      <c r="T43" s="394"/>
      <c r="U43" s="394"/>
      <c r="V43" s="394"/>
      <c r="W43" s="394"/>
      <c r="X43" s="394"/>
      <c r="Y43" s="394"/>
      <c r="Z43" s="394"/>
    </row>
    <row r="44">
      <c r="B44" s="485">
        <v>7.0</v>
      </c>
      <c r="C44" s="486">
        <f t="shared" si="5"/>
        <v>0.04279878714</v>
      </c>
      <c r="D44" s="486">
        <f t="shared" si="8"/>
        <v>0.8133478172</v>
      </c>
      <c r="E44" s="486">
        <f t="shared" si="6"/>
        <v>17.89365198</v>
      </c>
      <c r="F44" s="394"/>
      <c r="G44" s="485">
        <v>7.0</v>
      </c>
      <c r="H44" s="394">
        <f t="shared" si="7"/>
        <v>79.43605815</v>
      </c>
      <c r="I44" s="394"/>
      <c r="J44" s="394"/>
      <c r="K44" s="394"/>
      <c r="L44" s="394"/>
      <c r="M44" s="394"/>
      <c r="N44" s="394"/>
      <c r="O44" s="394"/>
      <c r="P44" s="394"/>
      <c r="Q44" s="394"/>
      <c r="R44" s="394"/>
      <c r="S44" s="394"/>
      <c r="T44" s="394"/>
      <c r="U44" s="394"/>
      <c r="V44" s="394"/>
      <c r="W44" s="394"/>
      <c r="X44" s="394"/>
      <c r="Y44" s="394"/>
      <c r="Z44" s="394"/>
    </row>
    <row r="45">
      <c r="B45" s="485">
        <v>8.0</v>
      </c>
      <c r="C45" s="486">
        <f t="shared" si="5"/>
        <v>0.04697953807</v>
      </c>
      <c r="D45" s="486">
        <f t="shared" si="8"/>
        <v>0.7663682791</v>
      </c>
      <c r="E45" s="486">
        <f t="shared" si="6"/>
        <v>16.86010214</v>
      </c>
      <c r="F45" s="394"/>
      <c r="G45" s="485">
        <v>8.0</v>
      </c>
      <c r="H45" s="394">
        <f t="shared" si="7"/>
        <v>99.42976656</v>
      </c>
      <c r="I45" s="394"/>
      <c r="J45" s="394"/>
      <c r="K45" s="394"/>
      <c r="L45" s="394"/>
      <c r="M45" s="394"/>
      <c r="N45" s="394"/>
      <c r="O45" s="394"/>
      <c r="P45" s="394"/>
      <c r="Q45" s="394"/>
      <c r="R45" s="394"/>
      <c r="S45" s="394"/>
      <c r="T45" s="394"/>
      <c r="U45" s="394"/>
      <c r="V45" s="394"/>
      <c r="W45" s="394"/>
      <c r="X45" s="394"/>
      <c r="Y45" s="394"/>
      <c r="Z45" s="394"/>
    </row>
    <row r="46">
      <c r="B46" s="485">
        <v>9.0</v>
      </c>
      <c r="C46" s="486">
        <f t="shared" si="5"/>
        <v>0.05079698475</v>
      </c>
      <c r="D46" s="486">
        <f t="shared" si="8"/>
        <v>0.7155712943</v>
      </c>
      <c r="E46" s="486">
        <f t="shared" si="6"/>
        <v>15.74256848</v>
      </c>
      <c r="F46" s="394"/>
      <c r="G46" s="485">
        <v>9.0</v>
      </c>
      <c r="H46" s="394">
        <f t="shared" si="7"/>
        <v>121.0481167</v>
      </c>
      <c r="I46" s="394"/>
      <c r="J46" s="394"/>
      <c r="K46" s="394"/>
      <c r="L46" s="394"/>
      <c r="M46" s="394"/>
      <c r="N46" s="394"/>
      <c r="O46" s="394"/>
      <c r="P46" s="394"/>
      <c r="Q46" s="394"/>
      <c r="R46" s="394"/>
      <c r="S46" s="394"/>
      <c r="T46" s="394"/>
      <c r="U46" s="394"/>
      <c r="V46" s="394"/>
      <c r="W46" s="394"/>
      <c r="X46" s="394"/>
      <c r="Y46" s="394"/>
      <c r="Z46" s="394"/>
    </row>
    <row r="47">
      <c r="B47" s="485">
        <v>10.0</v>
      </c>
      <c r="C47" s="486">
        <f t="shared" si="5"/>
        <v>0.05428269804</v>
      </c>
      <c r="D47" s="486">
        <f t="shared" si="8"/>
        <v>0.6612885963</v>
      </c>
      <c r="E47" s="486">
        <f t="shared" si="6"/>
        <v>14.54834912</v>
      </c>
      <c r="F47" s="394"/>
      <c r="G47" s="485">
        <v>10.0</v>
      </c>
      <c r="H47" s="394">
        <f t="shared" si="7"/>
        <v>144.1499282</v>
      </c>
      <c r="I47" s="394"/>
      <c r="J47" s="394"/>
      <c r="K47" s="394"/>
      <c r="L47" s="394"/>
      <c r="M47" s="394"/>
      <c r="N47" s="394"/>
      <c r="O47" s="394"/>
      <c r="P47" s="394"/>
      <c r="Q47" s="394"/>
      <c r="R47" s="394"/>
      <c r="S47" s="394"/>
      <c r="T47" s="394"/>
      <c r="U47" s="394"/>
      <c r="V47" s="394"/>
      <c r="W47" s="394"/>
      <c r="X47" s="394"/>
      <c r="Y47" s="394"/>
      <c r="Z47" s="394"/>
    </row>
    <row r="48">
      <c r="B48" s="485">
        <v>11.0</v>
      </c>
      <c r="C48" s="486">
        <f t="shared" si="5"/>
        <v>0.05746550535</v>
      </c>
      <c r="D48" s="486">
        <f t="shared" si="8"/>
        <v>0.6038230909</v>
      </c>
      <c r="E48" s="486">
        <f t="shared" si="6"/>
        <v>13.284108</v>
      </c>
      <c r="F48" s="394"/>
      <c r="G48" s="485">
        <v>11.0</v>
      </c>
      <c r="H48" s="394">
        <f t="shared" si="7"/>
        <v>168.6062895</v>
      </c>
      <c r="I48" s="394"/>
      <c r="J48" s="394"/>
      <c r="K48" s="394"/>
      <c r="L48" s="394"/>
      <c r="M48" s="394"/>
      <c r="N48" s="394"/>
      <c r="O48" s="394"/>
      <c r="P48" s="394"/>
      <c r="Q48" s="394"/>
      <c r="R48" s="394"/>
      <c r="S48" s="394"/>
      <c r="T48" s="394"/>
      <c r="U48" s="394"/>
      <c r="V48" s="394"/>
      <c r="W48" s="394"/>
      <c r="X48" s="394"/>
      <c r="Y48" s="394"/>
      <c r="Z48" s="394"/>
    </row>
    <row r="49">
      <c r="B49" s="485">
        <v>12.0</v>
      </c>
      <c r="C49" s="486">
        <f t="shared" si="5"/>
        <v>0.06037172898</v>
      </c>
      <c r="D49" s="486">
        <f t="shared" si="8"/>
        <v>0.543451362</v>
      </c>
      <c r="E49" s="486">
        <f t="shared" si="6"/>
        <v>11.95592996</v>
      </c>
      <c r="F49" s="394"/>
      <c r="G49" s="485">
        <v>12.0</v>
      </c>
      <c r="H49" s="394">
        <f t="shared" si="7"/>
        <v>194.2994912</v>
      </c>
      <c r="I49" s="394"/>
      <c r="J49" s="394"/>
      <c r="K49" s="394"/>
      <c r="L49" s="394"/>
      <c r="M49" s="394"/>
      <c r="N49" s="394"/>
      <c r="O49" s="394"/>
      <c r="P49" s="394"/>
      <c r="Q49" s="394"/>
      <c r="R49" s="394"/>
      <c r="S49" s="394"/>
      <c r="T49" s="394"/>
      <c r="U49" s="394"/>
      <c r="V49" s="394"/>
      <c r="W49" s="394"/>
      <c r="X49" s="394"/>
      <c r="Y49" s="394"/>
      <c r="Z49" s="394"/>
    </row>
    <row r="50">
      <c r="B50" s="485">
        <v>13.0</v>
      </c>
      <c r="C50" s="486">
        <f t="shared" si="5"/>
        <v>0.06302540386</v>
      </c>
      <c r="D50" s="486">
        <f t="shared" si="8"/>
        <v>0.4804259581</v>
      </c>
      <c r="E50" s="486">
        <f t="shared" si="6"/>
        <v>10.56937108</v>
      </c>
      <c r="F50" s="394"/>
      <c r="G50" s="485">
        <v>13.0</v>
      </c>
      <c r="H50" s="394">
        <f t="shared" si="7"/>
        <v>221.1220527</v>
      </c>
      <c r="I50" s="394"/>
      <c r="J50" s="394"/>
      <c r="K50" s="394"/>
      <c r="L50" s="394"/>
      <c r="M50" s="394"/>
      <c r="N50" s="394"/>
      <c r="O50" s="394"/>
      <c r="P50" s="394"/>
      <c r="Q50" s="394"/>
      <c r="R50" s="394"/>
      <c r="S50" s="394"/>
      <c r="T50" s="394"/>
      <c r="U50" s="394"/>
      <c r="V50" s="394"/>
      <c r="W50" s="394"/>
      <c r="X50" s="394"/>
      <c r="Y50" s="394"/>
      <c r="Z50" s="394"/>
    </row>
    <row r="51">
      <c r="B51" s="489">
        <v>14.0</v>
      </c>
      <c r="C51" s="490">
        <f t="shared" si="5"/>
        <v>0.06544847629</v>
      </c>
      <c r="D51" s="490">
        <f t="shared" si="8"/>
        <v>0.4149774818</v>
      </c>
      <c r="E51" s="490">
        <f t="shared" si="6"/>
        <v>9.1295046</v>
      </c>
      <c r="F51" s="394"/>
      <c r="G51" s="489">
        <v>14.0</v>
      </c>
      <c r="H51" s="488">
        <f t="shared" si="7"/>
        <v>248.9758334</v>
      </c>
      <c r="I51" s="394"/>
      <c r="J51" s="394"/>
      <c r="K51" s="394"/>
      <c r="L51" s="394"/>
      <c r="M51" s="394"/>
      <c r="N51" s="394"/>
      <c r="O51" s="394"/>
      <c r="P51" s="394"/>
      <c r="Q51" s="394"/>
      <c r="R51" s="394"/>
      <c r="S51" s="394"/>
      <c r="T51" s="394"/>
      <c r="U51" s="394"/>
      <c r="V51" s="394"/>
      <c r="W51" s="394"/>
      <c r="X51" s="394"/>
      <c r="Y51" s="394"/>
      <c r="Z51" s="394"/>
    </row>
    <row r="52">
      <c r="B52" s="485">
        <v>15.0</v>
      </c>
      <c r="C52" s="486">
        <f t="shared" si="5"/>
        <v>0.06766098546</v>
      </c>
      <c r="D52" s="486">
        <f t="shared" si="8"/>
        <v>0.3473164964</v>
      </c>
      <c r="E52" s="486">
        <f t="shared" si="6"/>
        <v>7.64096292</v>
      </c>
      <c r="F52" s="394"/>
      <c r="G52" s="491" t="s">
        <v>715</v>
      </c>
      <c r="H52" s="394">
        <f>AVERAGE(H37:H51)</f>
        <v>96.41694617</v>
      </c>
      <c r="I52" s="394"/>
      <c r="J52" s="394"/>
      <c r="K52" s="394"/>
      <c r="L52" s="394"/>
      <c r="M52" s="394"/>
      <c r="N52" s="394"/>
      <c r="O52" s="394"/>
      <c r="P52" s="394"/>
      <c r="Q52" s="394"/>
      <c r="R52" s="394"/>
      <c r="S52" s="394"/>
      <c r="T52" s="394"/>
      <c r="U52" s="394"/>
      <c r="V52" s="394"/>
      <c r="W52" s="394"/>
      <c r="X52" s="394"/>
      <c r="Y52" s="394"/>
      <c r="Z52" s="394"/>
    </row>
    <row r="53">
      <c r="B53" s="485">
        <v>16.0</v>
      </c>
      <c r="C53" s="486">
        <f t="shared" si="5"/>
        <v>0.06968122917</v>
      </c>
      <c r="D53" s="486">
        <f t="shared" si="8"/>
        <v>0.2776352672</v>
      </c>
      <c r="E53" s="486">
        <f t="shared" si="6"/>
        <v>6.107975878</v>
      </c>
      <c r="F53" s="394"/>
      <c r="G53" s="394"/>
      <c r="H53" s="394"/>
      <c r="I53" s="394"/>
      <c r="J53" s="394"/>
      <c r="K53" s="394"/>
      <c r="L53" s="394"/>
      <c r="M53" s="394"/>
      <c r="N53" s="394"/>
      <c r="O53" s="394"/>
      <c r="P53" s="394"/>
      <c r="Q53" s="394"/>
      <c r="R53" s="394"/>
      <c r="S53" s="394"/>
      <c r="T53" s="394"/>
      <c r="U53" s="394"/>
      <c r="V53" s="394"/>
      <c r="W53" s="394"/>
      <c r="X53" s="394"/>
      <c r="Y53" s="394"/>
      <c r="Z53" s="394"/>
    </row>
    <row r="54">
      <c r="B54" s="485">
        <v>17.0</v>
      </c>
      <c r="C54" s="486">
        <f t="shared" si="5"/>
        <v>0.07152591515</v>
      </c>
      <c r="D54" s="486">
        <f t="shared" si="8"/>
        <v>0.206109352</v>
      </c>
      <c r="E54" s="486">
        <f t="shared" si="6"/>
        <v>4.534405745</v>
      </c>
      <c r="F54" s="394"/>
      <c r="G54" s="394"/>
      <c r="H54" s="394"/>
      <c r="I54" s="394"/>
      <c r="J54" s="394"/>
      <c r="K54" s="394"/>
      <c r="L54" s="394"/>
      <c r="M54" s="394"/>
      <c r="N54" s="394"/>
      <c r="O54" s="394"/>
      <c r="P54" s="394"/>
      <c r="Q54" s="394"/>
      <c r="R54" s="394"/>
      <c r="S54" s="394"/>
      <c r="T54" s="394"/>
      <c r="U54" s="394"/>
      <c r="V54" s="394"/>
      <c r="W54" s="394"/>
      <c r="X54" s="394"/>
      <c r="Y54" s="394"/>
      <c r="Z54" s="394"/>
    </row>
    <row r="55">
      <c r="B55" s="485">
        <v>18.0</v>
      </c>
      <c r="C55" s="486">
        <f t="shared" si="5"/>
        <v>0.07321029924</v>
      </c>
      <c r="D55" s="486">
        <f t="shared" si="8"/>
        <v>0.1328990528</v>
      </c>
      <c r="E55" s="486">
        <f t="shared" si="6"/>
        <v>2.923779161</v>
      </c>
      <c r="F55" s="394"/>
      <c r="G55" s="394"/>
      <c r="H55" s="394"/>
      <c r="I55" s="394"/>
      <c r="J55" s="394"/>
      <c r="K55" s="394"/>
      <c r="L55" s="394"/>
      <c r="M55" s="394"/>
      <c r="N55" s="394"/>
      <c r="O55" s="394"/>
      <c r="P55" s="394"/>
      <c r="Q55" s="394"/>
      <c r="R55" s="394"/>
      <c r="S55" s="394"/>
      <c r="T55" s="394"/>
      <c r="U55" s="394"/>
      <c r="V55" s="394"/>
      <c r="W55" s="394"/>
      <c r="X55" s="394"/>
      <c r="Y55" s="394"/>
      <c r="Z55" s="394"/>
    </row>
    <row r="56">
      <c r="B56" s="485">
        <v>19.0</v>
      </c>
      <c r="C56" s="486">
        <f t="shared" si="5"/>
        <v>0.07474831156</v>
      </c>
      <c r="D56" s="486">
        <f t="shared" si="8"/>
        <v>0.05815074122</v>
      </c>
      <c r="E56" s="486">
        <f t="shared" si="6"/>
        <v>1.279316307</v>
      </c>
      <c r="F56" s="394"/>
      <c r="G56" s="394"/>
      <c r="H56" s="394"/>
      <c r="I56" s="394"/>
      <c r="J56" s="394"/>
      <c r="K56" s="394"/>
      <c r="L56" s="394"/>
      <c r="M56" s="394"/>
      <c r="N56" s="394"/>
      <c r="O56" s="394"/>
      <c r="P56" s="394"/>
      <c r="Q56" s="394"/>
      <c r="R56" s="394"/>
      <c r="S56" s="394"/>
      <c r="T56" s="394"/>
      <c r="U56" s="394"/>
      <c r="V56" s="394"/>
      <c r="W56" s="394"/>
      <c r="X56" s="394"/>
      <c r="Y56" s="394"/>
      <c r="Z56" s="394"/>
    </row>
    <row r="57">
      <c r="B57" s="485">
        <v>20.0</v>
      </c>
      <c r="C57" s="486">
        <f t="shared" si="5"/>
        <v>0.07615267171</v>
      </c>
      <c r="D57" s="486">
        <f t="shared" si="8"/>
        <v>-0.01800193049</v>
      </c>
      <c r="E57" s="486">
        <f t="shared" si="6"/>
        <v>-0.3960424707</v>
      </c>
      <c r="F57" s="394"/>
      <c r="G57" s="394"/>
      <c r="H57" s="394"/>
      <c r="I57" s="394"/>
      <c r="J57" s="394"/>
      <c r="K57" s="394"/>
      <c r="L57" s="394"/>
      <c r="M57" s="394"/>
      <c r="N57" s="394"/>
      <c r="O57" s="394"/>
      <c r="P57" s="394"/>
      <c r="Q57" s="394"/>
      <c r="R57" s="394"/>
      <c r="S57" s="394"/>
      <c r="T57" s="394"/>
      <c r="U57" s="394"/>
      <c r="V57" s="394"/>
      <c r="W57" s="394"/>
      <c r="X57" s="394"/>
      <c r="Y57" s="394"/>
      <c r="Z57" s="394"/>
    </row>
    <row r="58">
      <c r="B58" s="485">
        <v>21.0</v>
      </c>
      <c r="C58" s="486">
        <f t="shared" si="5"/>
        <v>0.07743499397</v>
      </c>
      <c r="D58" s="486">
        <f t="shared" si="8"/>
        <v>-0.09543692446</v>
      </c>
      <c r="E58" s="486">
        <f t="shared" si="6"/>
        <v>-2.099612338</v>
      </c>
      <c r="F58" s="394"/>
      <c r="G58" s="394"/>
      <c r="H58" s="394"/>
      <c r="I58" s="394"/>
      <c r="J58" s="394"/>
      <c r="K58" s="394"/>
      <c r="L58" s="394"/>
      <c r="M58" s="394"/>
      <c r="N58" s="394"/>
      <c r="O58" s="394"/>
      <c r="P58" s="394"/>
      <c r="Q58" s="394"/>
      <c r="R58" s="394"/>
      <c r="S58" s="394"/>
      <c r="T58" s="394"/>
      <c r="U58" s="394"/>
      <c r="V58" s="394"/>
      <c r="W58" s="394"/>
      <c r="X58" s="394"/>
      <c r="Y58" s="394"/>
      <c r="Z58" s="394"/>
    </row>
    <row r="59">
      <c r="B59" s="394"/>
      <c r="C59" s="394"/>
      <c r="D59" s="394"/>
      <c r="E59" s="394"/>
      <c r="F59" s="394"/>
      <c r="G59" s="394"/>
      <c r="H59" s="394"/>
      <c r="I59" s="394"/>
      <c r="J59" s="394"/>
      <c r="K59" s="394"/>
      <c r="L59" s="394"/>
      <c r="M59" s="394"/>
      <c r="N59" s="394"/>
      <c r="O59" s="394"/>
      <c r="P59" s="394"/>
      <c r="Q59" s="394"/>
      <c r="R59" s="394"/>
      <c r="S59" s="394"/>
      <c r="T59" s="394"/>
      <c r="U59" s="394"/>
      <c r="V59" s="394"/>
      <c r="W59" s="394"/>
      <c r="X59" s="394"/>
      <c r="Y59" s="394"/>
      <c r="Z59" s="394"/>
    </row>
    <row r="60">
      <c r="B60" s="394"/>
      <c r="C60" s="394"/>
      <c r="D60" s="394"/>
      <c r="E60" s="394"/>
      <c r="F60" s="394"/>
      <c r="G60" s="394"/>
      <c r="H60" s="394"/>
      <c r="I60" s="394"/>
      <c r="J60" s="394"/>
      <c r="K60" s="394"/>
      <c r="L60" s="394"/>
      <c r="M60" s="394"/>
      <c r="N60" s="394"/>
      <c r="O60" s="394"/>
      <c r="P60" s="394"/>
      <c r="Q60" s="394"/>
      <c r="R60" s="394"/>
      <c r="S60" s="394"/>
      <c r="T60" s="394"/>
      <c r="U60" s="394"/>
      <c r="V60" s="394"/>
      <c r="W60" s="394"/>
      <c r="X60" s="394"/>
      <c r="Y60" s="394"/>
      <c r="Z60" s="394"/>
    </row>
    <row r="61">
      <c r="B61" s="479" t="s">
        <v>718</v>
      </c>
      <c r="C61" s="394"/>
      <c r="D61" s="211"/>
      <c r="E61" s="211"/>
      <c r="F61" s="394"/>
      <c r="G61" s="394"/>
      <c r="H61" s="394"/>
      <c r="I61" s="394"/>
      <c r="J61" s="394"/>
      <c r="K61" s="394"/>
      <c r="L61" s="394"/>
      <c r="M61" s="394"/>
      <c r="N61" s="394"/>
      <c r="O61" s="394"/>
      <c r="P61" s="394"/>
      <c r="Q61" s="394"/>
      <c r="R61" s="394"/>
      <c r="S61" s="394"/>
      <c r="T61" s="394"/>
      <c r="U61" s="394"/>
      <c r="V61" s="394"/>
      <c r="W61" s="394"/>
      <c r="X61" s="394"/>
      <c r="Y61" s="394"/>
      <c r="Z61" s="394"/>
    </row>
    <row r="62">
      <c r="B62" s="480"/>
      <c r="C62" s="480"/>
      <c r="D62" s="480"/>
      <c r="E62" s="480"/>
      <c r="F62" s="394"/>
      <c r="G62" s="394"/>
      <c r="H62" s="394"/>
      <c r="I62" s="394"/>
      <c r="J62" s="394"/>
      <c r="K62" s="394"/>
      <c r="L62" s="394"/>
      <c r="M62" s="394"/>
      <c r="N62" s="394"/>
      <c r="O62" s="394"/>
      <c r="P62" s="394"/>
      <c r="Q62" s="394"/>
      <c r="R62" s="394"/>
      <c r="S62" s="394"/>
      <c r="T62" s="394"/>
      <c r="U62" s="394"/>
      <c r="V62" s="394"/>
      <c r="W62" s="394"/>
      <c r="X62" s="394"/>
      <c r="Y62" s="394"/>
      <c r="Z62" s="394"/>
    </row>
    <row r="63">
      <c r="B63" s="482" t="s">
        <v>711</v>
      </c>
      <c r="C63" s="483" t="s">
        <v>712</v>
      </c>
      <c r="D63" s="483" t="s">
        <v>713</v>
      </c>
      <c r="E63" s="483" t="s">
        <v>714</v>
      </c>
      <c r="F63" s="394"/>
      <c r="G63" s="482" t="s">
        <v>711</v>
      </c>
      <c r="H63" s="394" t="s">
        <v>719</v>
      </c>
      <c r="I63" s="394"/>
      <c r="J63" s="394"/>
      <c r="K63" s="394"/>
      <c r="L63" s="394"/>
      <c r="M63" s="394"/>
      <c r="N63" s="394"/>
      <c r="O63" s="394"/>
      <c r="P63" s="394"/>
      <c r="Q63" s="394"/>
      <c r="R63" s="394"/>
      <c r="S63" s="394"/>
      <c r="T63" s="394"/>
      <c r="U63" s="394"/>
      <c r="V63" s="394"/>
      <c r="W63" s="394"/>
      <c r="X63" s="394"/>
      <c r="Y63" s="394"/>
      <c r="Z63" s="394"/>
    </row>
    <row r="64">
      <c r="B64" s="485">
        <v>0.0</v>
      </c>
      <c r="C64" s="486">
        <f t="shared" ref="C64:C76" si="9">($C$6/$D$6)*(1-EXP(-($C$6/$D$6)*B64))</f>
        <v>0</v>
      </c>
      <c r="D64" s="486">
        <v>1.0</v>
      </c>
      <c r="E64" s="486">
        <f t="shared" ref="E64:E76" si="10">+$D$6*D64</f>
        <v>12</v>
      </c>
      <c r="F64" s="394"/>
      <c r="G64" s="485">
        <v>0.0</v>
      </c>
      <c r="H64" s="394">
        <f t="shared" ref="H64:H71" si="11">(1-D64)*$E$6</f>
        <v>0</v>
      </c>
      <c r="I64" s="394"/>
      <c r="J64" s="394"/>
      <c r="K64" s="394"/>
      <c r="L64" s="394"/>
      <c r="M64" s="394"/>
      <c r="N64" s="394"/>
      <c r="O64" s="394"/>
      <c r="P64" s="394"/>
      <c r="Q64" s="394"/>
      <c r="R64" s="394"/>
      <c r="S64" s="394"/>
      <c r="T64" s="394"/>
      <c r="U64" s="394"/>
      <c r="V64" s="394"/>
      <c r="W64" s="394"/>
      <c r="X64" s="394"/>
      <c r="Y64" s="394"/>
      <c r="Z64" s="394"/>
    </row>
    <row r="65">
      <c r="B65" s="485">
        <v>1.0</v>
      </c>
      <c r="C65" s="486">
        <f t="shared" si="9"/>
        <v>0.02558637918</v>
      </c>
      <c r="D65" s="486">
        <f t="shared" ref="D65:D76" si="12">D64-C65</f>
        <v>0.9744136208</v>
      </c>
      <c r="E65" s="486">
        <f t="shared" si="10"/>
        <v>11.69296345</v>
      </c>
      <c r="F65" s="394"/>
      <c r="G65" s="485">
        <v>1.0</v>
      </c>
      <c r="H65" s="394">
        <f t="shared" si="11"/>
        <v>23.70791251</v>
      </c>
      <c r="I65" s="394"/>
      <c r="J65" s="394"/>
      <c r="K65" s="394"/>
      <c r="L65" s="394"/>
      <c r="M65" s="394"/>
      <c r="N65" s="394"/>
      <c r="O65" s="394"/>
      <c r="P65" s="394"/>
      <c r="Q65" s="394"/>
      <c r="R65" s="394"/>
      <c r="S65" s="394"/>
      <c r="T65" s="394"/>
      <c r="U65" s="394"/>
      <c r="V65" s="394"/>
      <c r="W65" s="394"/>
      <c r="X65" s="394"/>
      <c r="Y65" s="394"/>
      <c r="Z65" s="394"/>
    </row>
    <row r="66">
      <c r="B66" s="485">
        <v>2.0</v>
      </c>
      <c r="C66" s="486">
        <f t="shared" si="9"/>
        <v>0.04724478157</v>
      </c>
      <c r="D66" s="486">
        <f t="shared" si="12"/>
        <v>0.9271688392</v>
      </c>
      <c r="E66" s="486">
        <f t="shared" si="10"/>
        <v>11.12602607</v>
      </c>
      <c r="F66" s="394"/>
      <c r="G66" s="485">
        <v>2.0</v>
      </c>
      <c r="H66" s="394">
        <f t="shared" si="11"/>
        <v>67.4841397</v>
      </c>
      <c r="I66" s="394"/>
      <c r="J66" s="394"/>
      <c r="K66" s="394"/>
      <c r="L66" s="394"/>
      <c r="M66" s="394"/>
      <c r="N66" s="394"/>
      <c r="O66" s="394"/>
      <c r="P66" s="394"/>
      <c r="Q66" s="394"/>
      <c r="R66" s="394"/>
      <c r="S66" s="394"/>
      <c r="T66" s="394"/>
      <c r="U66" s="394"/>
      <c r="V66" s="394"/>
      <c r="W66" s="394"/>
      <c r="X66" s="394"/>
      <c r="Y66" s="394"/>
      <c r="Z66" s="394"/>
    </row>
    <row r="67">
      <c r="B67" s="485">
        <v>3.0</v>
      </c>
      <c r="C67" s="486">
        <f t="shared" si="9"/>
        <v>0.06557822338</v>
      </c>
      <c r="D67" s="486">
        <f t="shared" si="12"/>
        <v>0.8615906159</v>
      </c>
      <c r="E67" s="486">
        <f t="shared" si="10"/>
        <v>10.33908739</v>
      </c>
      <c r="F67" s="394"/>
      <c r="G67" s="485">
        <v>3.0</v>
      </c>
      <c r="H67" s="394">
        <f t="shared" si="11"/>
        <v>128.2478285</v>
      </c>
      <c r="I67" s="394"/>
      <c r="J67" s="394"/>
      <c r="K67" s="394"/>
      <c r="L67" s="394"/>
      <c r="M67" s="394"/>
      <c r="N67" s="394"/>
      <c r="O67" s="394"/>
      <c r="P67" s="394"/>
      <c r="Q67" s="394"/>
      <c r="R67" s="394"/>
      <c r="S67" s="394"/>
      <c r="T67" s="394"/>
      <c r="U67" s="394"/>
      <c r="V67" s="394"/>
      <c r="W67" s="394"/>
      <c r="X67" s="394"/>
      <c r="Y67" s="394"/>
      <c r="Z67" s="394"/>
    </row>
    <row r="68">
      <c r="B68" s="485">
        <v>4.0</v>
      </c>
      <c r="C68" s="486">
        <f t="shared" si="9"/>
        <v>0.08109714683</v>
      </c>
      <c r="D68" s="486">
        <f t="shared" si="12"/>
        <v>0.780493469</v>
      </c>
      <c r="E68" s="486">
        <f t="shared" si="10"/>
        <v>9.365921628</v>
      </c>
      <c r="F68" s="394"/>
      <c r="G68" s="485">
        <v>4.0</v>
      </c>
      <c r="H68" s="394">
        <f t="shared" si="11"/>
        <v>203.3910932</v>
      </c>
      <c r="I68" s="394"/>
      <c r="J68" s="394"/>
      <c r="K68" s="394"/>
      <c r="L68" s="394"/>
      <c r="M68" s="394"/>
      <c r="N68" s="394"/>
      <c r="O68" s="394"/>
      <c r="P68" s="394"/>
      <c r="Q68" s="394"/>
      <c r="R68" s="394"/>
      <c r="S68" s="394"/>
      <c r="T68" s="394"/>
      <c r="U68" s="394"/>
      <c r="V68" s="394"/>
      <c r="W68" s="394"/>
      <c r="X68" s="394"/>
      <c r="Y68" s="394"/>
      <c r="Z68" s="394"/>
    </row>
    <row r="69">
      <c r="B69" s="485">
        <v>5.0</v>
      </c>
      <c r="C69" s="486">
        <f t="shared" si="9"/>
        <v>0.09423363192</v>
      </c>
      <c r="D69" s="486">
        <f t="shared" si="12"/>
        <v>0.6862598371</v>
      </c>
      <c r="E69" s="486">
        <f t="shared" si="10"/>
        <v>8.235118045</v>
      </c>
      <c r="F69" s="394"/>
      <c r="G69" s="485">
        <v>5.0</v>
      </c>
      <c r="H69" s="394">
        <f t="shared" si="11"/>
        <v>290.7064059</v>
      </c>
      <c r="I69" s="394"/>
      <c r="J69" s="394"/>
      <c r="K69" s="394"/>
      <c r="L69" s="394"/>
      <c r="M69" s="394"/>
      <c r="N69" s="394"/>
      <c r="O69" s="394"/>
      <c r="P69" s="394"/>
      <c r="Q69" s="394"/>
      <c r="R69" s="394"/>
      <c r="S69" s="394"/>
      <c r="T69" s="394"/>
      <c r="U69" s="394"/>
      <c r="V69" s="394"/>
      <c r="W69" s="394"/>
      <c r="X69" s="394"/>
      <c r="Y69" s="394"/>
      <c r="Z69" s="394"/>
    </row>
    <row r="70">
      <c r="B70" s="485">
        <v>6.0</v>
      </c>
      <c r="C70" s="486">
        <f t="shared" si="9"/>
        <v>0.1053534265</v>
      </c>
      <c r="D70" s="486">
        <f t="shared" si="12"/>
        <v>0.5809064106</v>
      </c>
      <c r="E70" s="486">
        <f t="shared" si="10"/>
        <v>6.970876928</v>
      </c>
      <c r="F70" s="394"/>
      <c r="G70" s="485">
        <v>6.0</v>
      </c>
      <c r="H70" s="394">
        <f t="shared" si="11"/>
        <v>388.325135</v>
      </c>
      <c r="I70" s="394"/>
      <c r="J70" s="394"/>
      <c r="K70" s="394"/>
      <c r="L70" s="394"/>
      <c r="M70" s="394"/>
      <c r="N70" s="394"/>
      <c r="O70" s="394"/>
      <c r="P70" s="394"/>
      <c r="Q70" s="394"/>
      <c r="R70" s="394"/>
      <c r="S70" s="394"/>
      <c r="T70" s="394"/>
      <c r="U70" s="394"/>
      <c r="V70" s="394"/>
      <c r="W70" s="394"/>
      <c r="X70" s="394"/>
      <c r="Y70" s="394"/>
      <c r="Z70" s="394"/>
    </row>
    <row r="71">
      <c r="B71" s="489">
        <v>7.0</v>
      </c>
      <c r="C71" s="490">
        <f t="shared" si="9"/>
        <v>0.1147661293</v>
      </c>
      <c r="D71" s="490">
        <f t="shared" si="12"/>
        <v>0.4661402813</v>
      </c>
      <c r="E71" s="490">
        <f t="shared" si="10"/>
        <v>5.593683376</v>
      </c>
      <c r="F71" s="394"/>
      <c r="G71" s="489">
        <v>7.0</v>
      </c>
      <c r="H71" s="488">
        <f t="shared" si="11"/>
        <v>494.6655177</v>
      </c>
      <c r="I71" s="394"/>
      <c r="J71" s="394"/>
      <c r="K71" s="394"/>
      <c r="L71" s="394"/>
      <c r="M71" s="394"/>
      <c r="N71" s="394"/>
      <c r="O71" s="394"/>
      <c r="P71" s="394"/>
      <c r="Q71" s="394"/>
      <c r="R71" s="394"/>
      <c r="S71" s="394"/>
      <c r="T71" s="394"/>
      <c r="U71" s="394"/>
      <c r="V71" s="394"/>
      <c r="W71" s="394"/>
      <c r="X71" s="394"/>
      <c r="Y71" s="394"/>
      <c r="Z71" s="394"/>
    </row>
    <row r="72">
      <c r="B72" s="485">
        <v>8.0</v>
      </c>
      <c r="C72" s="486">
        <f t="shared" si="9"/>
        <v>0.1227338103</v>
      </c>
      <c r="D72" s="486">
        <f t="shared" si="12"/>
        <v>0.343406471</v>
      </c>
      <c r="E72" s="486">
        <f t="shared" si="10"/>
        <v>4.120877652</v>
      </c>
      <c r="F72" s="394"/>
      <c r="G72" s="491" t="s">
        <v>715</v>
      </c>
      <c r="H72" s="394">
        <f>AVERAGE(H64:H71)</f>
        <v>199.5660041</v>
      </c>
      <c r="I72" s="394"/>
      <c r="J72" s="394"/>
      <c r="K72" s="394"/>
      <c r="L72" s="394"/>
      <c r="M72" s="394"/>
      <c r="N72" s="394"/>
      <c r="O72" s="394"/>
      <c r="P72" s="394"/>
      <c r="Q72" s="394"/>
      <c r="R72" s="394"/>
      <c r="S72" s="394"/>
      <c r="T72" s="394"/>
      <c r="U72" s="394"/>
      <c r="V72" s="394"/>
      <c r="W72" s="394"/>
      <c r="X72" s="394"/>
      <c r="Y72" s="394"/>
      <c r="Z72" s="394"/>
    </row>
    <row r="73">
      <c r="B73" s="485">
        <v>9.0</v>
      </c>
      <c r="C73" s="486">
        <f t="shared" si="9"/>
        <v>0.1294783066</v>
      </c>
      <c r="D73" s="486">
        <f t="shared" si="12"/>
        <v>0.2139281643</v>
      </c>
      <c r="E73" s="486">
        <f t="shared" si="10"/>
        <v>2.567137972</v>
      </c>
      <c r="F73" s="394"/>
      <c r="G73" s="394"/>
      <c r="H73" s="394"/>
      <c r="I73" s="394"/>
      <c r="J73" s="394"/>
      <c r="K73" s="394"/>
      <c r="L73" s="394"/>
      <c r="M73" s="394"/>
      <c r="N73" s="394"/>
      <c r="O73" s="394"/>
      <c r="P73" s="394"/>
      <c r="Q73" s="394"/>
      <c r="R73" s="394"/>
      <c r="S73" s="394"/>
      <c r="T73" s="394"/>
      <c r="U73" s="394"/>
      <c r="V73" s="394"/>
      <c r="W73" s="394"/>
      <c r="X73" s="394"/>
      <c r="Y73" s="394"/>
      <c r="Z73" s="394"/>
    </row>
    <row r="74">
      <c r="B74" s="485">
        <v>10.0</v>
      </c>
      <c r="C74" s="486">
        <f t="shared" si="9"/>
        <v>0.1351873995</v>
      </c>
      <c r="D74" s="486">
        <f t="shared" si="12"/>
        <v>0.07874076482</v>
      </c>
      <c r="E74" s="486">
        <f t="shared" si="10"/>
        <v>0.9448891778</v>
      </c>
      <c r="F74" s="394"/>
      <c r="G74" s="394"/>
      <c r="H74" s="394"/>
      <c r="I74" s="394"/>
      <c r="J74" s="394"/>
      <c r="K74" s="394"/>
      <c r="L74" s="394"/>
      <c r="M74" s="394"/>
      <c r="N74" s="394"/>
      <c r="O74" s="394"/>
      <c r="P74" s="394"/>
      <c r="Q74" s="394"/>
      <c r="R74" s="394"/>
      <c r="S74" s="394"/>
      <c r="T74" s="394"/>
      <c r="U74" s="394"/>
      <c r="V74" s="394"/>
      <c r="W74" s="394"/>
      <c r="X74" s="394"/>
      <c r="Y74" s="394"/>
      <c r="Z74" s="394"/>
    </row>
    <row r="75">
      <c r="B75" s="485">
        <v>11.0</v>
      </c>
      <c r="C75" s="486">
        <f t="shared" si="9"/>
        <v>0.1400200423</v>
      </c>
      <c r="D75" s="486">
        <f t="shared" si="12"/>
        <v>-0.0612792775</v>
      </c>
      <c r="E75" s="486">
        <f t="shared" si="10"/>
        <v>-0.73535133</v>
      </c>
      <c r="F75" s="394"/>
      <c r="G75" s="394"/>
      <c r="H75" s="394"/>
      <c r="I75" s="394"/>
      <c r="J75" s="394"/>
      <c r="K75" s="394"/>
      <c r="L75" s="394"/>
      <c r="M75" s="394"/>
      <c r="N75" s="394"/>
      <c r="O75" s="394"/>
      <c r="P75" s="394"/>
      <c r="Q75" s="394"/>
      <c r="R75" s="394"/>
      <c r="S75" s="394"/>
      <c r="T75" s="394"/>
      <c r="U75" s="394"/>
      <c r="V75" s="394"/>
      <c r="W75" s="394"/>
      <c r="X75" s="394"/>
      <c r="Y75" s="394"/>
      <c r="Z75" s="394"/>
    </row>
    <row r="76">
      <c r="B76" s="485">
        <v>12.0</v>
      </c>
      <c r="C76" s="486">
        <f t="shared" si="9"/>
        <v>0.1441107861</v>
      </c>
      <c r="D76" s="486">
        <f t="shared" si="12"/>
        <v>-0.2053900636</v>
      </c>
      <c r="E76" s="486">
        <f t="shared" si="10"/>
        <v>-2.464680764</v>
      </c>
      <c r="F76" s="394"/>
      <c r="G76" s="394"/>
      <c r="H76" s="394"/>
      <c r="I76" s="394"/>
      <c r="J76" s="394"/>
      <c r="K76" s="394"/>
      <c r="L76" s="394"/>
      <c r="M76" s="394"/>
      <c r="N76" s="394"/>
      <c r="O76" s="394"/>
      <c r="P76" s="394"/>
      <c r="Q76" s="394"/>
      <c r="R76" s="394"/>
      <c r="S76" s="394"/>
      <c r="T76" s="394"/>
      <c r="U76" s="394"/>
      <c r="V76" s="394"/>
      <c r="W76" s="394"/>
      <c r="X76" s="394"/>
      <c r="Y76" s="394"/>
      <c r="Z76" s="394"/>
    </row>
    <row r="77">
      <c r="B77" s="394"/>
      <c r="C77" s="394"/>
      <c r="D77" s="394"/>
      <c r="E77" s="394"/>
      <c r="F77" s="394"/>
      <c r="G77" s="394"/>
      <c r="H77" s="394"/>
      <c r="I77" s="394"/>
      <c r="J77" s="394"/>
      <c r="K77" s="394"/>
      <c r="L77" s="394"/>
      <c r="M77" s="394"/>
      <c r="N77" s="394"/>
      <c r="O77" s="394"/>
      <c r="P77" s="394"/>
      <c r="Q77" s="394"/>
      <c r="R77" s="394"/>
      <c r="S77" s="394"/>
      <c r="T77" s="394"/>
      <c r="U77" s="394"/>
      <c r="V77" s="394"/>
      <c r="W77" s="394"/>
      <c r="X77" s="394"/>
      <c r="Y77" s="394"/>
      <c r="Z77" s="394"/>
    </row>
    <row r="78">
      <c r="B78" s="394"/>
      <c r="C78" s="394"/>
      <c r="D78" s="394"/>
      <c r="E78" s="394"/>
      <c r="F78" s="394"/>
      <c r="G78" s="394"/>
      <c r="H78" s="394"/>
      <c r="I78" s="394"/>
      <c r="J78" s="394"/>
      <c r="K78" s="394"/>
      <c r="L78" s="394"/>
      <c r="M78" s="394"/>
      <c r="N78" s="394"/>
      <c r="O78" s="394"/>
      <c r="P78" s="394"/>
      <c r="Q78" s="394"/>
      <c r="R78" s="394"/>
      <c r="S78" s="394"/>
      <c r="T78" s="394"/>
      <c r="U78" s="394"/>
      <c r="V78" s="394"/>
      <c r="W78" s="394"/>
      <c r="X78" s="394"/>
      <c r="Y78" s="394"/>
      <c r="Z78" s="394"/>
    </row>
    <row r="79">
      <c r="B79" s="479" t="s">
        <v>720</v>
      </c>
      <c r="C79" s="394"/>
      <c r="D79" s="211"/>
      <c r="E79" s="211"/>
      <c r="F79" s="394"/>
      <c r="G79" s="394"/>
      <c r="H79" s="394"/>
      <c r="I79" s="394"/>
      <c r="J79" s="394"/>
      <c r="K79" s="394"/>
      <c r="L79" s="394"/>
      <c r="M79" s="394"/>
      <c r="N79" s="394"/>
      <c r="O79" s="394"/>
      <c r="P79" s="394"/>
      <c r="Q79" s="394"/>
      <c r="R79" s="394"/>
      <c r="S79" s="394"/>
      <c r="T79" s="394"/>
      <c r="U79" s="394"/>
      <c r="V79" s="394"/>
      <c r="W79" s="394"/>
      <c r="X79" s="394"/>
      <c r="Y79" s="394"/>
      <c r="Z79" s="394"/>
    </row>
    <row r="80">
      <c r="B80" s="480"/>
      <c r="C80" s="480"/>
      <c r="D80" s="480"/>
      <c r="E80" s="480"/>
      <c r="F80" s="394"/>
      <c r="G80" s="394"/>
      <c r="H80" s="394"/>
      <c r="I80" s="394"/>
      <c r="J80" s="394"/>
      <c r="K80" s="394"/>
      <c r="L80" s="394"/>
      <c r="M80" s="394"/>
      <c r="N80" s="394"/>
      <c r="O80" s="394"/>
      <c r="P80" s="394"/>
      <c r="Q80" s="394"/>
      <c r="R80" s="394"/>
      <c r="S80" s="394"/>
      <c r="T80" s="394"/>
      <c r="U80" s="394"/>
      <c r="V80" s="394"/>
      <c r="W80" s="394"/>
      <c r="X80" s="394"/>
      <c r="Y80" s="394"/>
      <c r="Z80" s="394"/>
    </row>
    <row r="81">
      <c r="B81" s="482" t="s">
        <v>711</v>
      </c>
      <c r="C81" s="483" t="s">
        <v>712</v>
      </c>
      <c r="D81" s="483" t="s">
        <v>713</v>
      </c>
      <c r="E81" s="483" t="s">
        <v>714</v>
      </c>
      <c r="F81" s="394"/>
      <c r="G81" s="482" t="s">
        <v>711</v>
      </c>
      <c r="H81" s="394" t="s">
        <v>721</v>
      </c>
      <c r="I81" s="394"/>
      <c r="J81" s="394"/>
      <c r="K81" s="394"/>
      <c r="L81" s="394"/>
      <c r="M81" s="394"/>
      <c r="N81" s="394"/>
      <c r="O81" s="394"/>
      <c r="P81" s="394"/>
      <c r="Q81" s="394"/>
      <c r="R81" s="394"/>
      <c r="S81" s="394"/>
      <c r="T81" s="394"/>
      <c r="U81" s="394"/>
      <c r="V81" s="394"/>
      <c r="W81" s="394"/>
      <c r="X81" s="394"/>
      <c r="Y81" s="394"/>
      <c r="Z81" s="394"/>
    </row>
    <row r="82">
      <c r="B82" s="485">
        <v>0.0</v>
      </c>
      <c r="C82" s="486">
        <f t="shared" ref="C82:C97" si="13">($C$7/$D$7)*(1-EXP(-($C$7/$D$7)*B82))</f>
        <v>0</v>
      </c>
      <c r="D82" s="486">
        <v>1.0</v>
      </c>
      <c r="E82" s="486">
        <f t="shared" ref="E82:E97" si="14">+$D$7*D82</f>
        <v>15</v>
      </c>
      <c r="F82" s="394"/>
      <c r="G82" s="485">
        <v>0.0</v>
      </c>
      <c r="H82" s="394">
        <f t="shared" ref="H82:H91" si="15">(1-D82)*$E$7</f>
        <v>0</v>
      </c>
      <c r="I82" s="394"/>
      <c r="J82" s="394"/>
      <c r="K82" s="394"/>
      <c r="L82" s="394"/>
      <c r="M82" s="394"/>
      <c r="N82" s="394"/>
      <c r="O82" s="394"/>
      <c r="P82" s="394"/>
      <c r="Q82" s="394"/>
      <c r="R82" s="394"/>
      <c r="S82" s="394"/>
      <c r="T82" s="394"/>
      <c r="U82" s="394"/>
      <c r="V82" s="394"/>
      <c r="W82" s="394"/>
      <c r="X82" s="394"/>
      <c r="Y82" s="394"/>
      <c r="Z82" s="394"/>
    </row>
    <row r="83">
      <c r="B83" s="485">
        <v>1.0</v>
      </c>
      <c r="C83" s="486">
        <f t="shared" si="13"/>
        <v>0.01664355746</v>
      </c>
      <c r="D83" s="486">
        <f t="shared" ref="D83:D97" si="16">D82-C83</f>
        <v>0.9833564425</v>
      </c>
      <c r="E83" s="486">
        <f t="shared" si="14"/>
        <v>14.75034664</v>
      </c>
      <c r="F83" s="394"/>
      <c r="G83" s="485">
        <v>1.0</v>
      </c>
      <c r="H83" s="394">
        <f t="shared" si="15"/>
        <v>4.675452683</v>
      </c>
      <c r="I83" s="394"/>
      <c r="J83" s="394"/>
      <c r="K83" s="394"/>
      <c r="L83" s="394"/>
      <c r="M83" s="394"/>
      <c r="N83" s="394"/>
      <c r="O83" s="394"/>
      <c r="P83" s="394"/>
      <c r="Q83" s="394"/>
      <c r="R83" s="394"/>
      <c r="S83" s="394"/>
      <c r="T83" s="394"/>
      <c r="U83" s="394"/>
      <c r="V83" s="394"/>
      <c r="W83" s="394"/>
      <c r="X83" s="394"/>
      <c r="Y83" s="394"/>
      <c r="Z83" s="394"/>
    </row>
    <row r="84">
      <c r="B84" s="485">
        <v>2.0</v>
      </c>
      <c r="C84" s="486">
        <f t="shared" si="13"/>
        <v>0.03120955488</v>
      </c>
      <c r="D84" s="486">
        <f t="shared" si="16"/>
        <v>0.9521468877</v>
      </c>
      <c r="E84" s="486">
        <f t="shared" si="14"/>
        <v>14.28220331</v>
      </c>
      <c r="F84" s="394"/>
      <c r="G84" s="485">
        <v>2.0</v>
      </c>
      <c r="H84" s="394">
        <f t="shared" si="15"/>
        <v>13.44273681</v>
      </c>
      <c r="I84" s="394"/>
      <c r="J84" s="394"/>
      <c r="K84" s="394"/>
      <c r="L84" s="394"/>
      <c r="M84" s="394"/>
      <c r="N84" s="394"/>
      <c r="O84" s="394"/>
      <c r="P84" s="394"/>
      <c r="Q84" s="394"/>
      <c r="R84" s="394"/>
      <c r="S84" s="394"/>
      <c r="T84" s="394"/>
      <c r="U84" s="394"/>
      <c r="V84" s="394"/>
      <c r="W84" s="394"/>
      <c r="X84" s="394"/>
      <c r="Y84" s="394"/>
      <c r="Z84" s="394"/>
    </row>
    <row r="85">
      <c r="B85" s="485">
        <v>3.0</v>
      </c>
      <c r="C85" s="486">
        <f t="shared" si="13"/>
        <v>0.0439573272</v>
      </c>
      <c r="D85" s="486">
        <f t="shared" si="16"/>
        <v>0.9081895605</v>
      </c>
      <c r="E85" s="486">
        <f t="shared" si="14"/>
        <v>13.62284341</v>
      </c>
      <c r="F85" s="394"/>
      <c r="G85" s="485">
        <v>3.0</v>
      </c>
      <c r="H85" s="394">
        <f t="shared" si="15"/>
        <v>25.79108264</v>
      </c>
      <c r="I85" s="394"/>
      <c r="J85" s="394"/>
      <c r="K85" s="394"/>
      <c r="L85" s="394"/>
      <c r="M85" s="394"/>
      <c r="N85" s="394"/>
      <c r="O85" s="394"/>
      <c r="P85" s="394"/>
      <c r="Q85" s="394"/>
      <c r="R85" s="394"/>
      <c r="S85" s="394"/>
      <c r="T85" s="394"/>
      <c r="U85" s="394"/>
      <c r="V85" s="394"/>
      <c r="W85" s="394"/>
      <c r="X85" s="394"/>
      <c r="Y85" s="394"/>
      <c r="Z85" s="394"/>
    </row>
    <row r="86">
      <c r="B86" s="485">
        <v>4.0</v>
      </c>
      <c r="C86" s="486">
        <f t="shared" si="13"/>
        <v>0.0551138374</v>
      </c>
      <c r="D86" s="486">
        <f t="shared" si="16"/>
        <v>0.8530757231</v>
      </c>
      <c r="E86" s="486">
        <f t="shared" si="14"/>
        <v>12.79613585</v>
      </c>
      <c r="F86" s="394"/>
      <c r="G86" s="485">
        <v>4.0</v>
      </c>
      <c r="H86" s="394">
        <f t="shared" si="15"/>
        <v>41.27347813</v>
      </c>
      <c r="I86" s="394"/>
      <c r="J86" s="394"/>
      <c r="K86" s="394"/>
      <c r="L86" s="394"/>
      <c r="M86" s="394"/>
      <c r="N86" s="394"/>
      <c r="O86" s="394"/>
      <c r="P86" s="394"/>
      <c r="Q86" s="394"/>
      <c r="R86" s="394"/>
      <c r="S86" s="394"/>
      <c r="T86" s="394"/>
      <c r="U86" s="394"/>
      <c r="V86" s="394"/>
      <c r="W86" s="394"/>
      <c r="X86" s="394"/>
      <c r="Y86" s="394"/>
      <c r="Z86" s="394"/>
    </row>
    <row r="87">
      <c r="B87" s="485">
        <v>5.0</v>
      </c>
      <c r="C87" s="486">
        <f t="shared" si="13"/>
        <v>0.06487771746</v>
      </c>
      <c r="D87" s="486">
        <f t="shared" si="16"/>
        <v>0.7881980056</v>
      </c>
      <c r="E87" s="486">
        <f t="shared" si="14"/>
        <v>11.82297008</v>
      </c>
      <c r="F87" s="394"/>
      <c r="G87" s="485">
        <v>5.0</v>
      </c>
      <c r="H87" s="394">
        <f t="shared" si="15"/>
        <v>59.49871026</v>
      </c>
      <c r="I87" s="394"/>
      <c r="J87" s="394"/>
      <c r="K87" s="394"/>
      <c r="L87" s="394"/>
      <c r="M87" s="394"/>
      <c r="N87" s="394"/>
      <c r="O87" s="394"/>
      <c r="P87" s="394"/>
      <c r="Q87" s="394"/>
      <c r="R87" s="394"/>
      <c r="S87" s="394"/>
      <c r="T87" s="394"/>
      <c r="U87" s="394"/>
      <c r="V87" s="394"/>
      <c r="W87" s="394"/>
      <c r="X87" s="394"/>
      <c r="Y87" s="394"/>
      <c r="Z87" s="394"/>
    </row>
    <row r="88">
      <c r="B88" s="485">
        <v>6.0</v>
      </c>
      <c r="C88" s="486">
        <f t="shared" si="13"/>
        <v>0.07342280478</v>
      </c>
      <c r="D88" s="486">
        <f t="shared" si="16"/>
        <v>0.7147752008</v>
      </c>
      <c r="E88" s="486">
        <f t="shared" si="14"/>
        <v>10.72162801</v>
      </c>
      <c r="F88" s="394"/>
      <c r="G88" s="485">
        <v>6.0</v>
      </c>
      <c r="H88" s="394">
        <f t="shared" si="15"/>
        <v>80.12439984</v>
      </c>
      <c r="I88" s="394"/>
      <c r="J88" s="394"/>
      <c r="K88" s="394"/>
      <c r="L88" s="394"/>
      <c r="M88" s="394"/>
      <c r="N88" s="394"/>
      <c r="O88" s="394"/>
      <c r="P88" s="394"/>
      <c r="Q88" s="394"/>
      <c r="R88" s="394"/>
      <c r="S88" s="394"/>
      <c r="T88" s="394"/>
      <c r="U88" s="394"/>
      <c r="V88" s="394"/>
      <c r="W88" s="394"/>
      <c r="X88" s="394"/>
      <c r="Y88" s="394"/>
      <c r="Z88" s="394"/>
    </row>
    <row r="89">
      <c r="B89" s="485">
        <v>7.0</v>
      </c>
      <c r="C89" s="486">
        <f t="shared" si="13"/>
        <v>0.08090123722</v>
      </c>
      <c r="D89" s="486">
        <f t="shared" si="16"/>
        <v>0.6338739636</v>
      </c>
      <c r="E89" s="486">
        <f t="shared" si="14"/>
        <v>9.508109454</v>
      </c>
      <c r="F89" s="394"/>
      <c r="G89" s="485">
        <v>7.0</v>
      </c>
      <c r="H89" s="394">
        <f t="shared" si="15"/>
        <v>102.8509057</v>
      </c>
      <c r="I89" s="394"/>
      <c r="J89" s="394"/>
      <c r="K89" s="394"/>
      <c r="L89" s="394"/>
      <c r="M89" s="394"/>
      <c r="N89" s="394"/>
      <c r="O89" s="394"/>
      <c r="P89" s="394"/>
      <c r="Q89" s="394"/>
      <c r="R89" s="394"/>
      <c r="S89" s="394"/>
      <c r="T89" s="394"/>
      <c r="U89" s="394"/>
      <c r="V89" s="394"/>
      <c r="W89" s="394"/>
      <c r="X89" s="394"/>
      <c r="Y89" s="394"/>
      <c r="Z89" s="394"/>
    </row>
    <row r="90">
      <c r="B90" s="485">
        <v>8.0</v>
      </c>
      <c r="C90" s="486">
        <f t="shared" si="13"/>
        <v>0.08744616175</v>
      </c>
      <c r="D90" s="486">
        <f t="shared" si="16"/>
        <v>0.5464278018</v>
      </c>
      <c r="E90" s="486">
        <f t="shared" si="14"/>
        <v>8.196417028</v>
      </c>
      <c r="F90" s="394"/>
      <c r="G90" s="485">
        <v>8.0</v>
      </c>
      <c r="H90" s="394">
        <f t="shared" si="15"/>
        <v>127.41599</v>
      </c>
      <c r="I90" s="394"/>
      <c r="J90" s="394"/>
      <c r="K90" s="394"/>
      <c r="L90" s="394"/>
      <c r="M90" s="394"/>
      <c r="N90" s="394"/>
      <c r="O90" s="394"/>
      <c r="P90" s="394"/>
      <c r="Q90" s="394"/>
      <c r="R90" s="394"/>
      <c r="S90" s="394"/>
      <c r="T90" s="394"/>
      <c r="U90" s="394"/>
      <c r="V90" s="394"/>
      <c r="W90" s="394"/>
      <c r="X90" s="394"/>
      <c r="Y90" s="394"/>
      <c r="Z90" s="394"/>
    </row>
    <row r="91">
      <c r="B91" s="489">
        <v>9.0</v>
      </c>
      <c r="C91" s="490">
        <f t="shared" si="13"/>
        <v>0.09317410508</v>
      </c>
      <c r="D91" s="490">
        <f t="shared" si="16"/>
        <v>0.4532536968</v>
      </c>
      <c r="E91" s="490">
        <f t="shared" si="14"/>
        <v>6.798805451</v>
      </c>
      <c r="F91" s="394"/>
      <c r="G91" s="489">
        <v>9.0</v>
      </c>
      <c r="H91" s="488">
        <f t="shared" si="15"/>
        <v>153.590149</v>
      </c>
      <c r="I91" s="394"/>
      <c r="J91" s="394"/>
      <c r="K91" s="394"/>
      <c r="L91" s="394"/>
      <c r="M91" s="394"/>
      <c r="N91" s="394"/>
      <c r="O91" s="394"/>
      <c r="P91" s="394"/>
      <c r="Q91" s="394"/>
      <c r="R91" s="394"/>
      <c r="S91" s="394"/>
      <c r="T91" s="394"/>
      <c r="U91" s="394"/>
      <c r="V91" s="394"/>
      <c r="W91" s="394"/>
      <c r="X91" s="394"/>
      <c r="Y91" s="394"/>
      <c r="Z91" s="394"/>
    </row>
    <row r="92">
      <c r="B92" s="485">
        <v>10.0</v>
      </c>
      <c r="C92" s="486">
        <f t="shared" si="13"/>
        <v>0.09818704825</v>
      </c>
      <c r="D92" s="486">
        <f t="shared" si="16"/>
        <v>0.3550666485</v>
      </c>
      <c r="E92" s="486">
        <f t="shared" si="14"/>
        <v>5.325999728</v>
      </c>
      <c r="F92" s="394"/>
      <c r="G92" s="491" t="s">
        <v>715</v>
      </c>
      <c r="H92" s="394">
        <f>AVERAGE(H82:H91)</f>
        <v>60.86629051</v>
      </c>
      <c r="I92" s="394"/>
      <c r="J92" s="394"/>
      <c r="K92" s="394"/>
      <c r="L92" s="394"/>
      <c r="M92" s="394"/>
      <c r="N92" s="394"/>
      <c r="O92" s="394"/>
      <c r="P92" s="394"/>
      <c r="Q92" s="394"/>
      <c r="R92" s="394"/>
      <c r="S92" s="394"/>
      <c r="T92" s="394"/>
      <c r="U92" s="394"/>
      <c r="V92" s="394"/>
      <c r="W92" s="394"/>
      <c r="X92" s="394"/>
      <c r="Y92" s="394"/>
      <c r="Z92" s="394"/>
    </row>
    <row r="93">
      <c r="B93" s="485">
        <v>11.0</v>
      </c>
      <c r="C93" s="486">
        <f t="shared" si="13"/>
        <v>0.1025742424</v>
      </c>
      <c r="D93" s="486">
        <f t="shared" si="16"/>
        <v>0.2524924061</v>
      </c>
      <c r="E93" s="486">
        <f t="shared" si="14"/>
        <v>3.787386092</v>
      </c>
      <c r="F93" s="394"/>
      <c r="G93" s="394"/>
      <c r="H93" s="394"/>
      <c r="I93" s="394"/>
      <c r="J93" s="394"/>
      <c r="K93" s="394"/>
      <c r="L93" s="394"/>
      <c r="M93" s="394"/>
      <c r="N93" s="394"/>
      <c r="O93" s="394"/>
      <c r="P93" s="394"/>
      <c r="Q93" s="394"/>
      <c r="R93" s="394"/>
      <c r="S93" s="394"/>
      <c r="T93" s="394"/>
      <c r="U93" s="394"/>
      <c r="V93" s="394"/>
      <c r="W93" s="394"/>
      <c r="X93" s="394"/>
      <c r="Y93" s="394"/>
      <c r="Z93" s="394"/>
    </row>
    <row r="94">
      <c r="B94" s="485">
        <v>12.0</v>
      </c>
      <c r="C94" s="486">
        <f t="shared" si="13"/>
        <v>0.1064137976</v>
      </c>
      <c r="D94" s="486">
        <f t="shared" si="16"/>
        <v>0.1460786085</v>
      </c>
      <c r="E94" s="486">
        <f t="shared" si="14"/>
        <v>2.191179128</v>
      </c>
      <c r="F94" s="394"/>
      <c r="G94" s="394"/>
      <c r="H94" s="394"/>
      <c r="I94" s="394"/>
      <c r="J94" s="394"/>
      <c r="K94" s="394"/>
      <c r="L94" s="394"/>
      <c r="M94" s="394"/>
      <c r="N94" s="394"/>
      <c r="O94" s="394"/>
      <c r="P94" s="394"/>
      <c r="Q94" s="394"/>
      <c r="R94" s="394"/>
      <c r="S94" s="394"/>
      <c r="T94" s="394"/>
      <c r="U94" s="394"/>
      <c r="V94" s="394"/>
      <c r="W94" s="394"/>
      <c r="X94" s="394"/>
      <c r="Y94" s="394"/>
      <c r="Z94" s="394"/>
    </row>
    <row r="95">
      <c r="B95" s="485">
        <v>13.0</v>
      </c>
      <c r="C95" s="486">
        <f t="shared" si="13"/>
        <v>0.1097740739</v>
      </c>
      <c r="D95" s="486">
        <f t="shared" si="16"/>
        <v>0.03630453465</v>
      </c>
      <c r="E95" s="486">
        <f t="shared" si="14"/>
        <v>0.5445680197</v>
      </c>
      <c r="F95" s="394"/>
      <c r="G95" s="394"/>
      <c r="H95" s="394"/>
      <c r="I95" s="394"/>
      <c r="J95" s="394"/>
      <c r="K95" s="394"/>
      <c r="L95" s="394"/>
      <c r="M95" s="394"/>
      <c r="N95" s="394"/>
      <c r="O95" s="394"/>
      <c r="P95" s="394"/>
      <c r="Q95" s="394"/>
      <c r="R95" s="394"/>
      <c r="S95" s="394"/>
      <c r="T95" s="394"/>
      <c r="U95" s="394"/>
      <c r="V95" s="394"/>
      <c r="W95" s="394"/>
      <c r="X95" s="394"/>
      <c r="Y95" s="394"/>
      <c r="Z95" s="394"/>
    </row>
    <row r="96">
      <c r="B96" s="485">
        <v>14.0</v>
      </c>
      <c r="C96" s="486">
        <f t="shared" si="13"/>
        <v>0.1127148981</v>
      </c>
      <c r="D96" s="486">
        <f t="shared" si="16"/>
        <v>-0.07641036341</v>
      </c>
      <c r="E96" s="486">
        <f t="shared" si="14"/>
        <v>-1.146155451</v>
      </c>
      <c r="F96" s="394"/>
      <c r="G96" s="394"/>
      <c r="H96" s="394"/>
      <c r="I96" s="394"/>
      <c r="J96" s="394"/>
      <c r="K96" s="394"/>
      <c r="L96" s="394"/>
      <c r="M96" s="394"/>
      <c r="N96" s="394"/>
      <c r="O96" s="394"/>
      <c r="P96" s="394"/>
      <c r="Q96" s="394"/>
      <c r="R96" s="394"/>
      <c r="S96" s="394"/>
      <c r="T96" s="394"/>
      <c r="U96" s="394"/>
      <c r="V96" s="394"/>
      <c r="W96" s="394"/>
      <c r="X96" s="394"/>
      <c r="Y96" s="394"/>
      <c r="Z96" s="394"/>
    </row>
    <row r="97">
      <c r="B97" s="485">
        <v>15.0</v>
      </c>
      <c r="C97" s="486">
        <f t="shared" si="13"/>
        <v>0.1152886289</v>
      </c>
      <c r="D97" s="486">
        <f t="shared" si="16"/>
        <v>-0.1916989923</v>
      </c>
      <c r="E97" s="486">
        <f t="shared" si="14"/>
        <v>-2.875484885</v>
      </c>
      <c r="F97" s="394"/>
      <c r="G97" s="394"/>
      <c r="H97" s="394"/>
      <c r="I97" s="394"/>
      <c r="J97" s="394"/>
      <c r="K97" s="394"/>
      <c r="L97" s="394"/>
      <c r="M97" s="394"/>
      <c r="N97" s="394"/>
      <c r="O97" s="394"/>
      <c r="P97" s="394"/>
      <c r="Q97" s="394"/>
      <c r="R97" s="394"/>
      <c r="S97" s="394"/>
      <c r="T97" s="394"/>
      <c r="U97" s="394"/>
      <c r="V97" s="394"/>
      <c r="W97" s="394"/>
      <c r="X97" s="394"/>
      <c r="Y97" s="394"/>
      <c r="Z97" s="394"/>
    </row>
    <row r="98">
      <c r="B98" s="394"/>
      <c r="C98" s="394"/>
      <c r="D98" s="394"/>
      <c r="E98" s="394"/>
      <c r="F98" s="394"/>
      <c r="G98" s="394"/>
      <c r="H98" s="394"/>
      <c r="I98" s="394"/>
      <c r="J98" s="394"/>
      <c r="K98" s="394"/>
      <c r="L98" s="394"/>
      <c r="M98" s="394"/>
      <c r="N98" s="394"/>
      <c r="O98" s="394"/>
      <c r="P98" s="394"/>
      <c r="Q98" s="394"/>
      <c r="R98" s="394"/>
      <c r="S98" s="394"/>
      <c r="T98" s="394"/>
      <c r="U98" s="394"/>
      <c r="V98" s="394"/>
      <c r="W98" s="394"/>
      <c r="X98" s="394"/>
      <c r="Y98" s="394"/>
      <c r="Z98" s="394"/>
    </row>
    <row r="99">
      <c r="B99" s="394"/>
      <c r="C99" s="394"/>
      <c r="D99" s="394"/>
      <c r="E99" s="394"/>
      <c r="F99" s="394"/>
      <c r="G99" s="394"/>
      <c r="H99" s="394"/>
      <c r="I99" s="394"/>
      <c r="J99" s="394"/>
      <c r="K99" s="394"/>
      <c r="L99" s="394"/>
      <c r="M99" s="394"/>
      <c r="N99" s="394"/>
      <c r="O99" s="394"/>
      <c r="P99" s="394"/>
      <c r="Q99" s="394"/>
      <c r="R99" s="394"/>
      <c r="S99" s="394"/>
      <c r="T99" s="394"/>
      <c r="U99" s="394"/>
      <c r="V99" s="394"/>
      <c r="W99" s="394"/>
      <c r="X99" s="394"/>
      <c r="Y99" s="394"/>
      <c r="Z99" s="394"/>
    </row>
    <row r="100">
      <c r="B100" s="479" t="s">
        <v>722</v>
      </c>
      <c r="C100" s="394"/>
      <c r="D100" s="211"/>
      <c r="E100" s="211"/>
      <c r="F100" s="394"/>
      <c r="G100" s="394"/>
      <c r="H100" s="394"/>
      <c r="I100" s="394"/>
      <c r="J100" s="394"/>
      <c r="K100" s="394"/>
      <c r="L100" s="394"/>
      <c r="M100" s="394"/>
      <c r="N100" s="394"/>
      <c r="O100" s="394"/>
      <c r="P100" s="394"/>
      <c r="Q100" s="394"/>
      <c r="R100" s="394"/>
      <c r="S100" s="394"/>
      <c r="T100" s="394"/>
      <c r="U100" s="394"/>
      <c r="V100" s="394"/>
      <c r="W100" s="394"/>
      <c r="X100" s="394"/>
      <c r="Y100" s="394"/>
      <c r="Z100" s="394"/>
    </row>
    <row r="101">
      <c r="B101" s="480"/>
      <c r="C101" s="480"/>
      <c r="D101" s="480"/>
      <c r="E101" s="480"/>
      <c r="F101" s="394"/>
      <c r="G101" s="394"/>
      <c r="H101" s="394"/>
      <c r="I101" s="394"/>
      <c r="J101" s="394"/>
      <c r="K101" s="394"/>
      <c r="L101" s="394"/>
      <c r="M101" s="394"/>
      <c r="N101" s="394"/>
      <c r="O101" s="394"/>
      <c r="P101" s="394"/>
      <c r="Q101" s="394"/>
      <c r="R101" s="394"/>
      <c r="S101" s="394"/>
      <c r="T101" s="394"/>
      <c r="U101" s="394"/>
      <c r="V101" s="394"/>
      <c r="W101" s="394"/>
      <c r="X101" s="394"/>
      <c r="Y101" s="394"/>
      <c r="Z101" s="394"/>
    </row>
    <row r="102">
      <c r="B102" s="482" t="s">
        <v>711</v>
      </c>
      <c r="C102" s="483" t="s">
        <v>712</v>
      </c>
      <c r="D102" s="483" t="s">
        <v>713</v>
      </c>
      <c r="E102" s="483" t="s">
        <v>714</v>
      </c>
      <c r="F102" s="394"/>
      <c r="G102" s="482" t="s">
        <v>711</v>
      </c>
      <c r="H102" s="394" t="s">
        <v>723</v>
      </c>
      <c r="I102" s="394"/>
      <c r="J102" s="394"/>
      <c r="K102" s="394"/>
      <c r="L102" s="394"/>
      <c r="M102" s="394"/>
      <c r="N102" s="394"/>
      <c r="O102" s="394"/>
      <c r="P102" s="394"/>
      <c r="Q102" s="394"/>
      <c r="R102" s="394"/>
      <c r="S102" s="394"/>
      <c r="T102" s="394"/>
      <c r="U102" s="394"/>
      <c r="V102" s="394"/>
      <c r="W102" s="394"/>
      <c r="X102" s="394"/>
      <c r="Y102" s="394"/>
      <c r="Z102" s="394"/>
    </row>
    <row r="103">
      <c r="B103" s="485">
        <v>0.0</v>
      </c>
      <c r="C103" s="486">
        <f t="shared" ref="C103:C122" si="17">($C$8/$D$8)*(1-EXP(-($C$8/$D$8)*B103))</f>
        <v>0</v>
      </c>
      <c r="D103" s="486">
        <v>1.0</v>
      </c>
      <c r="E103" s="486">
        <f t="shared" ref="E103:E122" si="18">+$D$8*D103</f>
        <v>20</v>
      </c>
      <c r="F103" s="394"/>
      <c r="G103" s="485">
        <v>0.0</v>
      </c>
      <c r="H103" s="394">
        <f t="shared" ref="H103:H115" si="19">(1-D103)*$E$8</f>
        <v>0</v>
      </c>
      <c r="I103" s="394"/>
      <c r="J103" s="394"/>
      <c r="K103" s="394"/>
      <c r="L103" s="394"/>
      <c r="M103" s="394"/>
      <c r="N103" s="394"/>
      <c r="O103" s="394"/>
      <c r="P103" s="394"/>
      <c r="Q103" s="394"/>
      <c r="R103" s="394"/>
      <c r="S103" s="394"/>
      <c r="T103" s="394"/>
      <c r="U103" s="394"/>
      <c r="V103" s="394"/>
      <c r="W103" s="394"/>
      <c r="X103" s="394"/>
      <c r="Y103" s="394"/>
      <c r="Z103" s="394"/>
    </row>
    <row r="104">
      <c r="B104" s="485">
        <v>1.0</v>
      </c>
      <c r="C104" s="486">
        <f t="shared" si="17"/>
        <v>0.009516258196</v>
      </c>
      <c r="D104" s="486">
        <f t="shared" ref="D104:D122" si="20">D103-C104</f>
        <v>0.9904837418</v>
      </c>
      <c r="E104" s="486">
        <f t="shared" si="18"/>
        <v>19.80967484</v>
      </c>
      <c r="F104" s="394"/>
      <c r="G104" s="485">
        <v>1.0</v>
      </c>
      <c r="H104" s="394">
        <f t="shared" si="19"/>
        <v>2.51546425</v>
      </c>
      <c r="I104" s="394"/>
      <c r="J104" s="394"/>
      <c r="K104" s="394"/>
      <c r="L104" s="394"/>
      <c r="M104" s="394"/>
      <c r="N104" s="394"/>
      <c r="O104" s="394"/>
      <c r="P104" s="394"/>
      <c r="Q104" s="394"/>
      <c r="R104" s="394"/>
      <c r="S104" s="394"/>
      <c r="T104" s="394"/>
      <c r="U104" s="394"/>
      <c r="V104" s="394"/>
      <c r="W104" s="394"/>
      <c r="X104" s="394"/>
      <c r="Y104" s="394"/>
      <c r="Z104" s="394"/>
    </row>
    <row r="105">
      <c r="B105" s="485">
        <v>2.0</v>
      </c>
      <c r="C105" s="486">
        <f t="shared" si="17"/>
        <v>0.01812692469</v>
      </c>
      <c r="D105" s="486">
        <f t="shared" si="20"/>
        <v>0.9723568171</v>
      </c>
      <c r="E105" s="486">
        <f t="shared" si="18"/>
        <v>19.44713634</v>
      </c>
      <c r="F105" s="394"/>
      <c r="G105" s="485">
        <v>2.0</v>
      </c>
      <c r="H105" s="394">
        <f t="shared" si="19"/>
        <v>7.307014677</v>
      </c>
      <c r="I105" s="394"/>
      <c r="J105" s="394"/>
      <c r="K105" s="394"/>
      <c r="L105" s="394"/>
      <c r="M105" s="394"/>
      <c r="N105" s="394"/>
      <c r="O105" s="394"/>
      <c r="P105" s="394"/>
      <c r="Q105" s="394"/>
      <c r="R105" s="394"/>
      <c r="S105" s="394"/>
      <c r="T105" s="394"/>
      <c r="U105" s="394"/>
      <c r="V105" s="394"/>
      <c r="W105" s="394"/>
      <c r="X105" s="394"/>
      <c r="Y105" s="394"/>
      <c r="Z105" s="394"/>
    </row>
    <row r="106">
      <c r="B106" s="485">
        <v>3.0</v>
      </c>
      <c r="C106" s="486">
        <f t="shared" si="17"/>
        <v>0.02591817793</v>
      </c>
      <c r="D106" s="486">
        <f t="shared" si="20"/>
        <v>0.9464386392</v>
      </c>
      <c r="E106" s="486">
        <f t="shared" si="18"/>
        <v>18.92877278</v>
      </c>
      <c r="F106" s="394"/>
      <c r="G106" s="485">
        <v>3.0</v>
      </c>
      <c r="H106" s="394">
        <f t="shared" si="19"/>
        <v>14.15805304</v>
      </c>
      <c r="I106" s="394"/>
      <c r="J106" s="394"/>
      <c r="K106" s="394"/>
      <c r="L106" s="394"/>
      <c r="M106" s="394"/>
      <c r="N106" s="394"/>
      <c r="O106" s="394"/>
      <c r="P106" s="394"/>
      <c r="Q106" s="394"/>
      <c r="R106" s="394"/>
      <c r="S106" s="394"/>
      <c r="T106" s="394"/>
      <c r="U106" s="394"/>
      <c r="V106" s="394"/>
      <c r="W106" s="394"/>
      <c r="X106" s="394"/>
      <c r="Y106" s="394"/>
      <c r="Z106" s="394"/>
    </row>
    <row r="107">
      <c r="B107" s="485">
        <v>4.0</v>
      </c>
      <c r="C107" s="486">
        <f t="shared" si="17"/>
        <v>0.0329679954</v>
      </c>
      <c r="D107" s="486">
        <f t="shared" si="20"/>
        <v>0.9134706438</v>
      </c>
      <c r="E107" s="486">
        <f t="shared" si="18"/>
        <v>18.26941288</v>
      </c>
      <c r="F107" s="394"/>
      <c r="G107" s="485">
        <v>4.0</v>
      </c>
      <c r="H107" s="394">
        <f t="shared" si="19"/>
        <v>22.87259316</v>
      </c>
      <c r="I107" s="394"/>
      <c r="J107" s="394"/>
      <c r="K107" s="394"/>
      <c r="L107" s="394"/>
      <c r="M107" s="394"/>
      <c r="N107" s="394"/>
      <c r="O107" s="394"/>
      <c r="P107" s="394"/>
      <c r="Q107" s="394"/>
      <c r="R107" s="394"/>
      <c r="S107" s="394"/>
      <c r="T107" s="394"/>
      <c r="U107" s="394"/>
      <c r="V107" s="394"/>
      <c r="W107" s="394"/>
      <c r="X107" s="394"/>
      <c r="Y107" s="394"/>
      <c r="Z107" s="394"/>
    </row>
    <row r="108">
      <c r="B108" s="485">
        <v>5.0</v>
      </c>
      <c r="C108" s="486">
        <f t="shared" si="17"/>
        <v>0.03934693403</v>
      </c>
      <c r="D108" s="486">
        <f t="shared" si="20"/>
        <v>0.8741237098</v>
      </c>
      <c r="E108" s="486">
        <f t="shared" si="18"/>
        <v>17.4824742</v>
      </c>
      <c r="F108" s="394"/>
      <c r="G108" s="485">
        <v>5.0</v>
      </c>
      <c r="H108" s="394">
        <f t="shared" si="19"/>
        <v>33.27329939</v>
      </c>
      <c r="I108" s="394"/>
      <c r="J108" s="394"/>
      <c r="K108" s="394"/>
      <c r="L108" s="394"/>
      <c r="M108" s="394"/>
      <c r="N108" s="394"/>
      <c r="O108" s="394"/>
      <c r="P108" s="394"/>
      <c r="Q108" s="394"/>
      <c r="R108" s="394"/>
      <c r="S108" s="394"/>
      <c r="T108" s="394"/>
      <c r="U108" s="394"/>
      <c r="V108" s="394"/>
      <c r="W108" s="394"/>
      <c r="X108" s="394"/>
      <c r="Y108" s="394"/>
      <c r="Z108" s="394"/>
    </row>
    <row r="109">
      <c r="B109" s="485">
        <v>6.0</v>
      </c>
      <c r="C109" s="486">
        <f t="shared" si="17"/>
        <v>0.04511883639</v>
      </c>
      <c r="D109" s="486">
        <f t="shared" si="20"/>
        <v>0.8290048734</v>
      </c>
      <c r="E109" s="486">
        <f t="shared" si="18"/>
        <v>16.58009747</v>
      </c>
      <c r="F109" s="394"/>
      <c r="G109" s="485">
        <v>6.0</v>
      </c>
      <c r="H109" s="394">
        <f t="shared" si="19"/>
        <v>45.19971181</v>
      </c>
      <c r="I109" s="394"/>
      <c r="J109" s="394"/>
      <c r="K109" s="394"/>
      <c r="L109" s="394"/>
      <c r="M109" s="394"/>
      <c r="N109" s="394"/>
      <c r="O109" s="394"/>
      <c r="P109" s="394"/>
      <c r="Q109" s="394"/>
      <c r="R109" s="394"/>
      <c r="S109" s="394"/>
      <c r="T109" s="394"/>
      <c r="U109" s="394"/>
      <c r="V109" s="394"/>
      <c r="W109" s="394"/>
      <c r="X109" s="394"/>
      <c r="Y109" s="394"/>
      <c r="Z109" s="394"/>
    </row>
    <row r="110">
      <c r="B110" s="485">
        <v>7.0</v>
      </c>
      <c r="C110" s="486">
        <f t="shared" si="17"/>
        <v>0.05034146962</v>
      </c>
      <c r="D110" s="486">
        <f t="shared" si="20"/>
        <v>0.7786634037</v>
      </c>
      <c r="E110" s="486">
        <f t="shared" si="18"/>
        <v>15.57326807</v>
      </c>
      <c r="F110" s="394"/>
      <c r="G110" s="485">
        <v>7.0</v>
      </c>
      <c r="H110" s="394">
        <f t="shared" si="19"/>
        <v>58.50664028</v>
      </c>
      <c r="I110" s="394"/>
      <c r="J110" s="394"/>
      <c r="K110" s="394"/>
      <c r="L110" s="394"/>
      <c r="M110" s="394"/>
      <c r="N110" s="394"/>
      <c r="O110" s="394"/>
      <c r="P110" s="394"/>
      <c r="Q110" s="394"/>
      <c r="R110" s="394"/>
      <c r="S110" s="394"/>
      <c r="T110" s="394"/>
      <c r="U110" s="394"/>
      <c r="V110" s="394"/>
      <c r="W110" s="394"/>
      <c r="X110" s="394"/>
      <c r="Y110" s="394"/>
      <c r="Z110" s="394"/>
    </row>
    <row r="111">
      <c r="B111" s="485">
        <v>8.0</v>
      </c>
      <c r="C111" s="486">
        <f t="shared" si="17"/>
        <v>0.05506710359</v>
      </c>
      <c r="D111" s="486">
        <f t="shared" si="20"/>
        <v>0.7235963002</v>
      </c>
      <c r="E111" s="486">
        <f t="shared" si="18"/>
        <v>14.471926</v>
      </c>
      <c r="F111" s="394"/>
      <c r="G111" s="485">
        <v>8.0</v>
      </c>
      <c r="H111" s="394">
        <f t="shared" si="19"/>
        <v>73.06271133</v>
      </c>
      <c r="I111" s="394"/>
      <c r="J111" s="394"/>
      <c r="K111" s="394"/>
      <c r="L111" s="394"/>
      <c r="M111" s="394"/>
      <c r="N111" s="394"/>
      <c r="O111" s="394"/>
      <c r="P111" s="394"/>
      <c r="Q111" s="394"/>
      <c r="R111" s="394"/>
      <c r="S111" s="394"/>
      <c r="T111" s="394"/>
      <c r="U111" s="394"/>
      <c r="V111" s="394"/>
      <c r="W111" s="394"/>
      <c r="X111" s="394"/>
      <c r="Y111" s="394"/>
      <c r="Z111" s="394"/>
    </row>
    <row r="112">
      <c r="B112" s="485">
        <v>9.0</v>
      </c>
      <c r="C112" s="486">
        <f t="shared" si="17"/>
        <v>0.05934303403</v>
      </c>
      <c r="D112" s="486">
        <f t="shared" si="20"/>
        <v>0.6642532661</v>
      </c>
      <c r="E112" s="486">
        <f t="shared" si="18"/>
        <v>13.28506532</v>
      </c>
      <c r="F112" s="394"/>
      <c r="G112" s="485">
        <v>9.0</v>
      </c>
      <c r="H112" s="394">
        <f t="shared" si="19"/>
        <v>88.74905332</v>
      </c>
      <c r="I112" s="394"/>
      <c r="J112" s="394"/>
      <c r="K112" s="394"/>
      <c r="L112" s="394"/>
      <c r="M112" s="394"/>
      <c r="N112" s="394"/>
      <c r="O112" s="394"/>
      <c r="P112" s="394"/>
      <c r="Q112" s="394"/>
      <c r="R112" s="394"/>
      <c r="S112" s="394"/>
      <c r="T112" s="394"/>
      <c r="U112" s="394"/>
      <c r="V112" s="394"/>
      <c r="W112" s="394"/>
      <c r="X112" s="394"/>
      <c r="Y112" s="394"/>
      <c r="Z112" s="394"/>
    </row>
    <row r="113">
      <c r="B113" s="485">
        <v>10.0</v>
      </c>
      <c r="C113" s="486">
        <f t="shared" si="17"/>
        <v>0.06321205588</v>
      </c>
      <c r="D113" s="486">
        <f t="shared" si="20"/>
        <v>0.6010412102</v>
      </c>
      <c r="E113" s="486">
        <f t="shared" si="18"/>
        <v>12.0208242</v>
      </c>
      <c r="F113" s="394"/>
      <c r="G113" s="485">
        <v>10.0</v>
      </c>
      <c r="H113" s="394">
        <f t="shared" si="19"/>
        <v>105.4581068</v>
      </c>
      <c r="I113" s="394"/>
      <c r="J113" s="394"/>
      <c r="K113" s="394"/>
      <c r="L113" s="394"/>
      <c r="M113" s="394"/>
      <c r="N113" s="394"/>
      <c r="O113" s="394"/>
      <c r="P113" s="394"/>
      <c r="Q113" s="394"/>
      <c r="R113" s="394"/>
      <c r="S113" s="394"/>
      <c r="T113" s="394"/>
      <c r="U113" s="394"/>
      <c r="V113" s="394"/>
      <c r="W113" s="394"/>
      <c r="X113" s="394"/>
      <c r="Y113" s="394"/>
      <c r="Z113" s="394"/>
    </row>
    <row r="114">
      <c r="B114" s="485">
        <v>11.0</v>
      </c>
      <c r="C114" s="486">
        <f t="shared" si="17"/>
        <v>0.06671289163</v>
      </c>
      <c r="D114" s="486">
        <f t="shared" si="20"/>
        <v>0.5343283186</v>
      </c>
      <c r="E114" s="486">
        <f t="shared" si="18"/>
        <v>10.68656637</v>
      </c>
      <c r="F114" s="394"/>
      <c r="G114" s="485">
        <v>11.0</v>
      </c>
      <c r="H114" s="394">
        <f t="shared" si="19"/>
        <v>123.0925478</v>
      </c>
      <c r="I114" s="394"/>
      <c r="J114" s="394"/>
      <c r="K114" s="394"/>
      <c r="L114" s="394"/>
      <c r="M114" s="394"/>
      <c r="N114" s="394"/>
      <c r="O114" s="394"/>
      <c r="P114" s="394"/>
      <c r="Q114" s="394"/>
      <c r="R114" s="394"/>
      <c r="S114" s="394"/>
      <c r="T114" s="394"/>
      <c r="U114" s="394"/>
      <c r="V114" s="394"/>
      <c r="W114" s="394"/>
      <c r="X114" s="394"/>
      <c r="Y114" s="394"/>
      <c r="Z114" s="394"/>
    </row>
    <row r="115">
      <c r="B115" s="489">
        <v>12.0</v>
      </c>
      <c r="C115" s="490">
        <f t="shared" si="17"/>
        <v>0.06988057881</v>
      </c>
      <c r="D115" s="490">
        <f t="shared" si="20"/>
        <v>0.4644477398</v>
      </c>
      <c r="E115" s="490">
        <f t="shared" si="18"/>
        <v>9.288954796</v>
      </c>
      <c r="F115" s="394"/>
      <c r="G115" s="489">
        <v>12.0</v>
      </c>
      <c r="H115" s="488">
        <f t="shared" si="19"/>
        <v>141.5643141</v>
      </c>
      <c r="I115" s="394"/>
      <c r="J115" s="394"/>
      <c r="K115" s="394"/>
      <c r="L115" s="394"/>
      <c r="M115" s="394"/>
      <c r="N115" s="394"/>
      <c r="O115" s="394"/>
      <c r="P115" s="394"/>
      <c r="Q115" s="394"/>
      <c r="R115" s="394"/>
      <c r="S115" s="394"/>
      <c r="T115" s="394"/>
      <c r="U115" s="394"/>
      <c r="V115" s="394"/>
      <c r="W115" s="394"/>
      <c r="X115" s="394"/>
      <c r="Y115" s="394"/>
      <c r="Z115" s="394"/>
    </row>
    <row r="116">
      <c r="B116" s="485">
        <v>13.0</v>
      </c>
      <c r="C116" s="486">
        <f t="shared" si="17"/>
        <v>0.0727468207</v>
      </c>
      <c r="D116" s="486">
        <f t="shared" si="20"/>
        <v>0.3917009191</v>
      </c>
      <c r="E116" s="486">
        <f t="shared" si="18"/>
        <v>7.834018382</v>
      </c>
      <c r="F116" s="394"/>
      <c r="G116" s="491" t="s">
        <v>715</v>
      </c>
      <c r="H116" s="394">
        <f>AVERAGE(H103:H115)</f>
        <v>55.05842384</v>
      </c>
      <c r="I116" s="394"/>
      <c r="J116" s="394"/>
      <c r="K116" s="394"/>
      <c r="L116" s="394"/>
      <c r="M116" s="394"/>
      <c r="N116" s="394"/>
      <c r="O116" s="394"/>
      <c r="P116" s="394"/>
      <c r="Q116" s="394"/>
      <c r="R116" s="394"/>
      <c r="S116" s="394"/>
      <c r="T116" s="394"/>
      <c r="U116" s="394"/>
      <c r="V116" s="394"/>
      <c r="W116" s="394"/>
      <c r="X116" s="394"/>
      <c r="Y116" s="394"/>
      <c r="Z116" s="394"/>
    </row>
    <row r="117">
      <c r="B117" s="485">
        <v>14.0</v>
      </c>
      <c r="C117" s="486">
        <f t="shared" si="17"/>
        <v>0.07534030361</v>
      </c>
      <c r="D117" s="486">
        <f t="shared" si="20"/>
        <v>0.3163606155</v>
      </c>
      <c r="E117" s="486">
        <f t="shared" si="18"/>
        <v>6.32721231</v>
      </c>
      <c r="F117" s="394"/>
      <c r="G117" s="394"/>
      <c r="H117" s="394"/>
      <c r="I117" s="394"/>
      <c r="J117" s="394"/>
      <c r="K117" s="394"/>
      <c r="L117" s="394"/>
      <c r="M117" s="394"/>
      <c r="N117" s="394"/>
      <c r="O117" s="394"/>
      <c r="P117" s="394"/>
      <c r="Q117" s="394"/>
      <c r="R117" s="394"/>
      <c r="S117" s="394"/>
      <c r="T117" s="394"/>
      <c r="U117" s="394"/>
      <c r="V117" s="394"/>
      <c r="W117" s="394"/>
      <c r="X117" s="394"/>
      <c r="Y117" s="394"/>
      <c r="Z117" s="394"/>
    </row>
    <row r="118">
      <c r="B118" s="485">
        <v>15.0</v>
      </c>
      <c r="C118" s="486">
        <f t="shared" si="17"/>
        <v>0.07768698399</v>
      </c>
      <c r="D118" s="486">
        <f t="shared" si="20"/>
        <v>0.2386736315</v>
      </c>
      <c r="E118" s="486">
        <f t="shared" si="18"/>
        <v>4.77347263</v>
      </c>
      <c r="F118" s="394"/>
      <c r="G118" s="394"/>
      <c r="H118" s="394"/>
      <c r="I118" s="394"/>
      <c r="J118" s="394"/>
      <c r="K118" s="394"/>
      <c r="L118" s="394"/>
      <c r="M118" s="394"/>
      <c r="N118" s="394"/>
      <c r="O118" s="394"/>
      <c r="P118" s="394"/>
      <c r="Q118" s="394"/>
      <c r="R118" s="394"/>
      <c r="S118" s="394"/>
      <c r="T118" s="394"/>
      <c r="U118" s="394"/>
      <c r="V118" s="394"/>
      <c r="W118" s="394"/>
      <c r="X118" s="394"/>
      <c r="Y118" s="394"/>
      <c r="Z118" s="394"/>
    </row>
    <row r="119">
      <c r="B119" s="485">
        <v>16.0</v>
      </c>
      <c r="C119" s="486">
        <f t="shared" si="17"/>
        <v>0.0798103482</v>
      </c>
      <c r="D119" s="486">
        <f t="shared" si="20"/>
        <v>0.1588632833</v>
      </c>
      <c r="E119" s="486">
        <f t="shared" si="18"/>
        <v>3.177265666</v>
      </c>
      <c r="F119" s="394"/>
      <c r="G119" s="394"/>
      <c r="H119" s="394"/>
      <c r="I119" s="394"/>
      <c r="J119" s="394"/>
      <c r="K119" s="394"/>
      <c r="L119" s="394"/>
      <c r="M119" s="394"/>
      <c r="N119" s="394"/>
      <c r="O119" s="394"/>
      <c r="P119" s="394"/>
      <c r="Q119" s="394"/>
      <c r="R119" s="394"/>
      <c r="S119" s="394"/>
      <c r="T119" s="394"/>
      <c r="U119" s="394"/>
      <c r="V119" s="394"/>
      <c r="W119" s="394"/>
      <c r="X119" s="394"/>
      <c r="Y119" s="394"/>
      <c r="Z119" s="394"/>
    </row>
    <row r="120">
      <c r="B120" s="485">
        <v>17.0</v>
      </c>
      <c r="C120" s="486">
        <f t="shared" si="17"/>
        <v>0.08173164759</v>
      </c>
      <c r="D120" s="486">
        <f t="shared" si="20"/>
        <v>0.07713163572</v>
      </c>
      <c r="E120" s="486">
        <f t="shared" si="18"/>
        <v>1.542632714</v>
      </c>
      <c r="F120" s="394"/>
      <c r="G120" s="394"/>
      <c r="H120" s="394"/>
      <c r="I120" s="394"/>
      <c r="J120" s="394"/>
      <c r="K120" s="394"/>
      <c r="L120" s="394"/>
      <c r="M120" s="394"/>
      <c r="N120" s="394"/>
      <c r="O120" s="394"/>
      <c r="P120" s="394"/>
      <c r="Q120" s="394"/>
      <c r="R120" s="394"/>
      <c r="S120" s="394"/>
      <c r="T120" s="394"/>
      <c r="U120" s="394"/>
      <c r="V120" s="394"/>
      <c r="W120" s="394"/>
      <c r="X120" s="394"/>
      <c r="Y120" s="394"/>
      <c r="Z120" s="394"/>
    </row>
    <row r="121">
      <c r="B121" s="485">
        <v>18.0</v>
      </c>
      <c r="C121" s="486">
        <f t="shared" si="17"/>
        <v>0.08347011118</v>
      </c>
      <c r="D121" s="486">
        <f t="shared" si="20"/>
        <v>-0.006338475454</v>
      </c>
      <c r="E121" s="486">
        <f t="shared" si="18"/>
        <v>-0.1267695091</v>
      </c>
      <c r="F121" s="394"/>
      <c r="G121" s="394"/>
      <c r="H121" s="394"/>
      <c r="I121" s="394"/>
      <c r="J121" s="394"/>
      <c r="K121" s="394"/>
      <c r="L121" s="394"/>
      <c r="M121" s="394"/>
      <c r="N121" s="394"/>
      <c r="O121" s="394"/>
      <c r="P121" s="394"/>
      <c r="Q121" s="394"/>
      <c r="R121" s="394"/>
      <c r="S121" s="394"/>
      <c r="T121" s="394"/>
      <c r="U121" s="394"/>
      <c r="V121" s="394"/>
      <c r="W121" s="394"/>
      <c r="X121" s="394"/>
      <c r="Y121" s="394"/>
      <c r="Z121" s="394"/>
    </row>
    <row r="122">
      <c r="B122" s="485">
        <v>19.0</v>
      </c>
      <c r="C122" s="486">
        <f t="shared" si="17"/>
        <v>0.08504313808</v>
      </c>
      <c r="D122" s="486">
        <f t="shared" si="20"/>
        <v>-0.09138161353</v>
      </c>
      <c r="E122" s="486">
        <f t="shared" si="18"/>
        <v>-1.827632271</v>
      </c>
      <c r="F122" s="394"/>
      <c r="G122" s="394"/>
      <c r="H122" s="394"/>
      <c r="I122" s="394"/>
      <c r="J122" s="394"/>
      <c r="K122" s="394"/>
      <c r="L122" s="394"/>
      <c r="M122" s="394"/>
      <c r="N122" s="394"/>
      <c r="O122" s="394"/>
      <c r="P122" s="394"/>
      <c r="Q122" s="394"/>
      <c r="R122" s="394"/>
      <c r="S122" s="394"/>
      <c r="T122" s="394"/>
      <c r="U122" s="394"/>
      <c r="V122" s="394"/>
      <c r="W122" s="394"/>
      <c r="X122" s="394"/>
      <c r="Y122" s="394"/>
      <c r="Z122" s="394"/>
    </row>
    <row r="123">
      <c r="B123" s="394"/>
      <c r="C123" s="394"/>
      <c r="D123" s="394"/>
      <c r="E123" s="394"/>
      <c r="F123" s="394"/>
      <c r="G123" s="394"/>
      <c r="H123" s="394"/>
      <c r="I123" s="394"/>
      <c r="J123" s="394"/>
      <c r="K123" s="394"/>
      <c r="L123" s="394"/>
      <c r="M123" s="394"/>
      <c r="N123" s="394"/>
      <c r="O123" s="394"/>
      <c r="P123" s="394"/>
      <c r="Q123" s="394"/>
      <c r="R123" s="394"/>
      <c r="S123" s="394"/>
      <c r="T123" s="394"/>
      <c r="U123" s="394"/>
      <c r="V123" s="394"/>
      <c r="W123" s="394"/>
      <c r="X123" s="394"/>
      <c r="Y123" s="394"/>
      <c r="Z123" s="394"/>
    </row>
    <row r="124">
      <c r="B124" s="394"/>
      <c r="C124" s="394"/>
      <c r="D124" s="394"/>
      <c r="E124" s="394"/>
      <c r="F124" s="394"/>
      <c r="G124" s="394"/>
      <c r="H124" s="394"/>
      <c r="I124" s="394"/>
      <c r="J124" s="394"/>
      <c r="K124" s="394"/>
      <c r="L124" s="394"/>
      <c r="M124" s="394"/>
      <c r="N124" s="394"/>
      <c r="O124" s="394"/>
      <c r="P124" s="394"/>
      <c r="Q124" s="394"/>
      <c r="R124" s="394"/>
      <c r="S124" s="394"/>
      <c r="T124" s="394"/>
      <c r="U124" s="394"/>
      <c r="V124" s="394"/>
      <c r="W124" s="394"/>
      <c r="X124" s="394"/>
      <c r="Y124" s="394"/>
      <c r="Z124" s="394"/>
    </row>
    <row r="125">
      <c r="B125" s="479" t="s">
        <v>724</v>
      </c>
      <c r="C125" s="394"/>
      <c r="D125" s="211"/>
      <c r="E125" s="211"/>
      <c r="F125" s="394"/>
      <c r="G125" s="394"/>
      <c r="H125" s="394"/>
      <c r="I125" s="394"/>
      <c r="J125" s="394"/>
      <c r="K125" s="394"/>
      <c r="L125" s="394"/>
      <c r="M125" s="394"/>
      <c r="N125" s="394"/>
      <c r="O125" s="394"/>
      <c r="P125" s="394"/>
      <c r="Q125" s="394"/>
      <c r="R125" s="394"/>
      <c r="S125" s="394"/>
      <c r="T125" s="394"/>
      <c r="U125" s="394"/>
      <c r="V125" s="394"/>
      <c r="W125" s="394"/>
      <c r="X125" s="394"/>
      <c r="Y125" s="394"/>
      <c r="Z125" s="394"/>
    </row>
    <row r="126">
      <c r="B126" s="480"/>
      <c r="C126" s="480"/>
      <c r="D126" s="480"/>
      <c r="E126" s="480"/>
      <c r="F126" s="394"/>
      <c r="G126" s="394"/>
      <c r="H126" s="394"/>
      <c r="I126" s="394"/>
      <c r="J126" s="394"/>
      <c r="K126" s="394"/>
      <c r="L126" s="394"/>
      <c r="M126" s="394"/>
      <c r="N126" s="394"/>
      <c r="O126" s="394"/>
      <c r="P126" s="394"/>
      <c r="Q126" s="394"/>
      <c r="R126" s="394"/>
      <c r="S126" s="394"/>
      <c r="T126" s="394"/>
      <c r="U126" s="394"/>
      <c r="V126" s="394"/>
      <c r="W126" s="394"/>
      <c r="X126" s="394"/>
      <c r="Y126" s="394"/>
      <c r="Z126" s="394"/>
    </row>
    <row r="127">
      <c r="B127" s="482" t="s">
        <v>711</v>
      </c>
      <c r="C127" s="483" t="s">
        <v>712</v>
      </c>
      <c r="D127" s="483" t="s">
        <v>713</v>
      </c>
      <c r="E127" s="483" t="s">
        <v>714</v>
      </c>
      <c r="F127" s="394"/>
      <c r="G127" s="482" t="s">
        <v>711</v>
      </c>
      <c r="H127" s="394" t="s">
        <v>725</v>
      </c>
      <c r="I127" s="394"/>
      <c r="J127" s="394"/>
      <c r="K127" s="394"/>
      <c r="L127" s="394"/>
      <c r="M127" s="394"/>
      <c r="N127" s="394"/>
      <c r="O127" s="394"/>
      <c r="P127" s="394"/>
      <c r="Q127" s="394"/>
      <c r="R127" s="394"/>
      <c r="S127" s="394"/>
      <c r="T127" s="394"/>
      <c r="U127" s="394"/>
      <c r="V127" s="394"/>
      <c r="W127" s="394"/>
      <c r="X127" s="394"/>
      <c r="Y127" s="394"/>
      <c r="Z127" s="394"/>
    </row>
    <row r="128">
      <c r="B128" s="485">
        <v>0.0</v>
      </c>
      <c r="C128" s="486">
        <f t="shared" ref="C128:C140" si="21">($C$9/$D$9)*(1-EXP(-($C$9/$D$9)*B128))</f>
        <v>0</v>
      </c>
      <c r="D128" s="486">
        <v>1.0</v>
      </c>
      <c r="E128" s="486">
        <f t="shared" ref="E128:E140" si="22">+$D$9*D128</f>
        <v>12</v>
      </c>
      <c r="F128" s="394"/>
      <c r="G128" s="485">
        <v>0.0</v>
      </c>
      <c r="H128" s="394">
        <f t="shared" ref="H128:H135" si="23">(1-D128)*$E$9</f>
        <v>0</v>
      </c>
      <c r="I128" s="394"/>
      <c r="J128" s="394"/>
      <c r="K128" s="394"/>
      <c r="L128" s="394"/>
      <c r="M128" s="394"/>
      <c r="N128" s="394"/>
      <c r="O128" s="394"/>
      <c r="P128" s="394"/>
      <c r="Q128" s="394"/>
      <c r="R128" s="394"/>
      <c r="S128" s="394"/>
      <c r="T128" s="394"/>
      <c r="U128" s="394"/>
      <c r="V128" s="394"/>
      <c r="W128" s="394"/>
      <c r="X128" s="394"/>
      <c r="Y128" s="394"/>
      <c r="Z128" s="394"/>
    </row>
    <row r="129">
      <c r="B129" s="485">
        <v>1.0</v>
      </c>
      <c r="C129" s="486">
        <f t="shared" si="21"/>
        <v>0.02558637918</v>
      </c>
      <c r="D129" s="486">
        <f t="shared" ref="D129:D140" si="24">D128-C129</f>
        <v>0.9744136208</v>
      </c>
      <c r="E129" s="486">
        <f t="shared" si="22"/>
        <v>11.69296345</v>
      </c>
      <c r="F129" s="394"/>
      <c r="G129" s="485">
        <v>1.0</v>
      </c>
      <c r="H129" s="394">
        <f t="shared" si="23"/>
        <v>9.565041419</v>
      </c>
      <c r="I129" s="394"/>
      <c r="J129" s="394"/>
      <c r="K129" s="394"/>
      <c r="L129" s="394"/>
      <c r="M129" s="394"/>
      <c r="N129" s="394"/>
      <c r="O129" s="394"/>
      <c r="P129" s="394"/>
      <c r="Q129" s="394"/>
      <c r="R129" s="394"/>
      <c r="S129" s="394"/>
      <c r="T129" s="394"/>
      <c r="U129" s="394"/>
      <c r="V129" s="394"/>
      <c r="W129" s="394"/>
      <c r="X129" s="394"/>
      <c r="Y129" s="394"/>
      <c r="Z129" s="394"/>
    </row>
    <row r="130">
      <c r="B130" s="485">
        <v>2.0</v>
      </c>
      <c r="C130" s="486">
        <f t="shared" si="21"/>
        <v>0.04724478157</v>
      </c>
      <c r="D130" s="486">
        <f t="shared" si="24"/>
        <v>0.9271688392</v>
      </c>
      <c r="E130" s="486">
        <f t="shared" si="22"/>
        <v>11.12602607</v>
      </c>
      <c r="F130" s="394"/>
      <c r="G130" s="485">
        <v>2.0</v>
      </c>
      <c r="H130" s="394">
        <f t="shared" si="23"/>
        <v>27.2267156</v>
      </c>
      <c r="I130" s="394"/>
      <c r="J130" s="394"/>
      <c r="K130" s="394"/>
      <c r="L130" s="394"/>
      <c r="M130" s="394"/>
      <c r="N130" s="394"/>
      <c r="O130" s="394"/>
      <c r="P130" s="394"/>
      <c r="Q130" s="394"/>
      <c r="R130" s="394"/>
      <c r="S130" s="394"/>
      <c r="T130" s="394"/>
      <c r="U130" s="394"/>
      <c r="V130" s="394"/>
      <c r="W130" s="394"/>
      <c r="X130" s="394"/>
      <c r="Y130" s="394"/>
      <c r="Z130" s="394"/>
    </row>
    <row r="131">
      <c r="B131" s="485">
        <v>3.0</v>
      </c>
      <c r="C131" s="486">
        <f t="shared" si="21"/>
        <v>0.06557822338</v>
      </c>
      <c r="D131" s="486">
        <f t="shared" si="24"/>
        <v>0.8615906159</v>
      </c>
      <c r="E131" s="486">
        <f t="shared" si="22"/>
        <v>10.33908739</v>
      </c>
      <c r="F131" s="394"/>
      <c r="G131" s="485">
        <v>3.0</v>
      </c>
      <c r="H131" s="394">
        <f t="shared" si="23"/>
        <v>51.74204144</v>
      </c>
      <c r="I131" s="394"/>
      <c r="J131" s="394"/>
      <c r="K131" s="394"/>
      <c r="L131" s="394"/>
      <c r="M131" s="394"/>
      <c r="N131" s="394"/>
      <c r="O131" s="394"/>
      <c r="P131" s="394"/>
      <c r="Q131" s="394"/>
      <c r="R131" s="394"/>
      <c r="S131" s="394"/>
      <c r="T131" s="394"/>
      <c r="U131" s="394"/>
      <c r="V131" s="394"/>
      <c r="W131" s="394"/>
      <c r="X131" s="394"/>
      <c r="Y131" s="394"/>
      <c r="Z131" s="394"/>
    </row>
    <row r="132">
      <c r="B132" s="485">
        <v>4.0</v>
      </c>
      <c r="C132" s="486">
        <f t="shared" si="21"/>
        <v>0.08109714683</v>
      </c>
      <c r="D132" s="486">
        <f t="shared" si="24"/>
        <v>0.780493469</v>
      </c>
      <c r="E132" s="486">
        <f t="shared" si="22"/>
        <v>9.365921628</v>
      </c>
      <c r="F132" s="394"/>
      <c r="G132" s="485">
        <v>4.0</v>
      </c>
      <c r="H132" s="394">
        <f t="shared" si="23"/>
        <v>82.05885816</v>
      </c>
      <c r="I132" s="394"/>
      <c r="J132" s="394"/>
      <c r="K132" s="394"/>
      <c r="L132" s="394"/>
      <c r="M132" s="394"/>
      <c r="N132" s="394"/>
      <c r="O132" s="394"/>
      <c r="P132" s="394"/>
      <c r="Q132" s="394"/>
      <c r="R132" s="394"/>
      <c r="S132" s="394"/>
      <c r="T132" s="394"/>
      <c r="U132" s="394"/>
      <c r="V132" s="394"/>
      <c r="W132" s="394"/>
      <c r="X132" s="394"/>
      <c r="Y132" s="394"/>
      <c r="Z132" s="394"/>
    </row>
    <row r="133">
      <c r="B133" s="485">
        <v>5.0</v>
      </c>
      <c r="C133" s="486">
        <f t="shared" si="21"/>
        <v>0.09423363192</v>
      </c>
      <c r="D133" s="486">
        <f t="shared" si="24"/>
        <v>0.6862598371</v>
      </c>
      <c r="E133" s="486">
        <f t="shared" si="22"/>
        <v>8.235118045</v>
      </c>
      <c r="F133" s="394"/>
      <c r="G133" s="485">
        <v>5.0</v>
      </c>
      <c r="H133" s="394">
        <f t="shared" si="23"/>
        <v>117.2865309</v>
      </c>
      <c r="I133" s="394"/>
      <c r="J133" s="394"/>
      <c r="K133" s="394"/>
      <c r="L133" s="394"/>
      <c r="M133" s="394"/>
      <c r="N133" s="394"/>
      <c r="O133" s="394"/>
      <c r="P133" s="394"/>
      <c r="Q133" s="394"/>
      <c r="R133" s="394"/>
      <c r="S133" s="394"/>
      <c r="T133" s="394"/>
      <c r="U133" s="394"/>
      <c r="V133" s="394"/>
      <c r="W133" s="394"/>
      <c r="X133" s="394"/>
      <c r="Y133" s="394"/>
      <c r="Z133" s="394"/>
    </row>
    <row r="134">
      <c r="B134" s="485">
        <v>6.0</v>
      </c>
      <c r="C134" s="486">
        <f t="shared" si="21"/>
        <v>0.1053534265</v>
      </c>
      <c r="D134" s="486">
        <f t="shared" si="24"/>
        <v>0.5809064106</v>
      </c>
      <c r="E134" s="486">
        <f t="shared" si="22"/>
        <v>6.970876928</v>
      </c>
      <c r="F134" s="394"/>
      <c r="G134" s="485">
        <v>6.0</v>
      </c>
      <c r="H134" s="394">
        <f t="shared" si="23"/>
        <v>156.6711535</v>
      </c>
      <c r="I134" s="394"/>
      <c r="J134" s="394"/>
      <c r="K134" s="394"/>
      <c r="L134" s="394"/>
      <c r="M134" s="394"/>
      <c r="N134" s="394"/>
      <c r="O134" s="394"/>
      <c r="P134" s="394"/>
      <c r="Q134" s="394"/>
      <c r="R134" s="394"/>
      <c r="S134" s="394"/>
      <c r="T134" s="394"/>
      <c r="U134" s="394"/>
      <c r="V134" s="394"/>
      <c r="W134" s="394"/>
      <c r="X134" s="394"/>
      <c r="Y134" s="394"/>
      <c r="Z134" s="394"/>
    </row>
    <row r="135">
      <c r="B135" s="489">
        <v>7.0</v>
      </c>
      <c r="C135" s="490">
        <f t="shared" si="21"/>
        <v>0.1147661293</v>
      </c>
      <c r="D135" s="490">
        <f t="shared" si="24"/>
        <v>0.4661402813</v>
      </c>
      <c r="E135" s="490">
        <f t="shared" si="22"/>
        <v>5.593683376</v>
      </c>
      <c r="F135" s="394"/>
      <c r="G135" s="489">
        <v>7.0</v>
      </c>
      <c r="H135" s="488">
        <f t="shared" si="23"/>
        <v>199.5745582</v>
      </c>
      <c r="I135" s="394"/>
      <c r="J135" s="394"/>
      <c r="K135" s="394"/>
      <c r="L135" s="394"/>
      <c r="M135" s="394"/>
      <c r="N135" s="394"/>
      <c r="O135" s="394"/>
      <c r="P135" s="394"/>
      <c r="Q135" s="394"/>
      <c r="R135" s="394"/>
      <c r="S135" s="394"/>
      <c r="T135" s="394"/>
      <c r="U135" s="394"/>
      <c r="V135" s="394"/>
      <c r="W135" s="394"/>
      <c r="X135" s="394"/>
      <c r="Y135" s="394"/>
      <c r="Z135" s="394"/>
    </row>
    <row r="136">
      <c r="B136" s="485">
        <v>8.0</v>
      </c>
      <c r="C136" s="486">
        <f t="shared" si="21"/>
        <v>0.1227338103</v>
      </c>
      <c r="D136" s="486">
        <f t="shared" si="24"/>
        <v>0.343406471</v>
      </c>
      <c r="E136" s="486">
        <f t="shared" si="22"/>
        <v>4.120877652</v>
      </c>
      <c r="F136" s="394"/>
      <c r="G136" s="491" t="s">
        <v>715</v>
      </c>
      <c r="H136" s="394">
        <f>AVERAGE(H128:H135)</f>
        <v>80.5156124</v>
      </c>
      <c r="I136" s="394"/>
      <c r="J136" s="394"/>
      <c r="K136" s="394"/>
      <c r="L136" s="394"/>
      <c r="M136" s="394"/>
      <c r="N136" s="394"/>
      <c r="O136" s="394"/>
      <c r="P136" s="394"/>
      <c r="Q136" s="394"/>
      <c r="R136" s="394"/>
      <c r="S136" s="394"/>
      <c r="T136" s="394"/>
      <c r="U136" s="394"/>
      <c r="V136" s="394"/>
      <c r="W136" s="394"/>
      <c r="X136" s="394"/>
      <c r="Y136" s="394"/>
      <c r="Z136" s="394"/>
    </row>
    <row r="137">
      <c r="B137" s="485">
        <v>9.0</v>
      </c>
      <c r="C137" s="486">
        <f t="shared" si="21"/>
        <v>0.1294783066</v>
      </c>
      <c r="D137" s="486">
        <f t="shared" si="24"/>
        <v>0.2139281643</v>
      </c>
      <c r="E137" s="486">
        <f t="shared" si="22"/>
        <v>2.567137972</v>
      </c>
      <c r="F137" s="394"/>
      <c r="G137" s="394"/>
      <c r="H137" s="394"/>
      <c r="I137" s="394"/>
      <c r="J137" s="394"/>
      <c r="K137" s="394"/>
      <c r="L137" s="394"/>
      <c r="M137" s="394"/>
      <c r="N137" s="394"/>
      <c r="O137" s="394"/>
      <c r="P137" s="394"/>
      <c r="Q137" s="394"/>
      <c r="R137" s="394"/>
      <c r="S137" s="394"/>
      <c r="T137" s="394"/>
      <c r="U137" s="394"/>
      <c r="V137" s="394"/>
      <c r="W137" s="394"/>
      <c r="X137" s="394"/>
      <c r="Y137" s="394"/>
      <c r="Z137" s="394"/>
    </row>
    <row r="138">
      <c r="B138" s="485">
        <v>10.0</v>
      </c>
      <c r="C138" s="486">
        <f t="shared" si="21"/>
        <v>0.1351873995</v>
      </c>
      <c r="D138" s="486">
        <f t="shared" si="24"/>
        <v>0.07874076482</v>
      </c>
      <c r="E138" s="486">
        <f t="shared" si="22"/>
        <v>0.9448891778</v>
      </c>
      <c r="F138" s="394"/>
      <c r="G138" s="394"/>
      <c r="H138" s="394"/>
      <c r="I138" s="394"/>
      <c r="J138" s="394"/>
      <c r="K138" s="394"/>
      <c r="L138" s="394"/>
      <c r="M138" s="394"/>
      <c r="N138" s="394"/>
      <c r="O138" s="394"/>
      <c r="P138" s="394"/>
      <c r="Q138" s="394"/>
      <c r="R138" s="394"/>
      <c r="S138" s="394"/>
      <c r="T138" s="394"/>
      <c r="U138" s="394"/>
      <c r="V138" s="394"/>
      <c r="W138" s="394"/>
      <c r="X138" s="394"/>
      <c r="Y138" s="394"/>
      <c r="Z138" s="394"/>
    </row>
    <row r="139">
      <c r="B139" s="485">
        <v>11.0</v>
      </c>
      <c r="C139" s="486">
        <f t="shared" si="21"/>
        <v>0.1400200423</v>
      </c>
      <c r="D139" s="486">
        <f t="shared" si="24"/>
        <v>-0.0612792775</v>
      </c>
      <c r="E139" s="486">
        <f t="shared" si="22"/>
        <v>-0.73535133</v>
      </c>
      <c r="F139" s="394"/>
      <c r="G139" s="394"/>
      <c r="H139" s="394"/>
      <c r="I139" s="394"/>
      <c r="J139" s="394"/>
      <c r="K139" s="394"/>
      <c r="L139" s="394"/>
      <c r="M139" s="394"/>
      <c r="N139" s="394"/>
      <c r="O139" s="394"/>
      <c r="P139" s="394"/>
      <c r="Q139" s="394"/>
      <c r="R139" s="394"/>
      <c r="S139" s="394"/>
      <c r="T139" s="394"/>
      <c r="U139" s="394"/>
      <c r="V139" s="394"/>
      <c r="W139" s="394"/>
      <c r="X139" s="394"/>
      <c r="Y139" s="394"/>
      <c r="Z139" s="394"/>
    </row>
    <row r="140">
      <c r="B140" s="485">
        <v>12.0</v>
      </c>
      <c r="C140" s="486">
        <f t="shared" si="21"/>
        <v>0.1441107861</v>
      </c>
      <c r="D140" s="486">
        <f t="shared" si="24"/>
        <v>-0.2053900636</v>
      </c>
      <c r="E140" s="486">
        <f t="shared" si="22"/>
        <v>-2.464680764</v>
      </c>
      <c r="F140" s="394"/>
      <c r="G140" s="394"/>
      <c r="H140" s="394"/>
      <c r="I140" s="394"/>
      <c r="J140" s="394"/>
      <c r="K140" s="394"/>
      <c r="L140" s="394"/>
      <c r="M140" s="394"/>
      <c r="N140" s="394"/>
      <c r="O140" s="394"/>
      <c r="P140" s="394"/>
      <c r="Q140" s="394"/>
      <c r="R140" s="394"/>
      <c r="S140" s="394"/>
      <c r="T140" s="394"/>
      <c r="U140" s="394"/>
      <c r="V140" s="394"/>
      <c r="W140" s="394"/>
      <c r="X140" s="394"/>
      <c r="Y140" s="394"/>
      <c r="Z140" s="394"/>
    </row>
    <row r="141">
      <c r="B141" s="394"/>
      <c r="C141" s="394"/>
      <c r="D141" s="394"/>
      <c r="E141" s="394"/>
      <c r="F141" s="394"/>
      <c r="G141" s="394"/>
      <c r="H141" s="394"/>
      <c r="I141" s="394"/>
      <c r="J141" s="394"/>
      <c r="K141" s="394"/>
      <c r="L141" s="394"/>
      <c r="M141" s="394"/>
      <c r="N141" s="394"/>
      <c r="O141" s="394"/>
      <c r="P141" s="394"/>
      <c r="Q141" s="394"/>
      <c r="R141" s="394"/>
      <c r="S141" s="394"/>
      <c r="T141" s="394"/>
      <c r="U141" s="394"/>
      <c r="V141" s="394"/>
      <c r="W141" s="394"/>
      <c r="X141" s="394"/>
      <c r="Y141" s="394"/>
      <c r="Z141" s="394"/>
    </row>
    <row r="142">
      <c r="B142" s="394"/>
      <c r="C142" s="394"/>
      <c r="D142" s="394"/>
      <c r="E142" s="394"/>
      <c r="F142" s="394"/>
      <c r="G142" s="394"/>
      <c r="H142" s="394"/>
      <c r="I142" s="394"/>
      <c r="J142" s="394"/>
      <c r="K142" s="394"/>
      <c r="L142" s="394"/>
      <c r="M142" s="394"/>
      <c r="N142" s="394"/>
      <c r="O142" s="394"/>
      <c r="P142" s="394"/>
      <c r="Q142" s="394"/>
      <c r="R142" s="394"/>
      <c r="S142" s="394"/>
      <c r="T142" s="394"/>
      <c r="U142" s="394"/>
      <c r="V142" s="394"/>
      <c r="W142" s="394"/>
      <c r="X142" s="394"/>
      <c r="Y142" s="394"/>
      <c r="Z142" s="394"/>
    </row>
    <row r="143">
      <c r="B143" s="479" t="s">
        <v>726</v>
      </c>
      <c r="C143" s="394"/>
      <c r="D143" s="394"/>
      <c r="E143" s="394"/>
      <c r="F143" s="394"/>
      <c r="G143" s="394"/>
      <c r="H143" s="394"/>
      <c r="I143" s="394"/>
      <c r="J143" s="394"/>
      <c r="K143" s="394"/>
      <c r="L143" s="394"/>
      <c r="M143" s="394"/>
      <c r="N143" s="394"/>
      <c r="O143" s="394"/>
      <c r="P143" s="394"/>
      <c r="Q143" s="394"/>
      <c r="R143" s="394"/>
      <c r="S143" s="394"/>
      <c r="T143" s="394"/>
      <c r="U143" s="394"/>
      <c r="V143" s="394"/>
      <c r="W143" s="394"/>
      <c r="X143" s="394"/>
      <c r="Y143" s="394"/>
      <c r="Z143" s="394"/>
    </row>
    <row r="144">
      <c r="B144" s="480"/>
      <c r="C144" s="480"/>
      <c r="D144" s="480"/>
      <c r="E144" s="480"/>
      <c r="F144" s="394"/>
      <c r="G144" s="394"/>
      <c r="H144" s="394"/>
      <c r="I144" s="394"/>
      <c r="J144" s="394"/>
      <c r="K144" s="394"/>
      <c r="L144" s="394"/>
      <c r="M144" s="394"/>
      <c r="N144" s="394"/>
      <c r="O144" s="394"/>
      <c r="P144" s="394"/>
      <c r="Q144" s="394"/>
      <c r="R144" s="394"/>
      <c r="S144" s="394"/>
      <c r="T144" s="394"/>
      <c r="U144" s="394"/>
      <c r="V144" s="394"/>
      <c r="W144" s="394"/>
      <c r="X144" s="394"/>
      <c r="Y144" s="394"/>
      <c r="Z144" s="394"/>
    </row>
    <row r="145">
      <c r="B145" s="482" t="s">
        <v>711</v>
      </c>
      <c r="C145" s="483" t="s">
        <v>712</v>
      </c>
      <c r="D145" s="483" t="s">
        <v>713</v>
      </c>
      <c r="E145" s="483" t="s">
        <v>714</v>
      </c>
      <c r="F145" s="394"/>
      <c r="G145" s="482" t="s">
        <v>711</v>
      </c>
      <c r="H145" s="394" t="s">
        <v>727</v>
      </c>
      <c r="I145" s="394"/>
      <c r="J145" s="394"/>
      <c r="K145" s="394"/>
      <c r="L145" s="394"/>
      <c r="M145" s="394"/>
      <c r="N145" s="394"/>
      <c r="O145" s="394"/>
      <c r="P145" s="394"/>
      <c r="Q145" s="394"/>
      <c r="R145" s="394"/>
      <c r="S145" s="394"/>
      <c r="T145" s="394"/>
      <c r="U145" s="394"/>
      <c r="V145" s="394"/>
      <c r="W145" s="394"/>
      <c r="X145" s="394"/>
      <c r="Y145" s="394"/>
      <c r="Z145" s="394"/>
    </row>
    <row r="146">
      <c r="B146" s="485">
        <v>0.0</v>
      </c>
      <c r="C146" s="486">
        <f t="shared" ref="C146:C161" si="25">($C$10/$D$10)*(1-EXP(-($C$10/$D$10)*B146))</f>
        <v>0</v>
      </c>
      <c r="D146" s="486">
        <v>1.0</v>
      </c>
      <c r="E146" s="486">
        <f t="shared" ref="E146:E161" si="26">+$D$10*D146</f>
        <v>15</v>
      </c>
      <c r="F146" s="394"/>
      <c r="G146" s="485">
        <v>0.0</v>
      </c>
      <c r="H146" s="394">
        <f t="shared" ref="H146:H155" si="27">(1-D146)*$E$10</f>
        <v>0</v>
      </c>
      <c r="I146" s="394"/>
      <c r="J146" s="394"/>
      <c r="K146" s="394"/>
      <c r="L146" s="394"/>
      <c r="M146" s="394"/>
      <c r="N146" s="394"/>
      <c r="O146" s="394"/>
      <c r="P146" s="394"/>
      <c r="Q146" s="394"/>
      <c r="R146" s="394"/>
      <c r="S146" s="394"/>
      <c r="T146" s="394"/>
      <c r="U146" s="394"/>
      <c r="V146" s="394"/>
      <c r="W146" s="394"/>
      <c r="X146" s="394"/>
      <c r="Y146" s="394"/>
      <c r="Z146" s="394"/>
    </row>
    <row r="147">
      <c r="B147" s="485">
        <v>1.0</v>
      </c>
      <c r="C147" s="486">
        <f t="shared" si="25"/>
        <v>0.01664355746</v>
      </c>
      <c r="D147" s="486">
        <f t="shared" ref="D147:D161" si="28">D146-C147</f>
        <v>0.9833564425</v>
      </c>
      <c r="E147" s="486">
        <f t="shared" si="26"/>
        <v>14.75034664</v>
      </c>
      <c r="F147" s="394"/>
      <c r="G147" s="485">
        <v>1.0</v>
      </c>
      <c r="H147" s="394">
        <f t="shared" si="27"/>
        <v>13.31345901</v>
      </c>
      <c r="I147" s="394"/>
      <c r="J147" s="394"/>
      <c r="K147" s="394"/>
      <c r="L147" s="394"/>
      <c r="M147" s="394"/>
      <c r="N147" s="394"/>
      <c r="O147" s="394"/>
      <c r="P147" s="394"/>
      <c r="Q147" s="394"/>
      <c r="R147" s="394"/>
      <c r="S147" s="394"/>
      <c r="T147" s="394"/>
      <c r="U147" s="394"/>
      <c r="V147" s="394"/>
      <c r="W147" s="394"/>
      <c r="X147" s="394"/>
      <c r="Y147" s="394"/>
      <c r="Z147" s="394"/>
    </row>
    <row r="148">
      <c r="B148" s="485">
        <v>2.0</v>
      </c>
      <c r="C148" s="486">
        <f t="shared" si="25"/>
        <v>0.03120955488</v>
      </c>
      <c r="D148" s="486">
        <f t="shared" si="28"/>
        <v>0.9521468877</v>
      </c>
      <c r="E148" s="486">
        <f t="shared" si="26"/>
        <v>14.28220331</v>
      </c>
      <c r="F148" s="394"/>
      <c r="G148" s="485">
        <v>2.0</v>
      </c>
      <c r="H148" s="394">
        <f t="shared" si="27"/>
        <v>38.27850212</v>
      </c>
      <c r="I148" s="394"/>
      <c r="J148" s="394"/>
      <c r="K148" s="394"/>
      <c r="L148" s="394"/>
      <c r="M148" s="394"/>
      <c r="N148" s="394"/>
      <c r="O148" s="394"/>
      <c r="P148" s="394"/>
      <c r="Q148" s="394"/>
      <c r="R148" s="394"/>
      <c r="S148" s="394"/>
      <c r="T148" s="394"/>
      <c r="U148" s="394"/>
      <c r="V148" s="394"/>
      <c r="W148" s="394"/>
      <c r="X148" s="394"/>
      <c r="Y148" s="394"/>
      <c r="Z148" s="394"/>
    </row>
    <row r="149">
      <c r="B149" s="485">
        <v>3.0</v>
      </c>
      <c r="C149" s="486">
        <f t="shared" si="25"/>
        <v>0.0439573272</v>
      </c>
      <c r="D149" s="486">
        <f t="shared" si="28"/>
        <v>0.9081895605</v>
      </c>
      <c r="E149" s="486">
        <f t="shared" si="26"/>
        <v>13.62284341</v>
      </c>
      <c r="F149" s="394"/>
      <c r="G149" s="485">
        <v>3.0</v>
      </c>
      <c r="H149" s="394">
        <f t="shared" si="27"/>
        <v>73.44070076</v>
      </c>
      <c r="I149" s="394"/>
      <c r="J149" s="394"/>
      <c r="K149" s="394"/>
      <c r="L149" s="394"/>
      <c r="M149" s="394"/>
      <c r="N149" s="394"/>
      <c r="O149" s="394"/>
      <c r="P149" s="394"/>
      <c r="Q149" s="394"/>
      <c r="R149" s="394"/>
      <c r="S149" s="394"/>
      <c r="T149" s="394"/>
      <c r="U149" s="394"/>
      <c r="V149" s="394"/>
      <c r="W149" s="394"/>
      <c r="X149" s="394"/>
      <c r="Y149" s="394"/>
      <c r="Z149" s="394"/>
    </row>
    <row r="150">
      <c r="B150" s="485">
        <v>4.0</v>
      </c>
      <c r="C150" s="486">
        <f t="shared" si="25"/>
        <v>0.0551138374</v>
      </c>
      <c r="D150" s="486">
        <f t="shared" si="28"/>
        <v>0.8530757231</v>
      </c>
      <c r="E150" s="486">
        <f t="shared" si="26"/>
        <v>12.79613585</v>
      </c>
      <c r="F150" s="394"/>
      <c r="G150" s="485">
        <v>4.0</v>
      </c>
      <c r="H150" s="394">
        <f t="shared" si="27"/>
        <v>117.5271779</v>
      </c>
      <c r="I150" s="394"/>
      <c r="J150" s="394"/>
      <c r="K150" s="394"/>
      <c r="L150" s="394"/>
      <c r="M150" s="394"/>
      <c r="N150" s="394"/>
      <c r="O150" s="394"/>
      <c r="P150" s="394"/>
      <c r="Q150" s="394"/>
      <c r="R150" s="394"/>
      <c r="S150" s="394"/>
      <c r="T150" s="394"/>
      <c r="U150" s="394"/>
      <c r="V150" s="394"/>
      <c r="W150" s="394"/>
      <c r="X150" s="394"/>
      <c r="Y150" s="394"/>
      <c r="Z150" s="394"/>
    </row>
    <row r="151">
      <c r="B151" s="485">
        <v>5.0</v>
      </c>
      <c r="C151" s="486">
        <f t="shared" si="25"/>
        <v>0.06487771746</v>
      </c>
      <c r="D151" s="486">
        <f t="shared" si="28"/>
        <v>0.7881980056</v>
      </c>
      <c r="E151" s="486">
        <f t="shared" si="26"/>
        <v>11.82297008</v>
      </c>
      <c r="F151" s="394"/>
      <c r="G151" s="485">
        <v>5.0</v>
      </c>
      <c r="H151" s="394">
        <f t="shared" si="27"/>
        <v>169.4239454</v>
      </c>
      <c r="I151" s="394"/>
      <c r="J151" s="394"/>
      <c r="K151" s="394"/>
      <c r="L151" s="394"/>
      <c r="M151" s="394"/>
      <c r="N151" s="394"/>
      <c r="O151" s="394"/>
      <c r="P151" s="394"/>
      <c r="Q151" s="394"/>
      <c r="R151" s="394"/>
      <c r="S151" s="394"/>
      <c r="T151" s="394"/>
      <c r="U151" s="394"/>
      <c r="V151" s="394"/>
      <c r="W151" s="394"/>
      <c r="X151" s="394"/>
      <c r="Y151" s="394"/>
      <c r="Z151" s="394"/>
    </row>
    <row r="152">
      <c r="B152" s="485">
        <v>6.0</v>
      </c>
      <c r="C152" s="486">
        <f t="shared" si="25"/>
        <v>0.07342280478</v>
      </c>
      <c r="D152" s="486">
        <f t="shared" si="28"/>
        <v>0.7147752008</v>
      </c>
      <c r="E152" s="486">
        <f t="shared" si="26"/>
        <v>10.72162801</v>
      </c>
      <c r="F152" s="394"/>
      <c r="G152" s="485">
        <v>6.0</v>
      </c>
      <c r="H152" s="394">
        <f t="shared" si="27"/>
        <v>228.1560706</v>
      </c>
      <c r="I152" s="394"/>
      <c r="J152" s="394"/>
      <c r="K152" s="394"/>
      <c r="L152" s="394"/>
      <c r="M152" s="394"/>
      <c r="N152" s="394"/>
      <c r="O152" s="394"/>
      <c r="P152" s="394"/>
      <c r="Q152" s="394"/>
      <c r="R152" s="394"/>
      <c r="S152" s="394"/>
      <c r="T152" s="394"/>
      <c r="U152" s="394"/>
      <c r="V152" s="394"/>
      <c r="W152" s="394"/>
      <c r="X152" s="394"/>
      <c r="Y152" s="394"/>
      <c r="Z152" s="394"/>
    </row>
    <row r="153">
      <c r="B153" s="485">
        <v>7.0</v>
      </c>
      <c r="C153" s="486">
        <f t="shared" si="25"/>
        <v>0.08090123722</v>
      </c>
      <c r="D153" s="486">
        <f t="shared" si="28"/>
        <v>0.6338739636</v>
      </c>
      <c r="E153" s="486">
        <f t="shared" si="26"/>
        <v>9.508109454</v>
      </c>
      <c r="F153" s="394"/>
      <c r="G153" s="485">
        <v>7.0</v>
      </c>
      <c r="H153" s="394">
        <f t="shared" si="27"/>
        <v>292.8703186</v>
      </c>
      <c r="I153" s="394"/>
      <c r="J153" s="394"/>
      <c r="K153" s="394"/>
      <c r="L153" s="394"/>
      <c r="M153" s="394"/>
      <c r="N153" s="394"/>
      <c r="O153" s="394"/>
      <c r="P153" s="394"/>
      <c r="Q153" s="394"/>
      <c r="R153" s="394"/>
      <c r="S153" s="394"/>
      <c r="T153" s="394"/>
      <c r="U153" s="394"/>
      <c r="V153" s="394"/>
      <c r="W153" s="394"/>
      <c r="X153" s="394"/>
      <c r="Y153" s="394"/>
      <c r="Z153" s="394"/>
    </row>
    <row r="154">
      <c r="B154" s="485">
        <v>8.0</v>
      </c>
      <c r="C154" s="486">
        <f t="shared" si="25"/>
        <v>0.08744616175</v>
      </c>
      <c r="D154" s="486">
        <f t="shared" si="28"/>
        <v>0.5464278018</v>
      </c>
      <c r="E154" s="486">
        <f t="shared" si="26"/>
        <v>8.196417028</v>
      </c>
      <c r="F154" s="394"/>
      <c r="G154" s="485">
        <v>8.0</v>
      </c>
      <c r="H154" s="394">
        <f t="shared" si="27"/>
        <v>362.8199608</v>
      </c>
      <c r="I154" s="394"/>
      <c r="J154" s="394"/>
      <c r="K154" s="394"/>
      <c r="L154" s="394"/>
      <c r="M154" s="394"/>
      <c r="N154" s="394"/>
      <c r="O154" s="394"/>
      <c r="P154" s="394"/>
      <c r="Q154" s="394"/>
      <c r="R154" s="394"/>
      <c r="S154" s="394"/>
      <c r="T154" s="394"/>
      <c r="U154" s="394"/>
      <c r="V154" s="394"/>
      <c r="W154" s="394"/>
      <c r="X154" s="394"/>
      <c r="Y154" s="394"/>
      <c r="Z154" s="394"/>
    </row>
    <row r="155">
      <c r="B155" s="489">
        <v>9.0</v>
      </c>
      <c r="C155" s="490">
        <f t="shared" si="25"/>
        <v>0.09317410508</v>
      </c>
      <c r="D155" s="490">
        <f t="shared" si="28"/>
        <v>0.4532536968</v>
      </c>
      <c r="E155" s="490">
        <f t="shared" si="26"/>
        <v>6.798805451</v>
      </c>
      <c r="F155" s="394"/>
      <c r="G155" s="489">
        <v>9.0</v>
      </c>
      <c r="H155" s="488">
        <f t="shared" si="27"/>
        <v>437.3514804</v>
      </c>
      <c r="I155" s="394"/>
      <c r="J155" s="394"/>
      <c r="K155" s="394"/>
      <c r="L155" s="394"/>
      <c r="M155" s="394"/>
      <c r="N155" s="394"/>
      <c r="O155" s="394"/>
      <c r="P155" s="394"/>
      <c r="Q155" s="394"/>
      <c r="R155" s="394"/>
      <c r="S155" s="394"/>
      <c r="T155" s="394"/>
      <c r="U155" s="394"/>
      <c r="V155" s="394"/>
      <c r="W155" s="394"/>
      <c r="X155" s="394"/>
      <c r="Y155" s="394"/>
      <c r="Z155" s="394"/>
    </row>
    <row r="156">
      <c r="B156" s="485">
        <v>10.0</v>
      </c>
      <c r="C156" s="486">
        <f t="shared" si="25"/>
        <v>0.09818704825</v>
      </c>
      <c r="D156" s="486">
        <f t="shared" si="28"/>
        <v>0.3550666485</v>
      </c>
      <c r="E156" s="486">
        <f t="shared" si="26"/>
        <v>5.325999728</v>
      </c>
      <c r="F156" s="394"/>
      <c r="G156" s="491" t="s">
        <v>715</v>
      </c>
      <c r="H156" s="394">
        <f>AVERAGE(H146:H155)</f>
        <v>173.3181616</v>
      </c>
      <c r="I156" s="394"/>
      <c r="J156" s="394"/>
      <c r="K156" s="394"/>
      <c r="L156" s="394"/>
      <c r="M156" s="394"/>
      <c r="N156" s="394"/>
      <c r="O156" s="394"/>
      <c r="P156" s="394"/>
      <c r="Q156" s="394"/>
      <c r="R156" s="394"/>
      <c r="S156" s="394"/>
      <c r="T156" s="394"/>
      <c r="U156" s="394"/>
      <c r="V156" s="394"/>
      <c r="W156" s="394"/>
      <c r="X156" s="394"/>
      <c r="Y156" s="394"/>
      <c r="Z156" s="394"/>
    </row>
    <row r="157">
      <c r="B157" s="485">
        <v>11.0</v>
      </c>
      <c r="C157" s="486">
        <f t="shared" si="25"/>
        <v>0.1025742424</v>
      </c>
      <c r="D157" s="486">
        <f t="shared" si="28"/>
        <v>0.2524924061</v>
      </c>
      <c r="E157" s="486">
        <f t="shared" si="26"/>
        <v>3.787386092</v>
      </c>
      <c r="F157" s="394"/>
      <c r="G157" s="394"/>
      <c r="H157" s="394"/>
      <c r="I157" s="394"/>
      <c r="J157" s="394"/>
      <c r="K157" s="394"/>
      <c r="L157" s="394"/>
      <c r="M157" s="394"/>
      <c r="N157" s="394"/>
      <c r="O157" s="394"/>
      <c r="P157" s="394"/>
      <c r="Q157" s="394"/>
      <c r="R157" s="394"/>
      <c r="S157" s="394"/>
      <c r="T157" s="394"/>
      <c r="U157" s="394"/>
      <c r="V157" s="394"/>
      <c r="W157" s="394"/>
      <c r="X157" s="394"/>
      <c r="Y157" s="394"/>
      <c r="Z157" s="394"/>
    </row>
    <row r="158">
      <c r="B158" s="485">
        <v>12.0</v>
      </c>
      <c r="C158" s="486">
        <f t="shared" si="25"/>
        <v>0.1064137976</v>
      </c>
      <c r="D158" s="486">
        <f t="shared" si="28"/>
        <v>0.1460786085</v>
      </c>
      <c r="E158" s="486">
        <f t="shared" si="26"/>
        <v>2.191179128</v>
      </c>
      <c r="F158" s="394"/>
      <c r="G158" s="394"/>
      <c r="H158" s="394"/>
      <c r="I158" s="394"/>
      <c r="J158" s="394"/>
      <c r="K158" s="394"/>
      <c r="L158" s="394"/>
      <c r="M158" s="394"/>
      <c r="N158" s="394"/>
      <c r="O158" s="394"/>
      <c r="P158" s="394"/>
      <c r="Q158" s="394"/>
      <c r="R158" s="394"/>
      <c r="S158" s="394"/>
      <c r="T158" s="394"/>
      <c r="U158" s="394"/>
      <c r="V158" s="394"/>
      <c r="W158" s="394"/>
      <c r="X158" s="394"/>
      <c r="Y158" s="394"/>
      <c r="Z158" s="394"/>
    </row>
    <row r="159">
      <c r="B159" s="485">
        <v>13.0</v>
      </c>
      <c r="C159" s="486">
        <f t="shared" si="25"/>
        <v>0.1097740739</v>
      </c>
      <c r="D159" s="486">
        <f t="shared" si="28"/>
        <v>0.03630453465</v>
      </c>
      <c r="E159" s="486">
        <f t="shared" si="26"/>
        <v>0.5445680197</v>
      </c>
      <c r="F159" s="394"/>
      <c r="G159" s="394"/>
      <c r="H159" s="394"/>
      <c r="I159" s="394"/>
      <c r="J159" s="394"/>
      <c r="K159" s="394"/>
      <c r="L159" s="394"/>
      <c r="M159" s="394"/>
      <c r="N159" s="394"/>
      <c r="O159" s="394"/>
      <c r="P159" s="394"/>
      <c r="Q159" s="394"/>
      <c r="R159" s="394"/>
      <c r="S159" s="394"/>
      <c r="T159" s="394"/>
      <c r="U159" s="394"/>
      <c r="V159" s="394"/>
      <c r="W159" s="394"/>
      <c r="X159" s="394"/>
      <c r="Y159" s="394"/>
      <c r="Z159" s="394"/>
    </row>
    <row r="160">
      <c r="B160" s="485">
        <v>14.0</v>
      </c>
      <c r="C160" s="486">
        <f t="shared" si="25"/>
        <v>0.1127148981</v>
      </c>
      <c r="D160" s="486">
        <f t="shared" si="28"/>
        <v>-0.07641036341</v>
      </c>
      <c r="E160" s="486">
        <f t="shared" si="26"/>
        <v>-1.146155451</v>
      </c>
      <c r="F160" s="394"/>
      <c r="G160" s="394"/>
      <c r="H160" s="394"/>
      <c r="I160" s="394"/>
      <c r="J160" s="394"/>
      <c r="K160" s="394"/>
      <c r="L160" s="394"/>
      <c r="M160" s="394"/>
      <c r="N160" s="394"/>
      <c r="O160" s="394"/>
      <c r="P160" s="394"/>
      <c r="Q160" s="394"/>
      <c r="R160" s="394"/>
      <c r="S160" s="394"/>
      <c r="T160" s="394"/>
      <c r="U160" s="394"/>
      <c r="V160" s="394"/>
      <c r="W160" s="394"/>
      <c r="X160" s="394"/>
      <c r="Y160" s="394"/>
      <c r="Z160" s="394"/>
    </row>
    <row r="161">
      <c r="B161" s="485">
        <v>15.0</v>
      </c>
      <c r="C161" s="486">
        <f t="shared" si="25"/>
        <v>0.1152886289</v>
      </c>
      <c r="D161" s="486">
        <f t="shared" si="28"/>
        <v>-0.1916989923</v>
      </c>
      <c r="E161" s="486">
        <f t="shared" si="26"/>
        <v>-2.875484885</v>
      </c>
      <c r="F161" s="394"/>
      <c r="G161" s="394"/>
      <c r="H161" s="394"/>
      <c r="I161" s="394"/>
      <c r="J161" s="394"/>
      <c r="K161" s="394"/>
      <c r="L161" s="394"/>
      <c r="M161" s="394"/>
      <c r="N161" s="394"/>
      <c r="O161" s="394"/>
      <c r="P161" s="394"/>
      <c r="Q161" s="394"/>
      <c r="R161" s="394"/>
      <c r="S161" s="394"/>
      <c r="T161" s="394"/>
      <c r="U161" s="394"/>
      <c r="V161" s="394"/>
      <c r="W161" s="394"/>
      <c r="X161" s="394"/>
      <c r="Y161" s="394"/>
      <c r="Z161" s="394"/>
    </row>
    <row r="162">
      <c r="B162" s="394"/>
      <c r="C162" s="394"/>
      <c r="D162" s="394"/>
      <c r="E162" s="394"/>
      <c r="F162" s="394"/>
      <c r="G162" s="394"/>
      <c r="H162" s="394"/>
      <c r="I162" s="394"/>
      <c r="J162" s="394"/>
      <c r="K162" s="394"/>
      <c r="L162" s="394"/>
      <c r="M162" s="394"/>
      <c r="N162" s="394"/>
      <c r="O162" s="394"/>
      <c r="P162" s="394"/>
      <c r="Q162" s="394"/>
      <c r="R162" s="394"/>
      <c r="S162" s="394"/>
      <c r="T162" s="394"/>
      <c r="U162" s="394"/>
      <c r="V162" s="394"/>
      <c r="W162" s="394"/>
      <c r="X162" s="394"/>
      <c r="Y162" s="394"/>
      <c r="Z162" s="394"/>
    </row>
    <row r="163">
      <c r="B163" s="394"/>
      <c r="C163" s="394"/>
      <c r="D163" s="394"/>
      <c r="E163" s="394"/>
      <c r="F163" s="394"/>
      <c r="G163" s="394"/>
      <c r="H163" s="394"/>
      <c r="I163" s="394"/>
      <c r="J163" s="394"/>
      <c r="K163" s="394"/>
      <c r="L163" s="394"/>
      <c r="M163" s="394"/>
      <c r="N163" s="394"/>
      <c r="O163" s="394"/>
      <c r="P163" s="394"/>
      <c r="Q163" s="394"/>
      <c r="R163" s="394"/>
      <c r="S163" s="394"/>
      <c r="T163" s="394"/>
      <c r="U163" s="394"/>
      <c r="V163" s="394"/>
      <c r="W163" s="394"/>
      <c r="X163" s="394"/>
      <c r="Y163" s="394"/>
      <c r="Z163" s="394"/>
    </row>
    <row r="164">
      <c r="B164" s="492" t="s">
        <v>728</v>
      </c>
      <c r="C164" s="394"/>
      <c r="D164" s="394"/>
      <c r="E164" s="394"/>
      <c r="F164" s="394"/>
      <c r="G164" s="394"/>
      <c r="H164" s="394"/>
      <c r="I164" s="394"/>
      <c r="J164" s="394"/>
      <c r="K164" s="394"/>
      <c r="L164" s="394"/>
      <c r="M164" s="394"/>
      <c r="N164" s="394"/>
      <c r="O164" s="394"/>
      <c r="P164" s="394"/>
      <c r="Q164" s="394"/>
      <c r="R164" s="394"/>
      <c r="S164" s="394"/>
      <c r="T164" s="394"/>
      <c r="U164" s="394"/>
      <c r="V164" s="394"/>
      <c r="W164" s="394"/>
      <c r="X164" s="394"/>
      <c r="Y164" s="394"/>
      <c r="Z164" s="394"/>
    </row>
    <row r="165">
      <c r="B165" s="480"/>
      <c r="C165" s="480"/>
      <c r="D165" s="480"/>
      <c r="E165" s="480"/>
      <c r="F165" s="394"/>
      <c r="G165" s="394"/>
      <c r="H165" s="394"/>
      <c r="I165" s="394"/>
      <c r="J165" s="394"/>
      <c r="K165" s="394"/>
      <c r="L165" s="394"/>
      <c r="M165" s="394"/>
      <c r="N165" s="394"/>
      <c r="O165" s="394"/>
      <c r="P165" s="394"/>
      <c r="Q165" s="394"/>
      <c r="R165" s="394"/>
      <c r="S165" s="394"/>
      <c r="T165" s="394"/>
      <c r="U165" s="394"/>
      <c r="V165" s="394"/>
      <c r="W165" s="394"/>
      <c r="X165" s="394"/>
      <c r="Y165" s="394"/>
      <c r="Z165" s="394"/>
    </row>
    <row r="166">
      <c r="B166" s="482" t="s">
        <v>711</v>
      </c>
      <c r="C166" s="483" t="s">
        <v>712</v>
      </c>
      <c r="D166" s="483" t="s">
        <v>713</v>
      </c>
      <c r="E166" s="483" t="s">
        <v>714</v>
      </c>
      <c r="F166" s="394"/>
      <c r="G166" s="482" t="s">
        <v>711</v>
      </c>
      <c r="H166" s="394" t="s">
        <v>729</v>
      </c>
      <c r="I166" s="394"/>
      <c r="J166" s="394"/>
      <c r="K166" s="394"/>
      <c r="L166" s="394"/>
      <c r="M166" s="394"/>
      <c r="N166" s="394"/>
      <c r="O166" s="394"/>
      <c r="P166" s="394"/>
      <c r="Q166" s="394"/>
      <c r="R166" s="394"/>
      <c r="S166" s="394"/>
      <c r="T166" s="394"/>
      <c r="U166" s="394"/>
      <c r="V166" s="394"/>
      <c r="W166" s="394"/>
      <c r="X166" s="394"/>
      <c r="Y166" s="394"/>
      <c r="Z166" s="394"/>
    </row>
    <row r="167">
      <c r="B167" s="485">
        <v>0.0</v>
      </c>
      <c r="C167" s="486">
        <f t="shared" ref="C167:C183" si="29">($C$11/$D$11)*(1-EXP(-($C$11/$D$11)*B167))</f>
        <v>0</v>
      </c>
      <c r="D167" s="486">
        <v>1.0</v>
      </c>
      <c r="E167" s="486">
        <f t="shared" ref="E167:E183" si="30">+$D$11*D167</f>
        <v>16</v>
      </c>
      <c r="F167" s="394"/>
      <c r="G167" s="485">
        <v>0.0</v>
      </c>
      <c r="H167" s="394">
        <f t="shared" ref="H167:H177" si="31">(1-D167)*$E$11</f>
        <v>0</v>
      </c>
      <c r="I167" s="394"/>
      <c r="J167" s="394"/>
      <c r="K167" s="394"/>
      <c r="L167" s="394"/>
      <c r="M167" s="394"/>
      <c r="N167" s="394"/>
      <c r="O167" s="394"/>
      <c r="P167" s="394"/>
      <c r="Q167" s="394"/>
      <c r="R167" s="394"/>
      <c r="S167" s="394"/>
      <c r="T167" s="394"/>
      <c r="U167" s="394"/>
      <c r="V167" s="394"/>
      <c r="W167" s="394"/>
      <c r="X167" s="394"/>
      <c r="Y167" s="394"/>
      <c r="Z167" s="394"/>
    </row>
    <row r="168">
      <c r="B168" s="485">
        <v>1.0</v>
      </c>
      <c r="C168" s="486">
        <f t="shared" si="29"/>
        <v>0.01468788718</v>
      </c>
      <c r="D168" s="486">
        <f t="shared" ref="D168:D183" si="32">D167-C168</f>
        <v>0.9853121128</v>
      </c>
      <c r="E168" s="486">
        <f t="shared" si="30"/>
        <v>15.76499381</v>
      </c>
      <c r="F168" s="394"/>
      <c r="G168" s="485">
        <v>1.0</v>
      </c>
      <c r="H168" s="394">
        <f t="shared" si="31"/>
        <v>38.1958506</v>
      </c>
      <c r="I168" s="394"/>
      <c r="J168" s="394"/>
      <c r="K168" s="394"/>
      <c r="L168" s="394"/>
      <c r="M168" s="394"/>
      <c r="N168" s="394"/>
      <c r="O168" s="394"/>
      <c r="P168" s="394"/>
      <c r="Q168" s="394"/>
      <c r="R168" s="394"/>
      <c r="S168" s="394"/>
      <c r="T168" s="394"/>
      <c r="U168" s="394"/>
      <c r="V168" s="394"/>
      <c r="W168" s="394"/>
      <c r="X168" s="394"/>
      <c r="Y168" s="394"/>
      <c r="Z168" s="394"/>
    </row>
    <row r="169">
      <c r="B169" s="485">
        <v>2.0</v>
      </c>
      <c r="C169" s="486">
        <f t="shared" si="29"/>
        <v>0.02764990212</v>
      </c>
      <c r="D169" s="486">
        <f t="shared" si="32"/>
        <v>0.9576622107</v>
      </c>
      <c r="E169" s="486">
        <f t="shared" si="30"/>
        <v>15.32259537</v>
      </c>
      <c r="F169" s="394"/>
      <c r="G169" s="485">
        <v>2.0</v>
      </c>
      <c r="H169" s="394">
        <f t="shared" si="31"/>
        <v>110.0994211</v>
      </c>
      <c r="I169" s="394"/>
      <c r="J169" s="394"/>
      <c r="K169" s="394"/>
      <c r="L169" s="394"/>
      <c r="M169" s="394"/>
      <c r="N169" s="394"/>
      <c r="O169" s="394"/>
      <c r="P169" s="394"/>
      <c r="Q169" s="394"/>
      <c r="R169" s="394"/>
      <c r="S169" s="394"/>
      <c r="T169" s="394"/>
      <c r="U169" s="394"/>
      <c r="V169" s="394"/>
      <c r="W169" s="394"/>
      <c r="X169" s="394"/>
      <c r="Y169" s="394"/>
      <c r="Z169" s="394"/>
    </row>
    <row r="170">
      <c r="B170" s="485">
        <v>3.0</v>
      </c>
      <c r="C170" s="486">
        <f t="shared" si="29"/>
        <v>0.03908884015</v>
      </c>
      <c r="D170" s="486">
        <f t="shared" si="32"/>
        <v>0.9185733706</v>
      </c>
      <c r="E170" s="486">
        <f t="shared" si="30"/>
        <v>14.69717393</v>
      </c>
      <c r="F170" s="394"/>
      <c r="G170" s="485">
        <v>3.0</v>
      </c>
      <c r="H170" s="394">
        <f t="shared" si="31"/>
        <v>211.7499499</v>
      </c>
      <c r="I170" s="394"/>
      <c r="J170" s="394"/>
      <c r="K170" s="394"/>
      <c r="L170" s="394"/>
      <c r="M170" s="394"/>
      <c r="N170" s="394"/>
      <c r="O170" s="394"/>
      <c r="P170" s="394"/>
      <c r="Q170" s="394"/>
      <c r="R170" s="394"/>
      <c r="S170" s="394"/>
      <c r="T170" s="394"/>
      <c r="U170" s="394"/>
      <c r="V170" s="394"/>
      <c r="W170" s="394"/>
      <c r="X170" s="394"/>
      <c r="Y170" s="394"/>
      <c r="Z170" s="394"/>
    </row>
    <row r="171">
      <c r="B171" s="485">
        <v>4.0</v>
      </c>
      <c r="C171" s="486">
        <f t="shared" si="29"/>
        <v>0.04918366754</v>
      </c>
      <c r="D171" s="486">
        <f t="shared" si="32"/>
        <v>0.869389703</v>
      </c>
      <c r="E171" s="486">
        <f t="shared" si="30"/>
        <v>13.91023525</v>
      </c>
      <c r="F171" s="394"/>
      <c r="G171" s="485">
        <v>4.0</v>
      </c>
      <c r="H171" s="394">
        <f t="shared" si="31"/>
        <v>339.6520773</v>
      </c>
      <c r="I171" s="394"/>
      <c r="J171" s="394"/>
      <c r="K171" s="394"/>
      <c r="L171" s="394"/>
      <c r="M171" s="394"/>
      <c r="N171" s="394"/>
      <c r="O171" s="394"/>
      <c r="P171" s="394"/>
      <c r="Q171" s="394"/>
      <c r="R171" s="394"/>
      <c r="S171" s="394"/>
      <c r="T171" s="394"/>
      <c r="U171" s="394"/>
      <c r="V171" s="394"/>
      <c r="W171" s="394"/>
      <c r="X171" s="394"/>
      <c r="Y171" s="394"/>
      <c r="Z171" s="394"/>
    </row>
    <row r="172">
      <c r="B172" s="485">
        <v>5.0</v>
      </c>
      <c r="C172" s="486">
        <f t="shared" si="29"/>
        <v>0.05809232144</v>
      </c>
      <c r="D172" s="486">
        <f t="shared" si="32"/>
        <v>0.8112973816</v>
      </c>
      <c r="E172" s="486">
        <f t="shared" si="30"/>
        <v>12.98075811</v>
      </c>
      <c r="F172" s="394"/>
      <c r="G172" s="485">
        <v>5.0</v>
      </c>
      <c r="H172" s="394">
        <f t="shared" si="31"/>
        <v>490.7211592</v>
      </c>
      <c r="I172" s="394"/>
      <c r="J172" s="394"/>
      <c r="K172" s="394"/>
      <c r="L172" s="394"/>
      <c r="M172" s="394"/>
      <c r="N172" s="394"/>
      <c r="O172" s="394"/>
      <c r="P172" s="394"/>
      <c r="Q172" s="394"/>
      <c r="R172" s="394"/>
      <c r="S172" s="394"/>
      <c r="T172" s="394"/>
      <c r="U172" s="394"/>
      <c r="V172" s="394"/>
      <c r="W172" s="394"/>
      <c r="X172" s="394"/>
      <c r="Y172" s="394"/>
      <c r="Z172" s="394"/>
    </row>
    <row r="173">
      <c r="B173" s="485">
        <v>6.0</v>
      </c>
      <c r="C173" s="486">
        <f t="shared" si="29"/>
        <v>0.06595418091</v>
      </c>
      <c r="D173" s="486">
        <f t="shared" si="32"/>
        <v>0.7453432007</v>
      </c>
      <c r="E173" s="486">
        <f t="shared" si="30"/>
        <v>11.92549121</v>
      </c>
      <c r="F173" s="394"/>
      <c r="G173" s="485">
        <v>6.0</v>
      </c>
      <c r="H173" s="394">
        <f t="shared" si="31"/>
        <v>662.2350066</v>
      </c>
      <c r="I173" s="394"/>
      <c r="J173" s="394"/>
      <c r="K173" s="394"/>
      <c r="L173" s="394"/>
      <c r="M173" s="394"/>
      <c r="N173" s="394"/>
      <c r="O173" s="394"/>
      <c r="P173" s="394"/>
      <c r="Q173" s="394"/>
      <c r="R173" s="394"/>
      <c r="S173" s="394"/>
      <c r="T173" s="394"/>
      <c r="U173" s="394"/>
      <c r="V173" s="394"/>
      <c r="W173" s="394"/>
      <c r="X173" s="394"/>
      <c r="Y173" s="394"/>
      <c r="Z173" s="394"/>
    </row>
    <row r="174">
      <c r="B174" s="485">
        <v>7.0</v>
      </c>
      <c r="C174" s="486">
        <f t="shared" si="29"/>
        <v>0.07289224754</v>
      </c>
      <c r="D174" s="486">
        <f t="shared" si="32"/>
        <v>0.6724509531</v>
      </c>
      <c r="E174" s="486">
        <f t="shared" si="30"/>
        <v>10.75921525</v>
      </c>
      <c r="F174" s="394"/>
      <c r="G174" s="485">
        <v>7.0</v>
      </c>
      <c r="H174" s="394">
        <f t="shared" si="31"/>
        <v>851.7912964</v>
      </c>
      <c r="I174" s="394"/>
      <c r="J174" s="394"/>
      <c r="K174" s="394"/>
      <c r="L174" s="394"/>
      <c r="M174" s="394"/>
      <c r="N174" s="394"/>
      <c r="O174" s="394"/>
      <c r="P174" s="394"/>
      <c r="Q174" s="394"/>
      <c r="R174" s="394"/>
      <c r="S174" s="394"/>
      <c r="T174" s="394"/>
      <c r="U174" s="394"/>
      <c r="V174" s="394"/>
      <c r="W174" s="394"/>
      <c r="X174" s="394"/>
      <c r="Y174" s="394"/>
      <c r="Z174" s="394"/>
    </row>
    <row r="175">
      <c r="B175" s="485">
        <v>8.0</v>
      </c>
      <c r="C175" s="486">
        <f t="shared" si="29"/>
        <v>0.07901506985</v>
      </c>
      <c r="D175" s="486">
        <f t="shared" si="32"/>
        <v>0.5934358833</v>
      </c>
      <c r="E175" s="486">
        <f t="shared" si="30"/>
        <v>9.494974133</v>
      </c>
      <c r="F175" s="394"/>
      <c r="G175" s="485">
        <v>8.0</v>
      </c>
      <c r="H175" s="394">
        <f t="shared" si="31"/>
        <v>1057.269986</v>
      </c>
      <c r="I175" s="394"/>
      <c r="J175" s="394"/>
      <c r="K175" s="394"/>
      <c r="L175" s="394"/>
      <c r="M175" s="394"/>
      <c r="N175" s="394"/>
      <c r="O175" s="394"/>
      <c r="P175" s="394"/>
      <c r="Q175" s="394"/>
      <c r="R175" s="394"/>
      <c r="S175" s="394"/>
      <c r="T175" s="394"/>
      <c r="U175" s="394"/>
      <c r="V175" s="394"/>
      <c r="W175" s="394"/>
      <c r="X175" s="394"/>
      <c r="Y175" s="394"/>
      <c r="Z175" s="394"/>
    </row>
    <row r="176">
      <c r="B176" s="485">
        <v>9.0</v>
      </c>
      <c r="C176" s="486">
        <f t="shared" si="29"/>
        <v>0.08441844158</v>
      </c>
      <c r="D176" s="486">
        <f t="shared" si="32"/>
        <v>0.5090174417</v>
      </c>
      <c r="E176" s="486">
        <f t="shared" si="30"/>
        <v>8.144279067</v>
      </c>
      <c r="F176" s="394"/>
      <c r="G176" s="485">
        <v>9.0</v>
      </c>
      <c r="H176" s="394">
        <f t="shared" si="31"/>
        <v>1276.800143</v>
      </c>
      <c r="I176" s="394"/>
      <c r="J176" s="394"/>
      <c r="K176" s="394"/>
      <c r="L176" s="394"/>
      <c r="M176" s="394"/>
      <c r="N176" s="394"/>
      <c r="O176" s="394"/>
      <c r="P176" s="394"/>
      <c r="Q176" s="394"/>
      <c r="R176" s="394"/>
      <c r="S176" s="394"/>
      <c r="T176" s="394"/>
      <c r="U176" s="394"/>
      <c r="V176" s="394"/>
      <c r="W176" s="394"/>
      <c r="X176" s="394"/>
      <c r="Y176" s="394"/>
      <c r="Z176" s="394"/>
    </row>
    <row r="177">
      <c r="B177" s="489">
        <v>10.0</v>
      </c>
      <c r="C177" s="490">
        <f t="shared" si="29"/>
        <v>0.08918690039</v>
      </c>
      <c r="D177" s="490">
        <f t="shared" si="32"/>
        <v>0.4198305413</v>
      </c>
      <c r="E177" s="490">
        <f t="shared" si="30"/>
        <v>6.717288661</v>
      </c>
      <c r="F177" s="394"/>
      <c r="G177" s="489">
        <v>10.0</v>
      </c>
      <c r="H177" s="488">
        <f t="shared" si="31"/>
        <v>1508.730677</v>
      </c>
      <c r="I177" s="394"/>
      <c r="J177" s="394"/>
      <c r="K177" s="394"/>
      <c r="L177" s="394"/>
      <c r="M177" s="394"/>
      <c r="N177" s="394"/>
      <c r="O177" s="394"/>
      <c r="P177" s="394"/>
      <c r="Q177" s="394"/>
      <c r="R177" s="394"/>
      <c r="S177" s="394"/>
      <c r="T177" s="394"/>
      <c r="U177" s="394"/>
      <c r="V177" s="394"/>
      <c r="W177" s="394"/>
      <c r="X177" s="394"/>
      <c r="Y177" s="394"/>
      <c r="Z177" s="394"/>
    </row>
    <row r="178">
      <c r="B178" s="485">
        <v>11.0</v>
      </c>
      <c r="C178" s="486">
        <f t="shared" si="29"/>
        <v>0.09339505052</v>
      </c>
      <c r="D178" s="486">
        <f t="shared" si="32"/>
        <v>0.3264354908</v>
      </c>
      <c r="E178" s="486">
        <f t="shared" si="30"/>
        <v>5.222967853</v>
      </c>
      <c r="F178" s="394"/>
      <c r="G178" s="491" t="s">
        <v>715</v>
      </c>
      <c r="H178" s="394">
        <f>AVERAGE(H167:H177)</f>
        <v>595.2041424</v>
      </c>
      <c r="I178" s="394"/>
      <c r="J178" s="394"/>
      <c r="K178" s="394"/>
      <c r="L178" s="394"/>
      <c r="M178" s="394"/>
      <c r="N178" s="394"/>
      <c r="O178" s="394"/>
      <c r="P178" s="394"/>
      <c r="Q178" s="394"/>
      <c r="R178" s="394"/>
      <c r="S178" s="394"/>
      <c r="T178" s="394"/>
      <c r="U178" s="394"/>
      <c r="V178" s="394"/>
      <c r="W178" s="394"/>
      <c r="X178" s="394"/>
      <c r="Y178" s="394"/>
      <c r="Z178" s="394"/>
    </row>
    <row r="179">
      <c r="B179" s="485">
        <v>12.0</v>
      </c>
      <c r="C179" s="486">
        <f t="shared" si="29"/>
        <v>0.09710872998</v>
      </c>
      <c r="D179" s="486">
        <f t="shared" si="32"/>
        <v>0.2293267608</v>
      </c>
      <c r="E179" s="486">
        <f t="shared" si="30"/>
        <v>3.669228173</v>
      </c>
      <c r="F179" s="394"/>
      <c r="G179" s="394"/>
      <c r="H179" s="394"/>
      <c r="I179" s="394"/>
      <c r="J179" s="394"/>
      <c r="K179" s="394"/>
      <c r="L179" s="394"/>
      <c r="M179" s="394"/>
      <c r="N179" s="394"/>
      <c r="O179" s="394"/>
      <c r="P179" s="394"/>
      <c r="Q179" s="394"/>
      <c r="R179" s="394"/>
      <c r="S179" s="394"/>
      <c r="T179" s="394"/>
      <c r="U179" s="394"/>
      <c r="V179" s="394"/>
      <c r="W179" s="394"/>
      <c r="X179" s="394"/>
      <c r="Y179" s="394"/>
      <c r="Z179" s="394"/>
    </row>
    <row r="180">
      <c r="B180" s="485">
        <v>13.0</v>
      </c>
      <c r="C180" s="486">
        <f t="shared" si="29"/>
        <v>0.1003860406</v>
      </c>
      <c r="D180" s="486">
        <f t="shared" si="32"/>
        <v>0.1289407202</v>
      </c>
      <c r="E180" s="486">
        <f t="shared" si="30"/>
        <v>2.063051523</v>
      </c>
      <c r="F180" s="394"/>
      <c r="G180" s="394"/>
      <c r="H180" s="394"/>
      <c r="I180" s="394"/>
      <c r="J180" s="394"/>
      <c r="K180" s="394"/>
      <c r="L180" s="394"/>
      <c r="M180" s="394"/>
      <c r="N180" s="394"/>
      <c r="O180" s="394"/>
      <c r="P180" s="394"/>
      <c r="Q180" s="394"/>
      <c r="R180" s="394"/>
      <c r="S180" s="394"/>
      <c r="T180" s="394"/>
      <c r="U180" s="394"/>
      <c r="V180" s="394"/>
      <c r="W180" s="394"/>
      <c r="X180" s="394"/>
      <c r="Y180" s="394"/>
      <c r="Z180" s="394"/>
    </row>
    <row r="181">
      <c r="B181" s="485">
        <v>14.0</v>
      </c>
      <c r="C181" s="486">
        <f t="shared" si="29"/>
        <v>0.1032782571</v>
      </c>
      <c r="D181" s="486">
        <f t="shared" si="32"/>
        <v>0.02566246314</v>
      </c>
      <c r="E181" s="486">
        <f t="shared" si="30"/>
        <v>0.4105994102</v>
      </c>
      <c r="F181" s="394"/>
      <c r="G181" s="394"/>
      <c r="H181" s="394"/>
      <c r="I181" s="394"/>
      <c r="J181" s="394"/>
      <c r="K181" s="394"/>
      <c r="L181" s="394"/>
      <c r="M181" s="394"/>
      <c r="N181" s="394"/>
      <c r="O181" s="394"/>
      <c r="P181" s="394"/>
      <c r="Q181" s="394"/>
      <c r="R181" s="394"/>
      <c r="S181" s="394"/>
      <c r="T181" s="394"/>
      <c r="U181" s="394"/>
      <c r="V181" s="394"/>
      <c r="W181" s="394"/>
      <c r="X181" s="394"/>
      <c r="Y181" s="394"/>
      <c r="Z181" s="394"/>
    </row>
    <row r="182">
      <c r="B182" s="485">
        <v>15.0</v>
      </c>
      <c r="C182" s="486">
        <f t="shared" si="29"/>
        <v>0.1058306291</v>
      </c>
      <c r="D182" s="486">
        <f t="shared" si="32"/>
        <v>-0.08016816601</v>
      </c>
      <c r="E182" s="486">
        <f t="shared" si="30"/>
        <v>-1.282690656</v>
      </c>
      <c r="F182" s="394"/>
      <c r="G182" s="394"/>
      <c r="H182" s="394"/>
      <c r="I182" s="394"/>
      <c r="J182" s="394"/>
      <c r="K182" s="394"/>
      <c r="L182" s="394"/>
      <c r="M182" s="394"/>
      <c r="N182" s="394"/>
      <c r="O182" s="394"/>
      <c r="P182" s="394"/>
      <c r="Q182" s="394"/>
      <c r="R182" s="394"/>
      <c r="S182" s="394"/>
      <c r="T182" s="394"/>
      <c r="U182" s="394"/>
      <c r="V182" s="394"/>
      <c r="W182" s="394"/>
      <c r="X182" s="394"/>
      <c r="Y182" s="394"/>
      <c r="Z182" s="394"/>
    </row>
    <row r="183">
      <c r="B183" s="485">
        <v>16.0</v>
      </c>
      <c r="C183" s="486">
        <f t="shared" si="29"/>
        <v>0.1080830896</v>
      </c>
      <c r="D183" s="486">
        <f t="shared" si="32"/>
        <v>-0.1882512556</v>
      </c>
      <c r="E183" s="486">
        <f t="shared" si="30"/>
        <v>-3.01202009</v>
      </c>
      <c r="F183" s="394"/>
      <c r="G183" s="394"/>
      <c r="H183" s="394"/>
      <c r="I183" s="394"/>
      <c r="J183" s="394"/>
      <c r="K183" s="394"/>
      <c r="L183" s="394"/>
      <c r="M183" s="394"/>
      <c r="N183" s="394"/>
      <c r="O183" s="394"/>
      <c r="P183" s="394"/>
      <c r="Q183" s="394"/>
      <c r="R183" s="394"/>
      <c r="S183" s="394"/>
      <c r="T183" s="394"/>
      <c r="U183" s="394"/>
      <c r="V183" s="394"/>
      <c r="W183" s="394"/>
      <c r="X183" s="394"/>
      <c r="Y183" s="394"/>
      <c r="Z183" s="394"/>
    </row>
    <row r="184">
      <c r="O184" s="394"/>
      <c r="P184" s="394"/>
      <c r="Q184" s="394"/>
      <c r="R184" s="394"/>
      <c r="S184" s="394"/>
      <c r="T184" s="394"/>
      <c r="U184" s="394"/>
      <c r="V184" s="394"/>
      <c r="W184" s="394"/>
      <c r="X184" s="394"/>
      <c r="Y184" s="394"/>
      <c r="Z184" s="394"/>
    </row>
    <row r="185">
      <c r="O185" s="394"/>
      <c r="P185" s="394"/>
      <c r="Q185" s="394"/>
      <c r="R185" s="394"/>
      <c r="S185" s="394"/>
      <c r="T185" s="394"/>
      <c r="U185" s="394"/>
      <c r="V185" s="394"/>
      <c r="W185" s="394"/>
      <c r="X185" s="394"/>
      <c r="Y185" s="394"/>
      <c r="Z185" s="394"/>
    </row>
    <row r="186">
      <c r="O186" s="394"/>
      <c r="P186" s="394"/>
      <c r="Q186" s="394"/>
      <c r="R186" s="394"/>
      <c r="S186" s="394"/>
      <c r="T186" s="394"/>
      <c r="U186" s="394"/>
      <c r="V186" s="394"/>
      <c r="W186" s="394"/>
      <c r="X186" s="394"/>
      <c r="Y186" s="394"/>
      <c r="Z186" s="394"/>
    </row>
    <row r="187">
      <c r="O187" s="394"/>
      <c r="P187" s="394"/>
      <c r="Q187" s="394"/>
      <c r="R187" s="394"/>
      <c r="S187" s="394"/>
      <c r="T187" s="394"/>
      <c r="U187" s="394"/>
      <c r="V187" s="394"/>
      <c r="W187" s="394"/>
      <c r="X187" s="394"/>
      <c r="Y187" s="394"/>
      <c r="Z187" s="394"/>
    </row>
    <row r="188">
      <c r="O188" s="394"/>
      <c r="P188" s="394"/>
      <c r="Q188" s="394"/>
      <c r="R188" s="394"/>
      <c r="S188" s="394"/>
      <c r="T188" s="394"/>
      <c r="U188" s="394"/>
      <c r="V188" s="394"/>
      <c r="W188" s="394"/>
      <c r="X188" s="394"/>
      <c r="Y188" s="394"/>
      <c r="Z188" s="394"/>
    </row>
    <row r="189">
      <c r="O189" s="394"/>
      <c r="P189" s="394"/>
      <c r="Q189" s="394"/>
      <c r="R189" s="394"/>
      <c r="S189" s="394"/>
      <c r="T189" s="394"/>
      <c r="U189" s="394"/>
      <c r="V189" s="394"/>
      <c r="W189" s="394"/>
      <c r="X189" s="394"/>
      <c r="Y189" s="394"/>
      <c r="Z189" s="394"/>
    </row>
    <row r="190">
      <c r="O190" s="394"/>
      <c r="P190" s="394"/>
      <c r="Q190" s="394"/>
      <c r="R190" s="394"/>
      <c r="S190" s="394"/>
      <c r="T190" s="394"/>
      <c r="U190" s="394"/>
      <c r="V190" s="394"/>
      <c r="W190" s="394"/>
      <c r="X190" s="394"/>
      <c r="Y190" s="394"/>
      <c r="Z190" s="394"/>
    </row>
    <row r="191">
      <c r="O191" s="394"/>
      <c r="P191" s="394"/>
      <c r="Q191" s="394"/>
      <c r="R191" s="394"/>
      <c r="S191" s="394"/>
      <c r="T191" s="394"/>
      <c r="U191" s="394"/>
      <c r="V191" s="394"/>
      <c r="W191" s="394"/>
      <c r="X191" s="394"/>
      <c r="Y191" s="394"/>
      <c r="Z191" s="394"/>
    </row>
    <row r="192">
      <c r="O192" s="394"/>
      <c r="P192" s="394"/>
      <c r="Q192" s="394"/>
      <c r="R192" s="394"/>
      <c r="S192" s="394"/>
      <c r="T192" s="394"/>
      <c r="U192" s="394"/>
      <c r="V192" s="394"/>
      <c r="W192" s="394"/>
      <c r="X192" s="394"/>
      <c r="Y192" s="394"/>
      <c r="Z192" s="394"/>
    </row>
    <row r="193">
      <c r="O193" s="394"/>
      <c r="P193" s="394"/>
      <c r="Q193" s="394"/>
      <c r="R193" s="394"/>
      <c r="S193" s="394"/>
      <c r="T193" s="394"/>
      <c r="U193" s="394"/>
      <c r="V193" s="394"/>
      <c r="W193" s="394"/>
      <c r="X193" s="394"/>
      <c r="Y193" s="394"/>
      <c r="Z193" s="394"/>
    </row>
    <row r="194">
      <c r="O194" s="394"/>
      <c r="P194" s="394"/>
      <c r="Q194" s="394"/>
      <c r="R194" s="394"/>
      <c r="S194" s="394"/>
      <c r="T194" s="394"/>
      <c r="U194" s="394"/>
      <c r="V194" s="394"/>
      <c r="W194" s="394"/>
      <c r="X194" s="394"/>
      <c r="Y194" s="394"/>
      <c r="Z194" s="394"/>
    </row>
    <row r="195">
      <c r="O195" s="394"/>
      <c r="P195" s="394"/>
      <c r="Q195" s="394"/>
      <c r="R195" s="394"/>
      <c r="S195" s="394"/>
      <c r="T195" s="394"/>
      <c r="U195" s="394"/>
      <c r="V195" s="394"/>
      <c r="W195" s="394"/>
      <c r="X195" s="394"/>
      <c r="Y195" s="394"/>
      <c r="Z195" s="394"/>
    </row>
    <row r="196">
      <c r="O196" s="394"/>
      <c r="P196" s="394"/>
      <c r="Q196" s="394"/>
      <c r="R196" s="394"/>
      <c r="S196" s="394"/>
      <c r="T196" s="394"/>
      <c r="U196" s="394"/>
      <c r="V196" s="394"/>
      <c r="W196" s="394"/>
      <c r="X196" s="394"/>
      <c r="Y196" s="394"/>
      <c r="Z196" s="394"/>
    </row>
    <row r="197">
      <c r="O197" s="394"/>
      <c r="P197" s="394"/>
      <c r="Q197" s="394"/>
      <c r="R197" s="394"/>
      <c r="S197" s="394"/>
      <c r="T197" s="394"/>
      <c r="U197" s="394"/>
      <c r="V197" s="394"/>
      <c r="W197" s="394"/>
      <c r="X197" s="394"/>
      <c r="Y197" s="394"/>
      <c r="Z197" s="394"/>
    </row>
    <row r="198">
      <c r="O198" s="394"/>
      <c r="P198" s="394"/>
      <c r="Q198" s="394"/>
      <c r="R198" s="394"/>
      <c r="S198" s="394"/>
      <c r="T198" s="394"/>
      <c r="U198" s="394"/>
      <c r="V198" s="394"/>
      <c r="W198" s="394"/>
      <c r="X198" s="394"/>
      <c r="Y198" s="394"/>
      <c r="Z198" s="394"/>
    </row>
    <row r="199">
      <c r="O199" s="394"/>
      <c r="P199" s="394"/>
      <c r="Q199" s="394"/>
      <c r="R199" s="394"/>
      <c r="S199" s="394"/>
      <c r="T199" s="394"/>
      <c r="U199" s="394"/>
      <c r="V199" s="394"/>
      <c r="W199" s="394"/>
      <c r="X199" s="394"/>
      <c r="Y199" s="394"/>
      <c r="Z199" s="394"/>
    </row>
    <row r="200">
      <c r="O200" s="394"/>
      <c r="P200" s="394"/>
      <c r="Q200" s="394"/>
      <c r="R200" s="394"/>
      <c r="S200" s="394"/>
      <c r="T200" s="394"/>
      <c r="U200" s="394"/>
      <c r="V200" s="394"/>
      <c r="W200" s="394"/>
      <c r="X200" s="394"/>
      <c r="Y200" s="394"/>
      <c r="Z200" s="394"/>
    </row>
    <row r="201">
      <c r="O201" s="394"/>
      <c r="P201" s="394"/>
      <c r="Q201" s="394"/>
      <c r="R201" s="394"/>
      <c r="S201" s="394"/>
      <c r="T201" s="394"/>
      <c r="U201" s="394"/>
      <c r="V201" s="394"/>
      <c r="W201" s="394"/>
      <c r="X201" s="394"/>
      <c r="Y201" s="394"/>
      <c r="Z201" s="394"/>
    </row>
    <row r="202">
      <c r="O202" s="394"/>
      <c r="P202" s="394"/>
      <c r="Q202" s="394"/>
      <c r="R202" s="394"/>
      <c r="S202" s="394"/>
      <c r="T202" s="394"/>
      <c r="U202" s="394"/>
      <c r="V202" s="394"/>
      <c r="W202" s="394"/>
      <c r="X202" s="394"/>
      <c r="Y202" s="394"/>
      <c r="Z202" s="394"/>
    </row>
    <row r="203">
      <c r="O203" s="394"/>
      <c r="P203" s="394"/>
      <c r="Q203" s="394"/>
      <c r="R203" s="394"/>
      <c r="S203" s="394"/>
      <c r="T203" s="394"/>
      <c r="U203" s="394"/>
      <c r="V203" s="394"/>
      <c r="W203" s="394"/>
      <c r="X203" s="394"/>
      <c r="Y203" s="394"/>
      <c r="Z203" s="394"/>
    </row>
    <row r="204">
      <c r="O204" s="394"/>
      <c r="P204" s="394"/>
      <c r="Q204" s="394"/>
      <c r="R204" s="394"/>
      <c r="S204" s="394"/>
      <c r="T204" s="394"/>
      <c r="U204" s="394"/>
      <c r="V204" s="394"/>
      <c r="W204" s="394"/>
      <c r="X204" s="394"/>
      <c r="Y204" s="394"/>
      <c r="Z204" s="394"/>
    </row>
    <row r="205">
      <c r="O205" s="394"/>
      <c r="P205" s="394"/>
      <c r="Q205" s="394"/>
      <c r="R205" s="394"/>
      <c r="S205" s="394"/>
      <c r="T205" s="394"/>
      <c r="U205" s="394"/>
      <c r="V205" s="394"/>
      <c r="W205" s="394"/>
      <c r="X205" s="394"/>
      <c r="Y205" s="394"/>
      <c r="Z205" s="394"/>
    </row>
    <row r="206">
      <c r="O206" s="394"/>
      <c r="P206" s="394"/>
      <c r="Q206" s="394"/>
      <c r="R206" s="394"/>
      <c r="S206" s="394"/>
      <c r="T206" s="394"/>
      <c r="U206" s="394"/>
      <c r="V206" s="394"/>
      <c r="W206" s="394"/>
      <c r="X206" s="394"/>
      <c r="Y206" s="394"/>
      <c r="Z206" s="394"/>
    </row>
    <row r="207">
      <c r="O207" s="394"/>
      <c r="P207" s="394"/>
      <c r="Q207" s="394"/>
      <c r="R207" s="394"/>
      <c r="S207" s="394"/>
      <c r="T207" s="394"/>
      <c r="U207" s="394"/>
      <c r="V207" s="394"/>
      <c r="W207" s="394"/>
      <c r="X207" s="394"/>
      <c r="Y207" s="394"/>
      <c r="Z207" s="394"/>
    </row>
    <row r="208">
      <c r="O208" s="394"/>
      <c r="P208" s="394"/>
      <c r="Q208" s="394"/>
      <c r="R208" s="394"/>
      <c r="S208" s="394"/>
      <c r="T208" s="394"/>
      <c r="U208" s="394"/>
      <c r="V208" s="394"/>
      <c r="W208" s="394"/>
      <c r="X208" s="394"/>
      <c r="Y208" s="394"/>
      <c r="Z208" s="394"/>
    </row>
    <row r="209">
      <c r="O209" s="394"/>
      <c r="P209" s="394"/>
      <c r="Q209" s="394"/>
      <c r="R209" s="394"/>
      <c r="S209" s="394"/>
      <c r="T209" s="394"/>
      <c r="U209" s="394"/>
      <c r="V209" s="394"/>
      <c r="W209" s="394"/>
      <c r="X209" s="394"/>
      <c r="Y209" s="394"/>
      <c r="Z209" s="394"/>
    </row>
    <row r="210">
      <c r="O210" s="394"/>
      <c r="P210" s="394"/>
      <c r="Q210" s="394"/>
      <c r="R210" s="394"/>
      <c r="S210" s="394"/>
      <c r="T210" s="394"/>
      <c r="U210" s="394"/>
      <c r="V210" s="394"/>
      <c r="W210" s="394"/>
      <c r="X210" s="394"/>
      <c r="Y210" s="394"/>
      <c r="Z210" s="394"/>
    </row>
    <row r="211">
      <c r="O211" s="394"/>
      <c r="P211" s="394"/>
      <c r="Q211" s="394"/>
      <c r="R211" s="394"/>
      <c r="S211" s="394"/>
      <c r="T211" s="394"/>
      <c r="U211" s="394"/>
      <c r="V211" s="394"/>
      <c r="W211" s="394"/>
      <c r="X211" s="394"/>
      <c r="Y211" s="394"/>
      <c r="Z211" s="394"/>
    </row>
    <row r="212">
      <c r="O212" s="394"/>
      <c r="P212" s="394"/>
      <c r="Q212" s="394"/>
      <c r="R212" s="394"/>
      <c r="S212" s="394"/>
      <c r="T212" s="394"/>
      <c r="U212" s="394"/>
      <c r="V212" s="394"/>
      <c r="W212" s="394"/>
      <c r="X212" s="394"/>
      <c r="Y212" s="394"/>
      <c r="Z212" s="394"/>
    </row>
    <row r="213">
      <c r="O213" s="394"/>
      <c r="P213" s="394"/>
      <c r="Q213" s="394"/>
      <c r="R213" s="394"/>
      <c r="S213" s="394"/>
      <c r="T213" s="394"/>
      <c r="U213" s="394"/>
      <c r="V213" s="394"/>
      <c r="W213" s="394"/>
      <c r="X213" s="394"/>
      <c r="Y213" s="394"/>
      <c r="Z213" s="394"/>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28.86"/>
    <col customWidth="1" min="3" max="3" width="27.71"/>
    <col customWidth="1" min="4" max="4" width="13.71"/>
    <col customWidth="1" min="5" max="5" width="30.29"/>
    <col customWidth="1" min="7" max="7" width="17.71"/>
  </cols>
  <sheetData>
    <row r="1">
      <c r="A1" s="493" t="s">
        <v>730</v>
      </c>
      <c r="B1" s="494" t="s">
        <v>425</v>
      </c>
      <c r="C1" s="494" t="s">
        <v>426</v>
      </c>
      <c r="D1" s="495" t="s">
        <v>731</v>
      </c>
      <c r="G1" s="496" t="s">
        <v>732</v>
      </c>
      <c r="H1" s="497"/>
      <c r="I1" s="497"/>
      <c r="J1" s="497"/>
      <c r="K1" s="497"/>
      <c r="L1" s="497"/>
      <c r="M1" s="497"/>
      <c r="N1" s="497"/>
      <c r="O1" s="497"/>
      <c r="P1" s="497"/>
      <c r="Q1" s="497"/>
    </row>
    <row r="2">
      <c r="A2" s="498" t="s">
        <v>22</v>
      </c>
      <c r="B2" s="387">
        <v>44897.04970627651</v>
      </c>
      <c r="C2" s="35">
        <v>11224.262426569128</v>
      </c>
      <c r="D2" s="499">
        <f t="shared" ref="D2:D10" si="1">ROUND(C2/10000,0)</f>
        <v>1</v>
      </c>
      <c r="G2" s="500"/>
      <c r="H2" s="501" t="s">
        <v>733</v>
      </c>
      <c r="I2" s="502"/>
      <c r="J2" s="502"/>
      <c r="K2" s="502"/>
      <c r="L2" s="502"/>
      <c r="M2" s="502"/>
      <c r="N2" s="502"/>
      <c r="O2" s="502"/>
      <c r="P2" s="502"/>
      <c r="Q2" s="503"/>
    </row>
    <row r="3">
      <c r="A3" s="498" t="s">
        <v>24</v>
      </c>
      <c r="B3" s="387">
        <v>178079.054297164</v>
      </c>
      <c r="C3" s="35">
        <v>44519.763574291</v>
      </c>
      <c r="D3" s="499">
        <f t="shared" si="1"/>
        <v>4</v>
      </c>
      <c r="E3" s="504"/>
      <c r="F3" s="34" t="s">
        <v>434</v>
      </c>
      <c r="G3" s="505" t="s">
        <v>733</v>
      </c>
      <c r="H3" s="506">
        <v>0.0</v>
      </c>
      <c r="I3" s="506"/>
      <c r="J3" s="506"/>
      <c r="K3" s="506"/>
      <c r="L3" s="506"/>
      <c r="M3" s="506"/>
      <c r="N3" s="506"/>
      <c r="O3" s="506"/>
      <c r="P3" s="506"/>
      <c r="Q3" s="507"/>
    </row>
    <row r="4">
      <c r="A4" s="498" t="s">
        <v>26</v>
      </c>
      <c r="B4" s="387">
        <v>103862.19779415458</v>
      </c>
      <c r="C4" s="35">
        <v>25965.549448538644</v>
      </c>
      <c r="D4" s="499">
        <f t="shared" si="1"/>
        <v>3</v>
      </c>
      <c r="G4" s="508" t="s">
        <v>734</v>
      </c>
      <c r="H4" s="506">
        <v>19.1</v>
      </c>
      <c r="I4" s="506"/>
      <c r="J4" s="506"/>
      <c r="K4" s="506"/>
      <c r="L4" s="506"/>
      <c r="M4" s="506"/>
      <c r="N4" s="506"/>
      <c r="O4" s="506"/>
      <c r="P4" s="506"/>
      <c r="Q4" s="507"/>
    </row>
    <row r="5">
      <c r="A5" s="498" t="s">
        <v>28</v>
      </c>
      <c r="B5" s="387">
        <v>46992.15632416069</v>
      </c>
      <c r="C5" s="35">
        <v>11748.039081040173</v>
      </c>
      <c r="D5" s="499">
        <f t="shared" si="1"/>
        <v>1</v>
      </c>
      <c r="G5" s="508" t="s">
        <v>735</v>
      </c>
      <c r="H5" s="506">
        <v>15.2</v>
      </c>
      <c r="I5" s="506"/>
      <c r="J5" s="506"/>
      <c r="K5" s="506"/>
      <c r="L5" s="506"/>
      <c r="M5" s="506"/>
      <c r="N5" s="506"/>
      <c r="O5" s="506"/>
      <c r="P5" s="506"/>
      <c r="Q5" s="507"/>
    </row>
    <row r="6">
      <c r="A6" s="498" t="s">
        <v>30</v>
      </c>
      <c r="B6" s="387">
        <v>64524.27560784166</v>
      </c>
      <c r="C6" s="35">
        <v>16131.068901960414</v>
      </c>
      <c r="D6" s="499">
        <f t="shared" si="1"/>
        <v>2</v>
      </c>
      <c r="G6" s="508" t="s">
        <v>736</v>
      </c>
      <c r="H6" s="506">
        <v>10.0</v>
      </c>
      <c r="I6" s="506"/>
      <c r="J6" s="506"/>
      <c r="K6" s="506"/>
      <c r="L6" s="506"/>
      <c r="M6" s="506"/>
      <c r="N6" s="506"/>
      <c r="O6" s="506"/>
      <c r="P6" s="506"/>
      <c r="Q6" s="507"/>
    </row>
    <row r="7">
      <c r="A7" s="498" t="s">
        <v>32</v>
      </c>
      <c r="B7" s="387">
        <v>49950.34670415334</v>
      </c>
      <c r="C7" s="35">
        <v>12487.586676038334</v>
      </c>
      <c r="D7" s="499">
        <f t="shared" si="1"/>
        <v>1</v>
      </c>
      <c r="G7" s="508" t="s">
        <v>737</v>
      </c>
      <c r="H7" s="506">
        <v>11.9</v>
      </c>
      <c r="I7" s="506"/>
      <c r="J7" s="506"/>
      <c r="K7" s="506"/>
      <c r="L7" s="506"/>
      <c r="M7" s="506"/>
      <c r="N7" s="506"/>
      <c r="O7" s="506"/>
      <c r="P7" s="506"/>
      <c r="Q7" s="507"/>
    </row>
    <row r="8">
      <c r="A8" s="498" t="s">
        <v>34</v>
      </c>
      <c r="B8" s="387">
        <v>79103.21273452096</v>
      </c>
      <c r="C8" s="35">
        <v>19775.80318363024</v>
      </c>
      <c r="D8" s="499">
        <f t="shared" si="1"/>
        <v>2</v>
      </c>
      <c r="G8" s="508" t="s">
        <v>738</v>
      </c>
      <c r="H8" s="506">
        <v>38.0</v>
      </c>
      <c r="I8" s="506"/>
      <c r="J8" s="506"/>
      <c r="K8" s="506"/>
      <c r="L8" s="506"/>
      <c r="M8" s="506"/>
      <c r="N8" s="506"/>
      <c r="O8" s="506"/>
      <c r="P8" s="506"/>
      <c r="Q8" s="507"/>
    </row>
    <row r="9">
      <c r="A9" s="498" t="s">
        <v>36</v>
      </c>
      <c r="B9" s="387">
        <v>259410.92626266135</v>
      </c>
      <c r="C9" s="35">
        <v>64852.73156566534</v>
      </c>
      <c r="D9" s="499">
        <f t="shared" si="1"/>
        <v>6</v>
      </c>
      <c r="G9" s="508" t="s">
        <v>739</v>
      </c>
      <c r="H9" s="506">
        <v>17.1</v>
      </c>
      <c r="I9" s="506"/>
      <c r="J9" s="506"/>
      <c r="K9" s="506"/>
      <c r="L9" s="506"/>
      <c r="M9" s="506"/>
      <c r="N9" s="506"/>
      <c r="O9" s="506"/>
      <c r="P9" s="506"/>
      <c r="Q9" s="507"/>
    </row>
    <row r="10">
      <c r="A10" s="509" t="s">
        <v>38</v>
      </c>
      <c r="B10" s="510">
        <v>192250.655953912</v>
      </c>
      <c r="C10" s="511">
        <v>48062.663988478</v>
      </c>
      <c r="D10" s="499">
        <f t="shared" si="1"/>
        <v>5</v>
      </c>
      <c r="G10" s="508" t="s">
        <v>740</v>
      </c>
      <c r="H10" s="506">
        <v>22.5</v>
      </c>
      <c r="I10" s="506"/>
      <c r="J10" s="506"/>
      <c r="K10" s="506"/>
      <c r="L10" s="506"/>
      <c r="M10" s="506"/>
      <c r="N10" s="506"/>
      <c r="O10" s="506"/>
      <c r="P10" s="506"/>
      <c r="Q10" s="507"/>
    </row>
    <row r="11">
      <c r="G11" s="508" t="s">
        <v>741</v>
      </c>
      <c r="H11" s="506">
        <v>34.9</v>
      </c>
      <c r="I11" s="506"/>
      <c r="J11" s="506"/>
      <c r="K11" s="506"/>
      <c r="L11" s="506"/>
      <c r="M11" s="506"/>
      <c r="N11" s="506"/>
      <c r="O11" s="506"/>
      <c r="P11" s="506"/>
      <c r="Q11" s="507"/>
    </row>
    <row r="12">
      <c r="G12" s="512" t="s">
        <v>742</v>
      </c>
      <c r="H12" s="513">
        <v>32.7</v>
      </c>
      <c r="I12" s="513"/>
      <c r="J12" s="513"/>
      <c r="K12" s="513"/>
      <c r="L12" s="513"/>
      <c r="M12" s="513"/>
      <c r="N12" s="513"/>
      <c r="O12" s="513"/>
      <c r="P12" s="513"/>
      <c r="Q12" s="514"/>
    </row>
    <row r="16">
      <c r="A16" s="504"/>
      <c r="B16" s="515" t="s">
        <v>743</v>
      </c>
    </row>
    <row r="17">
      <c r="A17" s="34" t="s">
        <v>744</v>
      </c>
      <c r="B17" s="516">
        <v>4367150.0</v>
      </c>
    </row>
    <row r="18">
      <c r="A18" s="34"/>
    </row>
    <row r="19">
      <c r="A19" s="493" t="s">
        <v>745</v>
      </c>
      <c r="B19" s="494" t="s">
        <v>746</v>
      </c>
      <c r="C19" s="494" t="s">
        <v>747</v>
      </c>
      <c r="D19" s="494" t="s">
        <v>748</v>
      </c>
      <c r="E19" s="495" t="s">
        <v>749</v>
      </c>
    </row>
    <row r="20">
      <c r="A20" s="498" t="s">
        <v>22</v>
      </c>
      <c r="B20" s="517">
        <v>1.0</v>
      </c>
      <c r="C20" s="35">
        <f t="shared" ref="C20:C28" si="2">B20*52</f>
        <v>52</v>
      </c>
      <c r="D20" s="35">
        <f t="shared" ref="D20:D23" si="3">H4+H4</f>
        <v>38.2</v>
      </c>
      <c r="E20" s="518">
        <f t="shared" ref="E20:E28" si="4">D20*C20</f>
        <v>1986.4</v>
      </c>
    </row>
    <row r="21">
      <c r="A21" s="498" t="s">
        <v>24</v>
      </c>
      <c r="B21" s="517">
        <v>4.0</v>
      </c>
      <c r="C21" s="35">
        <f t="shared" si="2"/>
        <v>208</v>
      </c>
      <c r="D21" s="35">
        <f t="shared" si="3"/>
        <v>30.4</v>
      </c>
      <c r="E21" s="518">
        <f t="shared" si="4"/>
        <v>6323.2</v>
      </c>
    </row>
    <row r="22">
      <c r="A22" s="498" t="s">
        <v>26</v>
      </c>
      <c r="B22" s="517">
        <v>3.0</v>
      </c>
      <c r="C22" s="35">
        <f t="shared" si="2"/>
        <v>156</v>
      </c>
      <c r="D22" s="35">
        <f t="shared" si="3"/>
        <v>20</v>
      </c>
      <c r="E22" s="518">
        <f t="shared" si="4"/>
        <v>3120</v>
      </c>
    </row>
    <row r="23">
      <c r="A23" s="498" t="s">
        <v>28</v>
      </c>
      <c r="B23" s="517">
        <v>1.0</v>
      </c>
      <c r="C23" s="35">
        <f t="shared" si="2"/>
        <v>52</v>
      </c>
      <c r="D23" s="35">
        <f t="shared" si="3"/>
        <v>23.8</v>
      </c>
      <c r="E23" s="518">
        <f t="shared" si="4"/>
        <v>1237.6</v>
      </c>
    </row>
    <row r="24">
      <c r="A24" s="498" t="s">
        <v>30</v>
      </c>
      <c r="B24" s="517">
        <v>2.0</v>
      </c>
      <c r="C24" s="35">
        <f t="shared" si="2"/>
        <v>104</v>
      </c>
      <c r="D24" s="35">
        <f t="shared" ref="D24:D27" si="5">H9+H9</f>
        <v>34.2</v>
      </c>
      <c r="E24" s="518">
        <f t="shared" si="4"/>
        <v>3556.8</v>
      </c>
    </row>
    <row r="25">
      <c r="A25" s="498" t="s">
        <v>32</v>
      </c>
      <c r="B25" s="517">
        <v>1.0</v>
      </c>
      <c r="C25" s="35">
        <f t="shared" si="2"/>
        <v>52</v>
      </c>
      <c r="D25" s="35">
        <f t="shared" si="5"/>
        <v>45</v>
      </c>
      <c r="E25" s="518">
        <f t="shared" si="4"/>
        <v>2340</v>
      </c>
    </row>
    <row r="26">
      <c r="A26" s="498" t="s">
        <v>34</v>
      </c>
      <c r="B26" s="517">
        <v>2.0</v>
      </c>
      <c r="C26" s="35">
        <f t="shared" si="2"/>
        <v>104</v>
      </c>
      <c r="D26" s="35">
        <f t="shared" si="5"/>
        <v>69.8</v>
      </c>
      <c r="E26" s="518">
        <f t="shared" si="4"/>
        <v>7259.2</v>
      </c>
    </row>
    <row r="27">
      <c r="A27" s="498" t="s">
        <v>36</v>
      </c>
      <c r="B27" s="517">
        <v>6.0</v>
      </c>
      <c r="C27" s="35">
        <f t="shared" si="2"/>
        <v>312</v>
      </c>
      <c r="D27" s="35">
        <f t="shared" si="5"/>
        <v>65.4</v>
      </c>
      <c r="E27" s="518">
        <f t="shared" si="4"/>
        <v>20404.8</v>
      </c>
    </row>
    <row r="28">
      <c r="A28" s="509" t="s">
        <v>38</v>
      </c>
      <c r="B28" s="517">
        <v>5.0</v>
      </c>
      <c r="C28" s="35">
        <f t="shared" si="2"/>
        <v>260</v>
      </c>
      <c r="D28" s="35">
        <f>H8+H8</f>
        <v>76</v>
      </c>
      <c r="E28" s="518">
        <f t="shared" si="4"/>
        <v>19760</v>
      </c>
    </row>
    <row r="29">
      <c r="A29" s="519"/>
      <c r="B29" s="520">
        <f>sum(B20:B28)</f>
        <v>25</v>
      </c>
      <c r="C29" s="521"/>
      <c r="D29" s="511"/>
      <c r="E29" s="522">
        <f>SUM(E20:E28)</f>
        <v>65988</v>
      </c>
    </row>
    <row r="31">
      <c r="A31" s="523" t="s">
        <v>67</v>
      </c>
      <c r="B31" s="524" t="s">
        <v>68</v>
      </c>
      <c r="C31" s="525" t="s">
        <v>69</v>
      </c>
    </row>
    <row r="32">
      <c r="A32" s="526" t="s">
        <v>70</v>
      </c>
      <c r="B32" s="34">
        <v>4367150.0</v>
      </c>
      <c r="C32" s="527">
        <f>30*B17</f>
        <v>131014500</v>
      </c>
    </row>
    <row r="33">
      <c r="A33" s="526" t="s">
        <v>71</v>
      </c>
      <c r="B33" s="34">
        <v>426.0</v>
      </c>
      <c r="C33" s="527">
        <f>E29*B33</f>
        <v>28110888</v>
      </c>
    </row>
    <row r="34">
      <c r="A34" s="528"/>
      <c r="B34" s="529" t="s">
        <v>72</v>
      </c>
      <c r="C34" s="530">
        <f>C32+C33</f>
        <v>159125388</v>
      </c>
    </row>
  </sheetData>
  <hyperlinks>
    <hyperlink r:id="rId1" ref="B16"/>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8.29"/>
    <col customWidth="1" min="3" max="3" width="15.29"/>
    <col customWidth="1" min="4" max="4" width="27.86"/>
    <col customWidth="1" min="5" max="5" width="22.71"/>
    <col customWidth="1" min="6" max="6" width="23.0"/>
    <col customWidth="1" min="7" max="7" width="27.86"/>
  </cols>
  <sheetData>
    <row r="2">
      <c r="B2" s="28" t="s">
        <v>15</v>
      </c>
      <c r="C2" s="28" t="s">
        <v>16</v>
      </c>
      <c r="D2" s="28" t="s">
        <v>17</v>
      </c>
      <c r="E2" s="28" t="s">
        <v>18</v>
      </c>
      <c r="F2" s="28" t="s">
        <v>19</v>
      </c>
      <c r="G2" s="28" t="s">
        <v>20</v>
      </c>
    </row>
    <row r="3">
      <c r="B3" s="28" t="s">
        <v>22</v>
      </c>
      <c r="C3" s="34">
        <v>95.0</v>
      </c>
      <c r="D3" s="34">
        <v>22.0</v>
      </c>
      <c r="E3" s="35">
        <f>Routing!$F$17</f>
        <v>5</v>
      </c>
      <c r="F3" s="35">
        <f>Routing!$F$22*D3*E3*365</f>
        <v>521950</v>
      </c>
      <c r="G3" s="35">
        <f t="shared" ref="G3:G12" si="1">$C$15*F3</f>
        <v>906136517</v>
      </c>
    </row>
    <row r="4">
      <c r="B4" s="28" t="s">
        <v>24</v>
      </c>
      <c r="C4" s="34">
        <v>95.0</v>
      </c>
      <c r="D4" s="34">
        <v>75.0</v>
      </c>
      <c r="E4" s="35">
        <f>Routing!$F$17</f>
        <v>5</v>
      </c>
      <c r="F4" s="35">
        <f>Routing!$F$22*D4*E4*365</f>
        <v>1779375</v>
      </c>
      <c r="G4" s="35">
        <f t="shared" si="1"/>
        <v>3089101763</v>
      </c>
    </row>
    <row r="5">
      <c r="B5" s="28" t="s">
        <v>26</v>
      </c>
      <c r="C5" s="34">
        <v>95.0</v>
      </c>
      <c r="D5" s="34">
        <v>46.0</v>
      </c>
      <c r="E5" s="35">
        <f>Routing!$F$17</f>
        <v>5</v>
      </c>
      <c r="F5" s="35">
        <f>Routing!$F$22*D5*E5*365</f>
        <v>1091350</v>
      </c>
      <c r="G5" s="35">
        <f t="shared" si="1"/>
        <v>1894649081</v>
      </c>
    </row>
    <row r="6">
      <c r="B6" s="28" t="s">
        <v>28</v>
      </c>
      <c r="C6" s="34">
        <v>95.0</v>
      </c>
      <c r="D6" s="34">
        <v>23.0</v>
      </c>
      <c r="E6" s="35">
        <f>Routing!$F$17</f>
        <v>5</v>
      </c>
      <c r="F6" s="35">
        <f>Routing!$F$22*D6*E6*365</f>
        <v>545675</v>
      </c>
      <c r="G6" s="35">
        <f t="shared" si="1"/>
        <v>947324540.5</v>
      </c>
    </row>
    <row r="7">
      <c r="B7" s="28" t="s">
        <v>30</v>
      </c>
      <c r="C7" s="34">
        <v>95.0</v>
      </c>
      <c r="D7" s="34">
        <v>30.0</v>
      </c>
      <c r="E7" s="35">
        <f>Routing!$F$17</f>
        <v>5</v>
      </c>
      <c r="F7" s="35">
        <f>Routing!$F$22*D7*E7*365</f>
        <v>711750</v>
      </c>
      <c r="G7" s="35">
        <f t="shared" si="1"/>
        <v>1235640705</v>
      </c>
    </row>
    <row r="8">
      <c r="B8" s="28" t="s">
        <v>32</v>
      </c>
      <c r="C8" s="34">
        <v>95.0</v>
      </c>
      <c r="D8" s="34">
        <v>24.0</v>
      </c>
      <c r="E8" s="35">
        <f>Routing!$F$17</f>
        <v>5</v>
      </c>
      <c r="F8" s="35">
        <f>Routing!$F$22*D8*E8*365</f>
        <v>569400</v>
      </c>
      <c r="G8" s="35">
        <f t="shared" si="1"/>
        <v>988512564</v>
      </c>
    </row>
    <row r="9">
      <c r="B9" s="28" t="s">
        <v>34</v>
      </c>
      <c r="C9" s="34">
        <v>95.0</v>
      </c>
      <c r="D9" s="34">
        <v>36.0</v>
      </c>
      <c r="E9" s="35">
        <f>Routing!$F$17</f>
        <v>5</v>
      </c>
      <c r="F9" s="35">
        <f>Routing!$F$22*D9*E9*365</f>
        <v>854100</v>
      </c>
      <c r="G9" s="35">
        <f t="shared" si="1"/>
        <v>1482768846</v>
      </c>
    </row>
    <row r="10">
      <c r="B10" s="28" t="s">
        <v>36</v>
      </c>
      <c r="C10" s="34">
        <v>95.0</v>
      </c>
      <c r="D10" s="34">
        <v>105.0</v>
      </c>
      <c r="E10" s="35">
        <f>Routing!$F$17</f>
        <v>5</v>
      </c>
      <c r="F10" s="35">
        <f>Routing!$F$22*D10*E10*365</f>
        <v>2491125</v>
      </c>
      <c r="G10" s="35">
        <f t="shared" si="1"/>
        <v>4324742468</v>
      </c>
    </row>
    <row r="11">
      <c r="B11" s="28" t="s">
        <v>38</v>
      </c>
      <c r="C11" s="34">
        <v>95.0</v>
      </c>
      <c r="D11" s="34">
        <v>80.0</v>
      </c>
      <c r="E11" s="35">
        <f>Routing!$F$17</f>
        <v>5</v>
      </c>
      <c r="F11" s="35">
        <f>Routing!$F$22*D11*E11*365</f>
        <v>1898000</v>
      </c>
      <c r="G11" s="35">
        <f t="shared" si="1"/>
        <v>3295041880</v>
      </c>
    </row>
    <row r="12">
      <c r="B12" s="46" t="s">
        <v>39</v>
      </c>
      <c r="C12" s="46">
        <v>95.0</v>
      </c>
      <c r="D12" s="46">
        <f>SUM(D3:D11)</f>
        <v>441</v>
      </c>
      <c r="E12" s="47">
        <f>Routing!$F$17</f>
        <v>5</v>
      </c>
      <c r="F12" s="47">
        <f>Routing!$F$22*D12*E12*365</f>
        <v>10462725</v>
      </c>
      <c r="G12" s="47">
        <f t="shared" si="1"/>
        <v>18163918364</v>
      </c>
    </row>
    <row r="15">
      <c r="B15" s="34" t="s">
        <v>750</v>
      </c>
      <c r="C15" s="34">
        <v>1736.06</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31" t="s">
        <v>751</v>
      </c>
    </row>
    <row r="3">
      <c r="A3" s="523" t="s">
        <v>752</v>
      </c>
      <c r="B3" s="532"/>
      <c r="C3" s="532"/>
      <c r="D3" s="532"/>
      <c r="E3" s="532"/>
      <c r="F3" s="532"/>
      <c r="G3" s="532"/>
      <c r="H3" s="532"/>
      <c r="I3" s="532"/>
      <c r="J3" s="532"/>
      <c r="K3" s="532"/>
      <c r="L3" s="532"/>
      <c r="M3" s="532"/>
      <c r="N3" s="533"/>
    </row>
    <row r="4">
      <c r="A4" s="534"/>
      <c r="N4" s="527"/>
    </row>
    <row r="5">
      <c r="A5" s="526" t="s">
        <v>753</v>
      </c>
      <c r="N5" s="527"/>
    </row>
    <row r="6">
      <c r="A6" s="526" t="s">
        <v>754</v>
      </c>
      <c r="N6" s="527"/>
    </row>
    <row r="7">
      <c r="A7" s="526" t="s">
        <v>755</v>
      </c>
      <c r="N7" s="527"/>
    </row>
    <row r="8">
      <c r="A8" s="534"/>
      <c r="B8" s="34"/>
      <c r="C8" s="34"/>
      <c r="D8" s="34"/>
      <c r="E8" s="34"/>
      <c r="F8" s="34"/>
      <c r="G8" s="34"/>
      <c r="H8" s="34"/>
      <c r="I8" s="34"/>
      <c r="J8" s="34"/>
      <c r="K8" s="34"/>
      <c r="L8" s="34"/>
      <c r="M8" s="34"/>
      <c r="N8" s="527"/>
    </row>
    <row r="9">
      <c r="A9" s="535" t="s">
        <v>756</v>
      </c>
      <c r="D9" s="536">
        <v>19.4</v>
      </c>
      <c r="E9" s="531" t="s">
        <v>757</v>
      </c>
      <c r="J9" s="34"/>
      <c r="K9" s="34"/>
      <c r="L9" s="34"/>
      <c r="M9" s="34"/>
      <c r="N9" s="527"/>
    </row>
    <row r="10">
      <c r="A10" s="535" t="s">
        <v>758</v>
      </c>
      <c r="D10" s="536">
        <v>6.0</v>
      </c>
      <c r="E10" s="531" t="s">
        <v>759</v>
      </c>
      <c r="G10" s="34"/>
      <c r="H10" s="34"/>
      <c r="I10" s="34"/>
      <c r="J10" s="34"/>
      <c r="K10" s="34"/>
      <c r="L10" s="34"/>
      <c r="M10" s="34"/>
      <c r="N10" s="527"/>
    </row>
    <row r="11">
      <c r="A11" s="535" t="s">
        <v>760</v>
      </c>
      <c r="D11" s="34">
        <v>1.60934</v>
      </c>
      <c r="E11" s="34"/>
      <c r="F11" s="34"/>
      <c r="G11" s="34"/>
      <c r="H11" s="34"/>
      <c r="I11" s="34"/>
      <c r="J11" s="34"/>
      <c r="K11" s="34"/>
      <c r="L11" s="34"/>
      <c r="M11" s="34"/>
      <c r="N11" s="527"/>
    </row>
    <row r="12">
      <c r="A12" s="535" t="s">
        <v>761</v>
      </c>
      <c r="D12" s="35">
        <f>1/2000</f>
        <v>0.0005</v>
      </c>
      <c r="E12" s="34"/>
      <c r="F12" s="34"/>
      <c r="G12" s="34"/>
      <c r="H12" s="34"/>
      <c r="I12" s="34"/>
      <c r="J12" s="34"/>
      <c r="K12" s="34"/>
      <c r="L12" s="34"/>
      <c r="M12" s="34"/>
      <c r="N12" s="527"/>
    </row>
    <row r="13">
      <c r="A13" s="535" t="s">
        <v>762</v>
      </c>
      <c r="D13" s="35">
        <f>D9/D10*D11*D12</f>
        <v>0.002601766333</v>
      </c>
      <c r="E13" s="34"/>
      <c r="F13" s="34"/>
      <c r="G13" s="34"/>
      <c r="H13" s="34"/>
      <c r="I13" s="34"/>
      <c r="J13" s="34"/>
      <c r="K13" s="34"/>
      <c r="L13" s="34"/>
      <c r="M13" s="34"/>
      <c r="N13" s="527"/>
    </row>
    <row r="14">
      <c r="A14" s="526"/>
      <c r="B14" s="34"/>
      <c r="C14" s="34"/>
      <c r="D14" s="34"/>
      <c r="E14" s="34"/>
      <c r="F14" s="34"/>
      <c r="G14" s="34"/>
      <c r="H14" s="34"/>
      <c r="I14" s="34"/>
      <c r="J14" s="34"/>
      <c r="K14" s="34"/>
      <c r="L14" s="34"/>
      <c r="M14" s="34"/>
      <c r="N14" s="527"/>
    </row>
    <row r="15">
      <c r="A15" s="526" t="s">
        <v>763</v>
      </c>
      <c r="B15" s="34"/>
      <c r="C15" s="34"/>
      <c r="D15" s="34"/>
      <c r="E15" s="34"/>
      <c r="F15" s="34"/>
      <c r="G15" s="34"/>
      <c r="H15" s="34"/>
      <c r="I15" s="34"/>
      <c r="J15" s="34"/>
      <c r="K15" s="34"/>
      <c r="L15" s="34"/>
      <c r="M15" s="34"/>
      <c r="N15" s="527"/>
    </row>
    <row r="16">
      <c r="A16" s="534"/>
      <c r="B16" s="34" t="s">
        <v>83</v>
      </c>
      <c r="C16" s="34" t="s">
        <v>84</v>
      </c>
      <c r="D16" s="34" t="s">
        <v>85</v>
      </c>
      <c r="E16" s="34" t="s">
        <v>86</v>
      </c>
      <c r="F16" s="34" t="s">
        <v>87</v>
      </c>
      <c r="G16" s="34" t="s">
        <v>88</v>
      </c>
      <c r="H16" s="34" t="s">
        <v>89</v>
      </c>
      <c r="I16" s="34" t="s">
        <v>90</v>
      </c>
      <c r="J16" s="34" t="s">
        <v>91</v>
      </c>
      <c r="K16" s="34" t="s">
        <v>92</v>
      </c>
      <c r="L16" s="34" t="s">
        <v>93</v>
      </c>
      <c r="M16" s="34" t="s">
        <v>94</v>
      </c>
      <c r="N16" s="537" t="s">
        <v>39</v>
      </c>
    </row>
    <row r="17">
      <c r="A17" s="164" t="s">
        <v>21</v>
      </c>
      <c r="B17" s="35">
        <f>2*'Variability in transit times'!$D$28*'Aggregated EOQ'!G4*$D$13</f>
        <v>39.21382218</v>
      </c>
      <c r="C17" s="35">
        <f>2*'Variability in transit times'!$D$25*'Aggregated EOQ'!S4*$D$13</f>
        <v>1.498617408</v>
      </c>
      <c r="D17" s="35">
        <f>2*'Variability in transit times'!$D$25*'Aggregated EOQ'!AE4*$D$13</f>
        <v>1.623502192</v>
      </c>
      <c r="E17" s="35">
        <f>2*'Variability in transit times'!$D$25*'Aggregated EOQ'!AQ4*$D$13</f>
        <v>1.498617408</v>
      </c>
      <c r="F17" s="35">
        <f>2*'Variability in transit times'!$D$25*'Aggregated EOQ'!BC4*$D$13</f>
        <v>1.373732624</v>
      </c>
      <c r="G17" s="35">
        <f>2*'Variability in transit times'!$D$25*'Aggregated EOQ'!BO4*$D$13</f>
        <v>1.24884784</v>
      </c>
      <c r="H17" s="35">
        <f>2*'Variability in transit times'!$D$25*'Aggregated EOQ'!CA4*$D$13</f>
        <v>1.24884784</v>
      </c>
      <c r="I17" s="35">
        <f>2*'Variability in transit times'!$D$25*'Aggregated EOQ'!CM4*$D$13</f>
        <v>1.24884784</v>
      </c>
      <c r="J17" s="35">
        <f>2*'Variability in transit times'!$D$28*'Aggregated EOQ'!CY4*$D$13</f>
        <v>19.60691109</v>
      </c>
      <c r="K17" s="35">
        <f>2*'Variability in transit times'!$D$25*'Aggregated EOQ'!DK4*$D$13</f>
        <v>1.123963056</v>
      </c>
      <c r="L17" s="35">
        <f>2*'Variability in transit times'!$D$25*'Aggregated EOQ'!DW4*$D$13</f>
        <v>1.373732624</v>
      </c>
      <c r="M17" s="35">
        <f>2*'Variability in transit times'!$D$28*'Aggregated EOQ'!EI4*$D$13</f>
        <v>26.95950275</v>
      </c>
      <c r="N17" s="527">
        <f t="shared" ref="N17:N25" si="1">sum(B17:M17)</f>
        <v>98.01894484</v>
      </c>
    </row>
    <row r="18">
      <c r="A18" s="57" t="s">
        <v>23</v>
      </c>
      <c r="B18" s="35">
        <f>2*'Variability in transit times'!$D$31*'Aggregated EOQ'!G5*$D$13</f>
        <v>74.12432284</v>
      </c>
      <c r="C18" s="35">
        <f>2*'Variability in transit times'!$D$30*'Aggregated EOQ'!S5*$D$13</f>
        <v>41.58663307</v>
      </c>
      <c r="D18" s="35">
        <f>2*'Variability in transit times'!$D$31*'Aggregated EOQ'!AE5*$D$13</f>
        <v>84.71351181</v>
      </c>
      <c r="E18" s="35">
        <f>2*'Variability in transit times'!$D$31*'Aggregated EOQ'!AQ5*$D$13</f>
        <v>74.12432284</v>
      </c>
      <c r="F18" s="35">
        <f>2*'Variability in transit times'!$D$31*'Aggregated EOQ'!BC5*$D$13</f>
        <v>95.30270079</v>
      </c>
      <c r="G18" s="35">
        <f>2*'Variability in transit times'!$D$32*'Aggregated EOQ'!BO5*$D$13</f>
        <v>4.771639455</v>
      </c>
      <c r="H18" s="35">
        <f>2*'Variability in transit times'!$D$35*'Aggregated EOQ'!CA5*$D$13</f>
        <v>4.089976676</v>
      </c>
      <c r="I18" s="35">
        <f>2*'Variability in transit times'!$D$31*'Aggregated EOQ'!CM5*$D$13</f>
        <v>95.30270079</v>
      </c>
      <c r="J18" s="35">
        <f>2*'Variability in transit times'!$D$31*'Aggregated EOQ'!CY5*$D$13</f>
        <v>74.12432284</v>
      </c>
      <c r="K18" s="35">
        <f>2*'Variability in transit times'!$D$33*'Aggregated EOQ'!DK5*$D$13</f>
        <v>4.735214727</v>
      </c>
      <c r="L18" s="35">
        <f>2*'Variability in transit times'!$D$31*'Aggregated EOQ'!DW5*$D$13</f>
        <v>74.12432284</v>
      </c>
      <c r="M18" s="35">
        <f>2*'Variability in transit times'!$D$31*'Aggregated EOQ'!EI5*$D$13</f>
        <v>84.71351181</v>
      </c>
      <c r="N18" s="527">
        <f t="shared" si="1"/>
        <v>711.7131805</v>
      </c>
    </row>
    <row r="19">
      <c r="A19" s="57" t="s">
        <v>25</v>
      </c>
      <c r="B19" s="35">
        <f>2*'Variability in transit times'!$D$25*'Aggregated EOQ'!G6*$D$13</f>
        <v>0.124884784</v>
      </c>
      <c r="C19" s="35">
        <f>2*'Variability in transit times'!$D$25*'Aggregated EOQ'!S6*$D$13</f>
        <v>0.124884784</v>
      </c>
      <c r="D19" s="35">
        <f>2*'Variability in transit times'!$D$26*'Aggregated EOQ'!AE6*$D$13</f>
        <v>1.40495382</v>
      </c>
      <c r="E19" s="35">
        <f>2*'Variability in transit times'!$D$26*'Aggregated EOQ'!AQ6*$D$13</f>
        <v>1.40495382</v>
      </c>
      <c r="F19" s="35">
        <f>2*'Variability in transit times'!$D$25*'Aggregated EOQ'!BC6*$D$13</f>
        <v>0.249769568</v>
      </c>
      <c r="G19" s="35">
        <f>2*'Variability in transit times'!$D$25*'Aggregated EOQ'!BO6*$D$13</f>
        <v>0.249769568</v>
      </c>
      <c r="H19" s="35">
        <f>2*'Variability in transit times'!$D$34*'Aggregated EOQ'!CA6*$D$13</f>
        <v>21.37611219</v>
      </c>
      <c r="I19" s="35">
        <f>2*'Variability in transit times'!$D$26*'Aggregated EOQ'!CM6*$D$13</f>
        <v>1.40495382</v>
      </c>
      <c r="J19" s="35">
        <f>2*'Variability in transit times'!$D$25*'Aggregated EOQ'!CY6*$D$13</f>
        <v>0.124884784</v>
      </c>
      <c r="K19" s="35">
        <f>2*'Variability in transit times'!$D$25*'Aggregated EOQ'!DK6*$D$13</f>
        <v>0.249769568</v>
      </c>
      <c r="L19" s="35">
        <f>2*'Variability in transit times'!$D$26*'Aggregated EOQ'!DW6*$D$13</f>
        <v>2.80990764</v>
      </c>
      <c r="M19" s="35">
        <f>2*'Variability in transit times'!$D$25*'Aggregated EOQ'!EI6*$D$13</f>
        <v>0.124884784</v>
      </c>
      <c r="N19" s="527">
        <f t="shared" si="1"/>
        <v>29.64972913</v>
      </c>
    </row>
    <row r="20">
      <c r="A20" s="57" t="s">
        <v>27</v>
      </c>
      <c r="B20" s="35">
        <f>2*'Variability in transit times'!$D$25*'Aggregated EOQ'!G7*$D$13</f>
        <v>0.374654352</v>
      </c>
      <c r="C20" s="35">
        <f>2*'Variability in transit times'!$D$25*'Aggregated EOQ'!S7*$D$13</f>
        <v>0.249769568</v>
      </c>
      <c r="D20" s="35">
        <f>2*'Variability in transit times'!$D$29*'Aggregated EOQ'!AE7*$D$13</f>
        <v>31.76756693</v>
      </c>
      <c r="E20" s="35">
        <f>2*'Variability in transit times'!$D$29*'Aggregated EOQ'!AQ7*$D$13</f>
        <v>31.76756693</v>
      </c>
      <c r="F20" s="35">
        <f>2*'Variability in transit times'!$D$29*'Aggregated EOQ'!BC7*$D$13</f>
        <v>31.76756693</v>
      </c>
      <c r="G20" s="35">
        <f>2*'Variability in transit times'!$D$29*'Aggregated EOQ'!BO7*$D$13</f>
        <v>31.76756693</v>
      </c>
      <c r="H20" s="35">
        <f>2*'Variability in transit times'!$D$29*'Aggregated EOQ'!CA7*$D$13</f>
        <v>31.76756693</v>
      </c>
      <c r="I20" s="35">
        <f>2*'Variability in transit times'!$D$29*'Aggregated EOQ'!CM7*$D$13</f>
        <v>31.76756693</v>
      </c>
      <c r="J20" s="35">
        <f>2*'Variability in transit times'!$D$29*'Aggregated EOQ'!CY7*$D$13</f>
        <v>31.76756693</v>
      </c>
      <c r="K20" s="34">
        <v>0.0</v>
      </c>
      <c r="L20" s="34">
        <v>0.0</v>
      </c>
      <c r="M20" s="34">
        <v>0.0</v>
      </c>
      <c r="N20" s="527">
        <f t="shared" si="1"/>
        <v>222.9973924</v>
      </c>
    </row>
    <row r="21">
      <c r="A21" s="57" t="s">
        <v>29</v>
      </c>
      <c r="B21" s="35">
        <f>2*'Variability in transit times'!$D$25*'Aggregated EOQ'!G8*$D$13</f>
        <v>0.249769568</v>
      </c>
      <c r="C21" s="35">
        <f>2*'Variability in transit times'!$D$27*'Aggregated EOQ'!S8*$D$13</f>
        <v>1.144777187</v>
      </c>
      <c r="D21" s="34">
        <v>0.0</v>
      </c>
      <c r="E21" s="34">
        <v>0.0</v>
      </c>
      <c r="F21" s="35">
        <f>2*'Variability in transit times'!$D$37*'Aggregated EOQ'!BC8*$D$13</f>
        <v>1.540245669</v>
      </c>
      <c r="G21" s="35">
        <f>2*'Variability in transit times'!$D$34*'Aggregated EOQ'!BO8*$D$13</f>
        <v>21.37611219</v>
      </c>
      <c r="H21" s="35">
        <f>2*'Variability in transit times'!$D$34*'Aggregated EOQ'!CA8*$D$13</f>
        <v>21.37611219</v>
      </c>
      <c r="I21" s="35">
        <f>2*'Variability in transit times'!$D$34*'Aggregated EOQ'!CM8*$D$13</f>
        <v>21.37611219</v>
      </c>
      <c r="J21" s="35">
        <f>2*'Variability in transit times'!$D$34*'Aggregated EOQ'!CY8*$D$13</f>
        <v>21.37611219</v>
      </c>
      <c r="K21" s="35">
        <f>2*'Variability in transit times'!$D$34*'Aggregated EOQ'!DK8*$D$13</f>
        <v>21.37611219</v>
      </c>
      <c r="L21" s="35">
        <f>2*'Variability in transit times'!$D$34*'Aggregated EOQ'!DW8*$D$13</f>
        <v>21.37611219</v>
      </c>
      <c r="M21" s="35">
        <f>2*'Variability in transit times'!$D$34*'Aggregated EOQ'!EI8*$D$13</f>
        <v>21.37611219</v>
      </c>
      <c r="N21" s="527">
        <f t="shared" si="1"/>
        <v>152.5675778</v>
      </c>
    </row>
    <row r="22">
      <c r="A22" s="57" t="s">
        <v>31</v>
      </c>
      <c r="B22" s="35">
        <f>2*'Variability in transit times'!$D$25*'Aggregated EOQ'!G9*$D$13</f>
        <v>0.124884784</v>
      </c>
      <c r="C22" s="35">
        <f>2*'Variability in transit times'!$D$25*'Aggregated EOQ'!S9*$D$13</f>
        <v>0.124884784</v>
      </c>
      <c r="D22" s="35">
        <f>2*'Variability in transit times'!$D$31*'Aggregated EOQ'!AE9*$D$13</f>
        <v>10.58918898</v>
      </c>
      <c r="E22" s="35">
        <f>2*'Variability in transit times'!$D$31*'Aggregated EOQ'!AQ9*$D$13</f>
        <v>10.58918898</v>
      </c>
      <c r="F22" s="35">
        <f>2*'Variability in transit times'!$D$31*'Aggregated EOQ'!BC9*$D$13</f>
        <v>10.58918898</v>
      </c>
      <c r="G22" s="35">
        <f>2*'Variability in transit times'!$D$31*'Aggregated EOQ'!BO9*$D$13</f>
        <v>10.58918898</v>
      </c>
      <c r="H22" s="35">
        <f>2*'Variability in transit times'!$D$31*'Aggregated EOQ'!CA9*$D$13</f>
        <v>10.58918898</v>
      </c>
      <c r="I22" s="35">
        <f>2*'Variability in transit times'!$D$31*'Aggregated EOQ'!CM9*$D$13</f>
        <v>10.58918898</v>
      </c>
      <c r="J22" s="35">
        <f>2*'Variability in transit times'!$D$40*'Aggregated EOQ'!CY9*$D$13</f>
        <v>11.58306372</v>
      </c>
      <c r="K22" s="35">
        <f>2*'Variability in transit times'!$D$31*'Aggregated EOQ'!DK9*$D$13</f>
        <v>74.12432284</v>
      </c>
      <c r="L22" s="35">
        <f>2*'Variability in transit times'!$D$33*'Aggregated EOQ'!DW9*$D$13</f>
        <v>0.6764592467</v>
      </c>
      <c r="M22" s="35">
        <f>2*'Variability in transit times'!$D$31*'Aggregated EOQ'!EI9*$D$13</f>
        <v>10.58918898</v>
      </c>
      <c r="N22" s="527">
        <f t="shared" si="1"/>
        <v>160.7579382</v>
      </c>
    </row>
    <row r="23">
      <c r="A23" s="57" t="s">
        <v>33</v>
      </c>
      <c r="B23" s="35">
        <f>2*'Variability in transit times'!$D$26*'Aggregated EOQ'!G10*$D$13</f>
        <v>1.40495382</v>
      </c>
      <c r="C23" s="35">
        <f>2*'Variability in transit times'!$D$25*'Aggregated EOQ'!S10*$D$13</f>
        <v>0.124884784</v>
      </c>
      <c r="D23" s="35">
        <f>2*'Variability in transit times'!$D$26*'Aggregated EOQ'!AE10*$D$13</f>
        <v>1.40495382</v>
      </c>
      <c r="E23" s="35">
        <f>2*'Variability in transit times'!$D$25*'Aggregated EOQ'!AQ10*$D$13</f>
        <v>0.124884784</v>
      </c>
      <c r="F23" s="35">
        <f>2*'Variability in transit times'!$D$25*'Aggregated EOQ'!BC10*$D$13</f>
        <v>0.124884784</v>
      </c>
      <c r="G23" s="35">
        <f>2*'Variability in transit times'!$D$25*'Aggregated EOQ'!BO10*$D$13</f>
        <v>0.124884784</v>
      </c>
      <c r="H23" s="35">
        <f>2*'Variability in transit times'!$D$25*'Aggregated EOQ'!CA10*$D$13</f>
        <v>0.124884784</v>
      </c>
      <c r="I23" s="35">
        <f>2*'Variability in transit times'!$D$25*'Aggregated EOQ'!CM10*$D$13</f>
        <v>0.124884784</v>
      </c>
      <c r="J23" s="35">
        <f>2*'Variability in transit times'!$D$25*'Aggregated EOQ'!CY10*$D$13</f>
        <v>0.124884784</v>
      </c>
      <c r="K23" s="35">
        <f>2*'Variability in transit times'!$D$25*'Aggregated EOQ'!DK10*$D$13</f>
        <v>0.124884784</v>
      </c>
      <c r="L23" s="35">
        <f>2*'Variability in transit times'!$D$26*'Aggregated EOQ'!DW10*$D$13</f>
        <v>1.40495382</v>
      </c>
      <c r="M23" s="35">
        <f>2*'Variability in transit times'!$D$25*'Aggregated EOQ'!EI10*$D$13</f>
        <v>0.124884784</v>
      </c>
      <c r="N23" s="527">
        <f t="shared" si="1"/>
        <v>5.338824516</v>
      </c>
    </row>
    <row r="24">
      <c r="A24" s="538" t="s">
        <v>35</v>
      </c>
      <c r="B24" s="35">
        <f>2*'Variability in transit times'!$D$34*'Aggregated EOQ'!G11*$D$13</f>
        <v>32.06416829</v>
      </c>
      <c r="C24" s="35">
        <f>2*'Variability in transit times'!$D$34*'Aggregated EOQ'!S11*$D$13</f>
        <v>32.06416829</v>
      </c>
      <c r="D24" s="35">
        <f>2*'Variability in transit times'!$D$34*'Aggregated EOQ'!AE11*$D$13</f>
        <v>42.75222439</v>
      </c>
      <c r="E24" s="35">
        <f>2*'Variability in transit times'!$D$35*'Aggregated EOQ'!AQ11*$D$13</f>
        <v>2.726651117</v>
      </c>
      <c r="F24" s="35">
        <f>2*'Variability in transit times'!$D$34*'Aggregated EOQ'!BC11*$D$13</f>
        <v>42.75222439</v>
      </c>
      <c r="G24" s="35">
        <f>2*'Variability in transit times'!$D$34*'Aggregated EOQ'!BO11*$D$13</f>
        <v>42.75222439</v>
      </c>
      <c r="H24" s="35">
        <f>2*'Variability in transit times'!$D$34*'Aggregated EOQ'!CA11*$D$13</f>
        <v>42.75222439</v>
      </c>
      <c r="I24" s="35">
        <f>2*'Variability in transit times'!$D$34*'Aggregated EOQ'!CM11*$D$13</f>
        <v>42.75222439</v>
      </c>
      <c r="J24" s="35">
        <f>2*'Variability in transit times'!$D$26*'Aggregated EOQ'!CY11*$D$13</f>
        <v>4.21486146</v>
      </c>
      <c r="K24" s="35">
        <f>2*'Variability in transit times'!$D$26*'Aggregated EOQ'!DK11*$D$13</f>
        <v>4.21486146</v>
      </c>
      <c r="L24" s="35">
        <f>2*'Variability in transit times'!$D$25*'Aggregated EOQ'!DW11*$D$13</f>
        <v>0.374654352</v>
      </c>
      <c r="M24" s="35">
        <f>2*'Variability in transit times'!$D$26*'Aggregated EOQ'!EI11*$D$13</f>
        <v>4.21486146</v>
      </c>
      <c r="N24" s="527">
        <f t="shared" si="1"/>
        <v>293.6353484</v>
      </c>
    </row>
    <row r="25">
      <c r="A25" s="526" t="s">
        <v>39</v>
      </c>
      <c r="B25" s="35">
        <f t="shared" ref="B25:M25" si="2">SUM(B17:B24)</f>
        <v>147.6814606</v>
      </c>
      <c r="C25" s="35">
        <f t="shared" si="2"/>
        <v>76.91861988</v>
      </c>
      <c r="D25" s="35">
        <f t="shared" si="2"/>
        <v>174.2559019</v>
      </c>
      <c r="E25" s="35">
        <f t="shared" si="2"/>
        <v>122.2361859</v>
      </c>
      <c r="F25" s="35">
        <f t="shared" si="2"/>
        <v>183.7003137</v>
      </c>
      <c r="G25" s="35">
        <f t="shared" si="2"/>
        <v>112.8802341</v>
      </c>
      <c r="H25" s="35">
        <f t="shared" si="2"/>
        <v>133.324914</v>
      </c>
      <c r="I25" s="35">
        <f t="shared" si="2"/>
        <v>204.5664797</v>
      </c>
      <c r="J25" s="35">
        <f t="shared" si="2"/>
        <v>162.9226078</v>
      </c>
      <c r="K25" s="35">
        <f t="shared" si="2"/>
        <v>105.9491286</v>
      </c>
      <c r="L25" s="35">
        <f t="shared" si="2"/>
        <v>102.1401427</v>
      </c>
      <c r="M25" s="35">
        <f t="shared" si="2"/>
        <v>148.1029468</v>
      </c>
      <c r="N25" s="539">
        <f t="shared" si="1"/>
        <v>1674.678936</v>
      </c>
    </row>
    <row r="26">
      <c r="A26" s="534"/>
      <c r="N26" s="527"/>
    </row>
    <row r="27">
      <c r="A27" s="540" t="s">
        <v>764</v>
      </c>
      <c r="B27" s="541"/>
      <c r="C27" s="541"/>
      <c r="D27" s="542">
        <f>$N$25</f>
        <v>1674.678936</v>
      </c>
      <c r="E27" s="543"/>
      <c r="F27" s="543"/>
      <c r="G27" s="543"/>
      <c r="H27" s="543"/>
      <c r="I27" s="543"/>
      <c r="J27" s="543"/>
      <c r="K27" s="543"/>
      <c r="L27" s="543"/>
      <c r="M27" s="543"/>
      <c r="N27" s="544"/>
    </row>
    <row r="31">
      <c r="A31" s="523" t="s">
        <v>765</v>
      </c>
      <c r="B31" s="532"/>
      <c r="C31" s="532"/>
      <c r="D31" s="532"/>
      <c r="E31" s="532"/>
      <c r="F31" s="533"/>
    </row>
    <row r="32">
      <c r="A32" s="535" t="s">
        <v>756</v>
      </c>
      <c r="D32" s="536">
        <v>4.3</v>
      </c>
      <c r="F32" s="527"/>
    </row>
    <row r="33">
      <c r="A33" s="535" t="s">
        <v>758</v>
      </c>
      <c r="D33" s="536">
        <v>7.0</v>
      </c>
      <c r="F33" s="527"/>
    </row>
    <row r="34">
      <c r="A34" s="535" t="s">
        <v>760</v>
      </c>
      <c r="D34" s="34">
        <v>1.60934</v>
      </c>
      <c r="F34" s="527"/>
    </row>
    <row r="35">
      <c r="A35" s="535" t="s">
        <v>761</v>
      </c>
      <c r="D35" s="35">
        <f>1/2000</f>
        <v>0.0005</v>
      </c>
      <c r="F35" s="527"/>
    </row>
    <row r="36">
      <c r="A36" s="535" t="s">
        <v>762</v>
      </c>
      <c r="D36" s="35">
        <f>D32/D33*D34*D35</f>
        <v>0.0004942972857</v>
      </c>
      <c r="F36" s="527"/>
    </row>
    <row r="37">
      <c r="A37" s="545"/>
      <c r="B37" s="517"/>
      <c r="F37" s="527"/>
    </row>
    <row r="38">
      <c r="A38" s="526" t="s">
        <v>745</v>
      </c>
      <c r="B38" s="34" t="s">
        <v>746</v>
      </c>
      <c r="C38" s="34" t="s">
        <v>747</v>
      </c>
      <c r="D38" s="34" t="s">
        <v>748</v>
      </c>
      <c r="E38" s="34" t="s">
        <v>749</v>
      </c>
      <c r="F38" s="527"/>
    </row>
    <row r="39">
      <c r="A39" s="545" t="s">
        <v>22</v>
      </c>
      <c r="B39" s="517">
        <v>1.0</v>
      </c>
      <c r="C39" s="35">
        <v>52.0</v>
      </c>
      <c r="D39" s="35">
        <v>38.2</v>
      </c>
      <c r="E39" s="35">
        <v>1986.4</v>
      </c>
      <c r="F39" s="527"/>
    </row>
    <row r="40">
      <c r="A40" s="545" t="s">
        <v>24</v>
      </c>
      <c r="B40" s="517">
        <v>4.0</v>
      </c>
      <c r="C40" s="35">
        <v>208.0</v>
      </c>
      <c r="D40" s="35">
        <v>30.4</v>
      </c>
      <c r="E40" s="35">
        <v>6323.2</v>
      </c>
      <c r="F40" s="527"/>
    </row>
    <row r="41">
      <c r="A41" s="545" t="s">
        <v>26</v>
      </c>
      <c r="B41" s="517">
        <v>3.0</v>
      </c>
      <c r="C41" s="35">
        <v>156.0</v>
      </c>
      <c r="D41" s="35">
        <v>20.0</v>
      </c>
      <c r="E41" s="35">
        <v>3120.0</v>
      </c>
      <c r="F41" s="527"/>
    </row>
    <row r="42">
      <c r="A42" s="545" t="s">
        <v>28</v>
      </c>
      <c r="B42" s="517">
        <v>1.0</v>
      </c>
      <c r="C42" s="35">
        <v>52.0</v>
      </c>
      <c r="D42" s="35">
        <v>23.8</v>
      </c>
      <c r="E42" s="35">
        <v>1237.6000000000001</v>
      </c>
      <c r="F42" s="527"/>
    </row>
    <row r="43">
      <c r="A43" s="545" t="s">
        <v>30</v>
      </c>
      <c r="B43" s="517">
        <v>2.0</v>
      </c>
      <c r="C43" s="35">
        <v>104.0</v>
      </c>
      <c r="D43" s="35">
        <v>34.2</v>
      </c>
      <c r="E43" s="35">
        <v>3556.8</v>
      </c>
      <c r="F43" s="527"/>
    </row>
    <row r="44">
      <c r="A44" s="545" t="s">
        <v>32</v>
      </c>
      <c r="B44" s="517">
        <v>1.0</v>
      </c>
      <c r="C44" s="35">
        <v>52.0</v>
      </c>
      <c r="D44" s="35">
        <v>45.0</v>
      </c>
      <c r="E44" s="35">
        <v>2340.0</v>
      </c>
      <c r="F44" s="527"/>
    </row>
    <row r="45">
      <c r="A45" s="545" t="s">
        <v>34</v>
      </c>
      <c r="B45" s="517">
        <v>2.0</v>
      </c>
      <c r="C45" s="35">
        <v>104.0</v>
      </c>
      <c r="D45" s="35">
        <v>69.8</v>
      </c>
      <c r="E45" s="35">
        <v>7259.2</v>
      </c>
      <c r="F45" s="527"/>
    </row>
    <row r="46">
      <c r="A46" s="545" t="s">
        <v>36</v>
      </c>
      <c r="B46" s="517">
        <v>6.0</v>
      </c>
      <c r="C46" s="35">
        <v>312.0</v>
      </c>
      <c r="D46" s="35">
        <v>65.4</v>
      </c>
      <c r="E46" s="35">
        <v>20404.800000000003</v>
      </c>
      <c r="F46" s="527"/>
    </row>
    <row r="47">
      <c r="A47" s="545" t="s">
        <v>38</v>
      </c>
      <c r="B47" s="517">
        <v>5.0</v>
      </c>
      <c r="C47" s="35">
        <v>260.0</v>
      </c>
      <c r="D47" s="35">
        <v>76.0</v>
      </c>
      <c r="E47" s="35">
        <v>19760.0</v>
      </c>
      <c r="F47" s="527"/>
    </row>
    <row r="48">
      <c r="A48" s="526"/>
      <c r="B48" s="546">
        <v>25.0</v>
      </c>
      <c r="E48" s="35">
        <v>65988.0</v>
      </c>
      <c r="F48" s="527"/>
    </row>
    <row r="49">
      <c r="A49" s="534"/>
      <c r="F49" s="527"/>
    </row>
    <row r="50">
      <c r="A50" s="547" t="s">
        <v>766</v>
      </c>
      <c r="B50" s="541"/>
      <c r="C50" s="541"/>
      <c r="D50" s="548">
        <f>E48*D36</f>
        <v>32.61768929</v>
      </c>
      <c r="E50" s="543"/>
      <c r="F50" s="544"/>
    </row>
    <row r="53">
      <c r="A53" s="523" t="s">
        <v>767</v>
      </c>
      <c r="B53" s="532"/>
      <c r="C53" s="532"/>
      <c r="D53" s="532"/>
      <c r="E53" s="532"/>
      <c r="F53" s="533"/>
    </row>
    <row r="54">
      <c r="A54" s="534"/>
      <c r="F54" s="527"/>
    </row>
    <row r="55">
      <c r="A55" s="526" t="s">
        <v>765</v>
      </c>
      <c r="F55" s="527"/>
    </row>
    <row r="56">
      <c r="A56" s="535" t="s">
        <v>756</v>
      </c>
      <c r="D56" s="536">
        <v>0.57</v>
      </c>
      <c r="E56" s="531" t="s">
        <v>768</v>
      </c>
      <c r="F56" s="527"/>
    </row>
    <row r="57">
      <c r="A57" s="535" t="s">
        <v>769</v>
      </c>
      <c r="D57" s="536">
        <v>40.0</v>
      </c>
      <c r="F57" s="527"/>
    </row>
    <row r="58">
      <c r="A58" s="535" t="s">
        <v>760</v>
      </c>
      <c r="D58" s="34">
        <v>1.60934</v>
      </c>
      <c r="F58" s="527"/>
    </row>
    <row r="59">
      <c r="A59" s="535" t="s">
        <v>761</v>
      </c>
      <c r="D59" s="35">
        <f>1/2000</f>
        <v>0.0005</v>
      </c>
      <c r="F59" s="527"/>
    </row>
    <row r="60">
      <c r="A60" s="535" t="s">
        <v>762</v>
      </c>
      <c r="D60" s="35">
        <f>D56/D57*D58*D59</f>
        <v>0.0000114665475</v>
      </c>
      <c r="F60" s="527"/>
    </row>
    <row r="61">
      <c r="A61" s="534"/>
      <c r="F61" s="527"/>
    </row>
    <row r="62">
      <c r="A62" s="526" t="s">
        <v>770</v>
      </c>
      <c r="B62" s="34" t="s">
        <v>771</v>
      </c>
      <c r="C62" s="34" t="s">
        <v>772</v>
      </c>
      <c r="D62" s="549" t="s">
        <v>773</v>
      </c>
      <c r="E62" s="34" t="s">
        <v>774</v>
      </c>
      <c r="F62" s="527"/>
    </row>
    <row r="63">
      <c r="A63" s="547">
        <v>441.0</v>
      </c>
      <c r="B63" s="543">
        <f>Routing!B22</f>
        <v>202.5833333</v>
      </c>
      <c r="C63" s="543">
        <f>B63*A63</f>
        <v>89339.25</v>
      </c>
      <c r="D63" s="543">
        <f>C63*365</f>
        <v>32608826.25</v>
      </c>
      <c r="E63" s="548">
        <f>D63*D60</f>
        <v>373.9106551</v>
      </c>
      <c r="F63" s="544"/>
    </row>
  </sheetData>
  <mergeCells count="20">
    <mergeCell ref="A5:E5"/>
    <mergeCell ref="A6:K6"/>
    <mergeCell ref="A7:E7"/>
    <mergeCell ref="A9:C9"/>
    <mergeCell ref="A10:C10"/>
    <mergeCell ref="A11:C11"/>
    <mergeCell ref="A12:C12"/>
    <mergeCell ref="A50:C50"/>
    <mergeCell ref="A56:C56"/>
    <mergeCell ref="A57:C57"/>
    <mergeCell ref="A58:C58"/>
    <mergeCell ref="A59:C59"/>
    <mergeCell ref="A60:C60"/>
    <mergeCell ref="A13:C13"/>
    <mergeCell ref="A27:C27"/>
    <mergeCell ref="A32:C32"/>
    <mergeCell ref="A33:C33"/>
    <mergeCell ref="A34:C34"/>
    <mergeCell ref="A35:C35"/>
    <mergeCell ref="A36:C36"/>
  </mergeCells>
  <hyperlinks>
    <hyperlink r:id="rId1" ref="A1"/>
    <hyperlink r:id="rId2" ref="E9"/>
    <hyperlink r:id="rId3" location=":~:text=A%20broad%20estimate%20put%20the,the%20edge%20on%20the%20highway." ref="E10"/>
    <hyperlink r:id="rId4" ref="E56"/>
  </hyperlinks>
  <drawing r:id="rId5"/>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0.43"/>
    <col customWidth="1" min="3" max="3" width="30.29"/>
    <col customWidth="1" min="4" max="4" width="59.43"/>
    <col customWidth="1" min="5" max="5" width="45.43"/>
    <col customWidth="1" min="6" max="6" width="12.0"/>
  </cols>
  <sheetData>
    <row r="1">
      <c r="A1" s="550" t="s">
        <v>10</v>
      </c>
      <c r="B1" s="551" t="s">
        <v>775</v>
      </c>
      <c r="C1" s="551" t="s">
        <v>776</v>
      </c>
      <c r="D1" s="552" t="s">
        <v>777</v>
      </c>
      <c r="E1" s="553"/>
      <c r="F1" s="553"/>
      <c r="G1" s="553"/>
    </row>
    <row r="2">
      <c r="A2" s="554" t="s">
        <v>21</v>
      </c>
      <c r="B2" s="555">
        <f>'Incomes and Costs'!D3/(0.15*'HouseHolds per "comuna"'!$G$3)*C2/7</f>
        <v>0.5618530725</v>
      </c>
      <c r="C2" s="556">
        <v>4.0</v>
      </c>
      <c r="D2" s="557">
        <f>'Incomes and Costs'!D3/7</f>
        <v>12861.61747</v>
      </c>
      <c r="E2" s="553"/>
      <c r="F2" s="553"/>
      <c r="G2" s="553"/>
    </row>
    <row r="3">
      <c r="A3" s="554" t="s">
        <v>23</v>
      </c>
      <c r="B3" s="555">
        <f>'Incomes and Costs'!D4/(0.15*'HouseHolds per "comuna"'!$G$3)*C3/7</f>
        <v>0.3651076725</v>
      </c>
      <c r="C3" s="556">
        <v>4.0</v>
      </c>
      <c r="D3" s="557">
        <f>'Incomes and Costs'!D4/7</f>
        <v>8357.834902</v>
      </c>
      <c r="E3" s="558"/>
      <c r="F3" s="553"/>
      <c r="G3" s="553"/>
    </row>
    <row r="4">
      <c r="A4" s="554" t="s">
        <v>25</v>
      </c>
      <c r="B4" s="555">
        <f>'Incomes and Costs'!D5/(0.15*'HouseHolds per "comuna"'!$G$3)*C4/7</f>
        <v>0.05069129821</v>
      </c>
      <c r="C4" s="556">
        <v>4.0</v>
      </c>
      <c r="D4" s="557">
        <f>'Incomes and Costs'!D5/7</f>
        <v>1160.396051</v>
      </c>
      <c r="E4" s="553"/>
      <c r="F4" s="553"/>
      <c r="G4" s="553"/>
    </row>
    <row r="5">
      <c r="A5" s="554" t="s">
        <v>27</v>
      </c>
      <c r="B5" s="555">
        <f>'Incomes and Costs'!D6/(0.15*'HouseHolds per "comuna"'!$G$3)*C5/7</f>
        <v>0.1338835013</v>
      </c>
      <c r="C5" s="556">
        <v>4.0</v>
      </c>
      <c r="D5" s="557">
        <f>'Incomes and Costs'!D6/7</f>
        <v>3064.784129</v>
      </c>
      <c r="E5" s="553"/>
      <c r="F5" s="553"/>
      <c r="G5" s="553"/>
    </row>
    <row r="6">
      <c r="A6" s="554" t="s">
        <v>29</v>
      </c>
      <c r="B6" s="555">
        <f>'Incomes and Costs'!D7/(0.15*'HouseHolds per "comuna"'!$G$3)*C6/7</f>
        <v>0.08094541141</v>
      </c>
      <c r="C6" s="556">
        <v>4.0</v>
      </c>
      <c r="D6" s="557">
        <f>'Incomes and Costs'!D7/7</f>
        <v>1852.955814</v>
      </c>
      <c r="E6" s="553"/>
      <c r="F6" s="553"/>
      <c r="G6" s="553"/>
    </row>
    <row r="7">
      <c r="A7" s="554" t="s">
        <v>31</v>
      </c>
      <c r="B7" s="555">
        <f>'Incomes and Costs'!D8/(0.15*'HouseHolds per "comuna"'!$G$3)*C7/7</f>
        <v>0.05335986614</v>
      </c>
      <c r="C7" s="556">
        <v>4.0</v>
      </c>
      <c r="D7" s="557">
        <f>'Incomes and Costs'!D8/7</f>
        <v>1221.483374</v>
      </c>
      <c r="E7" s="553"/>
      <c r="F7" s="553"/>
      <c r="G7" s="553"/>
    </row>
    <row r="8">
      <c r="A8" s="554" t="s">
        <v>33</v>
      </c>
      <c r="B8" s="555">
        <f>'Incomes and Costs'!D9/(0.15*'HouseHolds per "comuna"'!$G$3)*C8/7</f>
        <v>0.00196867221</v>
      </c>
      <c r="C8" s="556">
        <v>4.0</v>
      </c>
      <c r="D8" s="557">
        <f>'Incomes and Costs'!D9/7</f>
        <v>45.06571224</v>
      </c>
      <c r="E8" s="553"/>
      <c r="F8" s="553"/>
      <c r="G8" s="553"/>
    </row>
    <row r="9">
      <c r="A9" s="554" t="s">
        <v>35</v>
      </c>
      <c r="B9" s="555">
        <f>'Incomes and Costs'!D10/(0.15*'HouseHolds per "comuna"'!$G$3)*C9/7</f>
        <v>0.1490892818</v>
      </c>
      <c r="C9" s="556">
        <v>4.0</v>
      </c>
      <c r="D9" s="557">
        <f>'Incomes and Costs'!D10/7</f>
        <v>3412.866113</v>
      </c>
      <c r="E9" s="553"/>
      <c r="F9" s="553"/>
      <c r="G9" s="553"/>
    </row>
    <row r="10">
      <c r="A10" s="554" t="s">
        <v>39</v>
      </c>
      <c r="B10" s="559">
        <f>sum(B2:B9)</f>
        <v>1.396898776</v>
      </c>
      <c r="C10" s="556" t="s">
        <v>778</v>
      </c>
      <c r="D10" s="559">
        <f>sum(D2:D9)</f>
        <v>31977.00357</v>
      </c>
      <c r="E10" s="553"/>
      <c r="F10" s="553"/>
      <c r="G10" s="553"/>
    </row>
    <row r="11">
      <c r="A11" s="560"/>
      <c r="B11" s="561"/>
      <c r="C11" s="562"/>
      <c r="D11" s="560"/>
      <c r="E11" s="553"/>
      <c r="F11" s="553"/>
      <c r="G11" s="553"/>
    </row>
    <row r="12">
      <c r="A12" s="560"/>
      <c r="B12" s="563" t="s">
        <v>779</v>
      </c>
      <c r="C12" s="564" t="s">
        <v>780</v>
      </c>
      <c r="D12" s="560"/>
      <c r="E12" s="553"/>
      <c r="F12" s="553"/>
      <c r="G12" s="553"/>
    </row>
    <row r="13">
      <c r="A13" s="565" t="s">
        <v>781</v>
      </c>
      <c r="B13" s="566">
        <f>MotorcycleCountAndAnnualOrderRe!$D$10</f>
        <v>105</v>
      </c>
      <c r="C13" s="567">
        <f>MotorcycleCountAndAnnualOrderRe!$D$12</f>
        <v>441</v>
      </c>
      <c r="D13" s="568" t="s">
        <v>782</v>
      </c>
      <c r="E13" s="553"/>
      <c r="F13" s="553"/>
      <c r="G13" s="553"/>
    </row>
    <row r="14">
      <c r="A14" s="569" t="s">
        <v>783</v>
      </c>
      <c r="B14" s="570">
        <v>434007.6</v>
      </c>
      <c r="C14" s="570">
        <v>434007.6</v>
      </c>
      <c r="D14" s="571" t="s">
        <v>784</v>
      </c>
      <c r="E14" s="572" t="s">
        <v>785</v>
      </c>
      <c r="F14" s="553"/>
      <c r="G14" s="553"/>
    </row>
    <row r="15">
      <c r="A15" s="573" t="s">
        <v>786</v>
      </c>
      <c r="B15" s="574">
        <f t="shared" ref="B15:C15" si="1">$F$17*8</f>
        <v>40</v>
      </c>
      <c r="C15" s="574">
        <f t="shared" si="1"/>
        <v>40</v>
      </c>
      <c r="D15" s="572" t="s">
        <v>787</v>
      </c>
      <c r="E15" s="553"/>
      <c r="F15" s="553"/>
      <c r="G15" s="553"/>
    </row>
    <row r="16">
      <c r="A16" s="554" t="s">
        <v>788</v>
      </c>
      <c r="B16" s="575">
        <v>30.0</v>
      </c>
      <c r="C16" s="574">
        <v>30.0</v>
      </c>
      <c r="D16" s="34" t="s">
        <v>789</v>
      </c>
      <c r="E16" s="553"/>
      <c r="F16" s="553"/>
      <c r="G16" s="553"/>
    </row>
    <row r="17">
      <c r="A17" s="569" t="s">
        <v>790</v>
      </c>
      <c r="B17" s="575">
        <f t="shared" ref="B17:C17" si="2">B16*(1-$F$17*B18/60)/($F$17+$F$18)</f>
        <v>2.916666667</v>
      </c>
      <c r="C17" s="575">
        <f t="shared" si="2"/>
        <v>2.916666667</v>
      </c>
      <c r="D17" s="34" t="s">
        <v>791</v>
      </c>
      <c r="E17" s="506" t="s">
        <v>792</v>
      </c>
      <c r="F17" s="576">
        <v>5.0</v>
      </c>
      <c r="G17" s="553"/>
    </row>
    <row r="18">
      <c r="A18" s="569" t="s">
        <v>793</v>
      </c>
      <c r="B18" s="575">
        <v>5.0</v>
      </c>
      <c r="C18" s="574">
        <v>5.0</v>
      </c>
      <c r="D18" s="34" t="s">
        <v>789</v>
      </c>
      <c r="E18" s="506" t="s">
        <v>794</v>
      </c>
      <c r="F18" s="576">
        <v>1.0</v>
      </c>
      <c r="G18" s="553"/>
    </row>
    <row r="19">
      <c r="A19" s="573" t="s">
        <v>795</v>
      </c>
      <c r="B19" s="574">
        <f t="shared" ref="B19:C19" si="3">$B$27/$F$19</f>
        <v>32.5</v>
      </c>
      <c r="C19" s="574">
        <f t="shared" si="3"/>
        <v>32.5</v>
      </c>
      <c r="D19" s="34" t="s">
        <v>796</v>
      </c>
      <c r="E19" s="506" t="s">
        <v>797</v>
      </c>
      <c r="F19" s="576">
        <v>40.0</v>
      </c>
      <c r="G19" s="553"/>
    </row>
    <row r="20">
      <c r="A20" s="569" t="s">
        <v>798</v>
      </c>
      <c r="B20" s="574">
        <v>803.56</v>
      </c>
      <c r="C20" s="574">
        <v>803.56</v>
      </c>
      <c r="D20" s="571" t="s">
        <v>799</v>
      </c>
      <c r="E20" s="553"/>
      <c r="F20" s="577" t="s">
        <v>800</v>
      </c>
      <c r="G20" s="577" t="s">
        <v>801</v>
      </c>
    </row>
    <row r="21">
      <c r="A21" s="573" t="s">
        <v>802</v>
      </c>
      <c r="B21" s="578">
        <f t="shared" ref="B21:C21" si="4">B14*$F$21*($F$21+1)^$G$21/((1+$F$21)^$G$21-1)/(365*B22)</f>
        <v>0.9552333263</v>
      </c>
      <c r="C21" s="578">
        <f t="shared" si="4"/>
        <v>0.9552333263</v>
      </c>
      <c r="D21" s="531" t="s">
        <v>803</v>
      </c>
      <c r="E21" s="553"/>
      <c r="F21" s="577">
        <v>0.1</v>
      </c>
      <c r="G21" s="577">
        <v>10.0</v>
      </c>
    </row>
    <row r="22">
      <c r="A22" s="573" t="s">
        <v>804</v>
      </c>
      <c r="B22" s="575">
        <f>$F$22*(1/8*B17*B15+$F$18)</f>
        <v>202.5833333</v>
      </c>
      <c r="C22" s="575">
        <f>$F$22*((1/8)*C17*C15+$F$18)</f>
        <v>202.5833333</v>
      </c>
      <c r="D22" s="572" t="s">
        <v>805</v>
      </c>
      <c r="E22" s="572" t="s">
        <v>806</v>
      </c>
      <c r="F22" s="572">
        <v>13.0</v>
      </c>
    </row>
    <row r="23">
      <c r="A23" s="569" t="s">
        <v>807</v>
      </c>
      <c r="B23" s="578">
        <f t="shared" ref="B23:C23" si="5">(B19+B20+B21)*B22</f>
        <v>169565.336</v>
      </c>
      <c r="C23" s="578">
        <f t="shared" si="5"/>
        <v>169565.336</v>
      </c>
      <c r="D23" s="572" t="s">
        <v>808</v>
      </c>
      <c r="E23" s="553"/>
      <c r="F23" s="553"/>
      <c r="G23" s="553"/>
    </row>
    <row r="24">
      <c r="A24" s="579" t="s">
        <v>51</v>
      </c>
      <c r="B24" s="578">
        <f>365*B23*$B$13</f>
        <v>6498591503</v>
      </c>
      <c r="C24" s="578">
        <f>365*C23*$C$13</f>
        <v>27294084312</v>
      </c>
      <c r="D24" s="572" t="s">
        <v>809</v>
      </c>
      <c r="E24" s="553"/>
      <c r="F24" s="553"/>
      <c r="G24" s="553"/>
    </row>
    <row r="25">
      <c r="A25" s="580"/>
      <c r="B25" s="581"/>
      <c r="C25" s="560"/>
      <c r="D25" s="553"/>
      <c r="E25" s="553"/>
      <c r="F25" s="553"/>
      <c r="G25" s="553"/>
    </row>
    <row r="26">
      <c r="A26" s="582" t="s">
        <v>789</v>
      </c>
      <c r="B26" s="541"/>
      <c r="C26" s="541"/>
      <c r="D26" s="553"/>
      <c r="E26" s="553"/>
      <c r="F26" s="553"/>
      <c r="G26" s="553"/>
    </row>
    <row r="27">
      <c r="A27" s="583" t="s">
        <v>810</v>
      </c>
      <c r="B27" s="584">
        <v>1300.0</v>
      </c>
      <c r="C27" s="585" t="s">
        <v>811</v>
      </c>
      <c r="D27" s="553" t="s">
        <v>812</v>
      </c>
    </row>
    <row r="28">
      <c r="A28" s="583" t="s">
        <v>813</v>
      </c>
      <c r="B28" s="585">
        <v>30.0</v>
      </c>
      <c r="C28" s="585" t="s">
        <v>814</v>
      </c>
      <c r="D28" s="553"/>
      <c r="E28" s="553"/>
      <c r="F28" s="553"/>
      <c r="G28" s="553"/>
    </row>
    <row r="29">
      <c r="A29" s="583" t="s">
        <v>815</v>
      </c>
      <c r="B29" s="585">
        <v>5.0</v>
      </c>
      <c r="C29" s="585" t="s">
        <v>816</v>
      </c>
      <c r="D29" s="560"/>
      <c r="E29" s="553"/>
      <c r="F29" s="553"/>
      <c r="G29" s="553"/>
    </row>
    <row r="31">
      <c r="A31" s="34" t="s">
        <v>817</v>
      </c>
      <c r="C31" s="35">
        <f>$C$13*$C$15*$F$22/8</f>
        <v>28665</v>
      </c>
    </row>
    <row r="32">
      <c r="A32" s="34" t="s">
        <v>818</v>
      </c>
      <c r="C32" s="35">
        <f>C31*365</f>
        <v>10462725</v>
      </c>
      <c r="D32" s="586"/>
    </row>
    <row r="33">
      <c r="A33" s="34" t="s">
        <v>819</v>
      </c>
      <c r="C33" s="586">
        <f>1736.03*C32</f>
        <v>18163604482</v>
      </c>
    </row>
  </sheetData>
  <mergeCells count="2">
    <mergeCell ref="A26:C26"/>
    <mergeCell ref="D27:G27"/>
  </mergeCells>
  <hyperlinks>
    <hyperlink r:id="rId2" ref="D14"/>
    <hyperlink r:id="rId3" ref="D20"/>
    <hyperlink r:id="rId4" ref="D21"/>
  </hyperlinks>
  <drawing r:id="rId5"/>
  <legacyDrawing r:id="rId6"/>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71"/>
    <col customWidth="1" min="25" max="25" width="17.43"/>
    <col customWidth="1" min="28" max="28" width="16.0"/>
    <col customWidth="1" min="32" max="32" width="20.57"/>
    <col customWidth="1" min="33" max="33" width="15.43"/>
  </cols>
  <sheetData>
    <row r="1">
      <c r="A1" s="587" t="s">
        <v>820</v>
      </c>
      <c r="B1" s="587" t="s">
        <v>821</v>
      </c>
    </row>
    <row r="2">
      <c r="A2" s="587" t="s">
        <v>822</v>
      </c>
      <c r="B2" s="587" t="s">
        <v>823</v>
      </c>
    </row>
    <row r="3">
      <c r="A3" s="587" t="s">
        <v>824</v>
      </c>
      <c r="B3" s="587" t="s">
        <v>825</v>
      </c>
    </row>
    <row r="4">
      <c r="A4" s="587" t="s">
        <v>820</v>
      </c>
      <c r="B4" s="587" t="s">
        <v>826</v>
      </c>
    </row>
    <row r="5">
      <c r="A5" s="155" t="s">
        <v>827</v>
      </c>
      <c r="B5" s="587" t="s">
        <v>828</v>
      </c>
    </row>
    <row r="7">
      <c r="A7" s="155" t="s">
        <v>829</v>
      </c>
      <c r="B7" s="155">
        <f>'HouseHolds per "comuna"'!C3/10</f>
        <v>16461.7</v>
      </c>
    </row>
    <row r="8">
      <c r="A8" s="588" t="s">
        <v>830</v>
      </c>
      <c r="B8" s="155">
        <f>CONVERT(7,"ton","kg")</f>
        <v>6350.29318</v>
      </c>
      <c r="C8" s="155" t="s">
        <v>831</v>
      </c>
      <c r="J8" s="147"/>
      <c r="K8" s="147">
        <v>1.0</v>
      </c>
      <c r="L8" s="147">
        <v>2.0</v>
      </c>
      <c r="M8" s="147">
        <v>3.0</v>
      </c>
      <c r="N8" s="147">
        <v>4.0</v>
      </c>
      <c r="O8" s="147">
        <v>5.0</v>
      </c>
      <c r="P8" s="147">
        <v>6.0</v>
      </c>
      <c r="Q8" s="147">
        <v>7.0</v>
      </c>
      <c r="R8" s="147">
        <v>8.0</v>
      </c>
      <c r="S8" s="147">
        <v>9.0</v>
      </c>
      <c r="T8" s="147">
        <v>10.0</v>
      </c>
      <c r="U8" s="147" t="s">
        <v>481</v>
      </c>
    </row>
    <row r="9">
      <c r="A9" s="155" t="s">
        <v>832</v>
      </c>
      <c r="B9" s="155">
        <v>30.0</v>
      </c>
      <c r="C9" s="155" t="s">
        <v>833</v>
      </c>
      <c r="J9" s="147">
        <v>1.0</v>
      </c>
      <c r="K9" s="147">
        <v>0.0</v>
      </c>
      <c r="L9" s="147"/>
      <c r="M9" s="147"/>
      <c r="N9" s="147"/>
      <c r="P9" s="147"/>
      <c r="Q9" s="147"/>
      <c r="R9" s="147"/>
      <c r="S9" s="147"/>
      <c r="T9" s="147"/>
      <c r="U9" s="147">
        <v>5.4</v>
      </c>
    </row>
    <row r="10">
      <c r="A10" s="155" t="s">
        <v>810</v>
      </c>
      <c r="B10" s="155">
        <v>1300.0</v>
      </c>
      <c r="C10" s="155" t="s">
        <v>834</v>
      </c>
      <c r="J10" s="147">
        <v>2.0</v>
      </c>
      <c r="K10" s="147">
        <v>3.3</v>
      </c>
      <c r="L10" s="147">
        <v>0.0</v>
      </c>
      <c r="M10" s="147"/>
      <c r="N10" s="147"/>
      <c r="O10" s="147"/>
      <c r="P10" s="147"/>
      <c r="Q10" s="147"/>
      <c r="R10" s="147"/>
      <c r="S10" s="147"/>
      <c r="T10" s="147"/>
      <c r="U10" s="147">
        <v>8.7</v>
      </c>
    </row>
    <row r="11">
      <c r="A11" s="155" t="s">
        <v>835</v>
      </c>
      <c r="B11" s="155">
        <f>5/60</f>
        <v>0.08333333333</v>
      </c>
      <c r="C11" s="155" t="s">
        <v>836</v>
      </c>
      <c r="J11" s="147">
        <v>3.0</v>
      </c>
      <c r="K11" s="147">
        <v>8.1</v>
      </c>
      <c r="L11" s="147">
        <v>5.9</v>
      </c>
      <c r="M11" s="147">
        <v>0.0</v>
      </c>
      <c r="N11" s="147"/>
      <c r="O11" s="147"/>
      <c r="P11" s="147"/>
      <c r="Q11" s="147"/>
      <c r="R11" s="147"/>
      <c r="S11" s="147"/>
      <c r="T11" s="147"/>
      <c r="U11" s="147">
        <v>11.3</v>
      </c>
    </row>
    <row r="12">
      <c r="A12" s="155" t="s">
        <v>837</v>
      </c>
      <c r="B12" s="155">
        <f>B11*B17</f>
        <v>2.75</v>
      </c>
      <c r="C12" s="155" t="s">
        <v>836</v>
      </c>
      <c r="J12" s="147">
        <v>4.0</v>
      </c>
      <c r="K12" s="147">
        <v>3.0</v>
      </c>
      <c r="L12" s="147">
        <v>4.2</v>
      </c>
      <c r="M12" s="147">
        <v>7.7</v>
      </c>
      <c r="N12" s="147">
        <v>0.0</v>
      </c>
      <c r="O12" s="147"/>
      <c r="P12" s="147"/>
      <c r="Q12" s="147"/>
      <c r="R12" s="147"/>
      <c r="S12" s="147"/>
      <c r="T12" s="147"/>
      <c r="U12" s="147">
        <v>4.8</v>
      </c>
    </row>
    <row r="13">
      <c r="A13" s="155" t="s">
        <v>838</v>
      </c>
      <c r="B13" s="247">
        <v>7137972.750548793</v>
      </c>
      <c r="C13" s="155" t="s">
        <v>839</v>
      </c>
      <c r="J13" s="147">
        <v>5.0</v>
      </c>
      <c r="K13" s="147">
        <v>5.5</v>
      </c>
      <c r="L13" s="147">
        <v>3.9</v>
      </c>
      <c r="M13" s="147">
        <v>5.3</v>
      </c>
      <c r="N13" s="147">
        <v>3.4</v>
      </c>
      <c r="O13" s="147">
        <v>0.0</v>
      </c>
      <c r="P13" s="147"/>
      <c r="Q13" s="147"/>
      <c r="R13" s="147"/>
      <c r="S13" s="147"/>
      <c r="T13" s="147"/>
      <c r="U13" s="147">
        <v>7.7</v>
      </c>
    </row>
    <row r="14">
      <c r="A14" s="155" t="s">
        <v>840</v>
      </c>
      <c r="B14" s="155">
        <f>B13/365</f>
        <v>19556.08973</v>
      </c>
      <c r="C14" s="155" t="s">
        <v>839</v>
      </c>
      <c r="J14" s="147">
        <v>6.0</v>
      </c>
      <c r="K14" s="147">
        <v>9.2</v>
      </c>
      <c r="L14" s="147">
        <v>7.1</v>
      </c>
      <c r="M14" s="147">
        <v>4.6</v>
      </c>
      <c r="N14" s="147">
        <v>8.2</v>
      </c>
      <c r="O14" s="147">
        <v>6.4</v>
      </c>
      <c r="P14" s="147">
        <v>0.0</v>
      </c>
      <c r="Q14" s="147"/>
      <c r="R14" s="147"/>
      <c r="S14" s="147"/>
      <c r="T14" s="147"/>
      <c r="U14" s="147">
        <v>12.5</v>
      </c>
    </row>
    <row r="15">
      <c r="A15" s="155" t="s">
        <v>841</v>
      </c>
      <c r="B15" s="155">
        <v>8.0</v>
      </c>
      <c r="C15" s="155" t="s">
        <v>842</v>
      </c>
      <c r="J15" s="147">
        <v>7.0</v>
      </c>
      <c r="K15" s="147">
        <v>7.3</v>
      </c>
      <c r="L15" s="147">
        <v>6.1</v>
      </c>
      <c r="M15" s="147">
        <v>9.0</v>
      </c>
      <c r="N15" s="147">
        <v>4.0</v>
      </c>
      <c r="O15" s="147">
        <v>4.6</v>
      </c>
      <c r="P15" s="147">
        <v>8.2</v>
      </c>
      <c r="Q15" s="147">
        <v>0.0</v>
      </c>
      <c r="R15" s="147"/>
      <c r="S15" s="147"/>
      <c r="T15" s="147"/>
      <c r="U15" s="147">
        <v>6.4</v>
      </c>
    </row>
    <row r="16">
      <c r="A16" s="155" t="s">
        <v>843</v>
      </c>
      <c r="B16" s="155">
        <v>500.0</v>
      </c>
      <c r="J16" s="147">
        <v>8.0</v>
      </c>
      <c r="K16" s="147">
        <v>9.3</v>
      </c>
      <c r="L16" s="147">
        <v>8.0</v>
      </c>
      <c r="M16" s="147">
        <v>8.2</v>
      </c>
      <c r="N16" s="147">
        <v>6.2</v>
      </c>
      <c r="O16" s="147">
        <v>4.0</v>
      </c>
      <c r="P16" s="147">
        <v>6.2</v>
      </c>
      <c r="Q16" s="147">
        <v>3.3</v>
      </c>
      <c r="R16" s="147">
        <v>0.0</v>
      </c>
      <c r="S16" s="147"/>
      <c r="T16" s="147"/>
      <c r="U16" s="147">
        <v>9.4</v>
      </c>
    </row>
    <row r="17">
      <c r="A17" s="155" t="s">
        <v>844</v>
      </c>
      <c r="B17" s="155">
        <f>ROUNDUP(B7/B16,0)</f>
        <v>33</v>
      </c>
      <c r="J17" s="147">
        <v>9.0</v>
      </c>
      <c r="K17" s="147">
        <v>13.6</v>
      </c>
      <c r="L17" s="147">
        <v>11.5</v>
      </c>
      <c r="M17" s="147">
        <v>9.0</v>
      </c>
      <c r="N17" s="147">
        <v>8.3</v>
      </c>
      <c r="O17" s="147">
        <v>6.1</v>
      </c>
      <c r="P17" s="147">
        <v>4.1</v>
      </c>
      <c r="Q17" s="147">
        <v>5.9</v>
      </c>
      <c r="R17" s="147">
        <v>3.5</v>
      </c>
      <c r="S17" s="147">
        <v>0.0</v>
      </c>
      <c r="T17" s="147"/>
      <c r="U17" s="147">
        <v>14.6</v>
      </c>
    </row>
    <row r="18">
      <c r="A18" s="155" t="s">
        <v>845</v>
      </c>
      <c r="B18" s="155">
        <v>8.0</v>
      </c>
      <c r="C18" s="155" t="s">
        <v>846</v>
      </c>
      <c r="J18" s="147">
        <v>10.0</v>
      </c>
      <c r="K18" s="147">
        <v>13.5</v>
      </c>
      <c r="L18" s="147">
        <v>12.1</v>
      </c>
      <c r="M18" s="147">
        <v>12.4</v>
      </c>
      <c r="N18" s="147">
        <v>10.4</v>
      </c>
      <c r="O18" s="147">
        <v>8.2</v>
      </c>
      <c r="P18" s="147">
        <v>6.9</v>
      </c>
      <c r="Q18" s="147">
        <v>7.0</v>
      </c>
      <c r="R18" s="147">
        <v>5.4</v>
      </c>
      <c r="S18" s="147">
        <v>5.2</v>
      </c>
      <c r="T18" s="147">
        <v>0.0</v>
      </c>
      <c r="U18" s="147">
        <v>13.1</v>
      </c>
    </row>
    <row r="19">
      <c r="A19" s="155" t="s">
        <v>847</v>
      </c>
      <c r="B19" s="155">
        <v>2.0</v>
      </c>
      <c r="C19" s="155" t="s">
        <v>846</v>
      </c>
      <c r="J19" s="147" t="s">
        <v>481</v>
      </c>
      <c r="K19" s="147">
        <v>5.4</v>
      </c>
      <c r="L19" s="147">
        <v>8.7</v>
      </c>
      <c r="M19" s="147">
        <v>11.3</v>
      </c>
      <c r="N19" s="147">
        <v>4.8</v>
      </c>
      <c r="O19" s="147">
        <v>7.7</v>
      </c>
      <c r="P19" s="147">
        <v>12.5</v>
      </c>
      <c r="Q19" s="147">
        <v>6.4</v>
      </c>
      <c r="R19" s="147">
        <v>9.4</v>
      </c>
      <c r="S19" s="147">
        <v>14.6</v>
      </c>
      <c r="T19" s="147">
        <v>13.1</v>
      </c>
      <c r="U19" s="147">
        <v>0.0</v>
      </c>
    </row>
    <row r="20">
      <c r="A20" s="155" t="s">
        <v>848</v>
      </c>
      <c r="B20" s="589">
        <v>16000.0</v>
      </c>
      <c r="C20" s="155" t="s">
        <v>849</v>
      </c>
    </row>
    <row r="23">
      <c r="J23" s="157" t="s">
        <v>850</v>
      </c>
      <c r="K23" s="123"/>
      <c r="L23" s="123"/>
      <c r="M23" s="123"/>
      <c r="N23" s="123"/>
      <c r="O23" s="123"/>
      <c r="P23" s="123"/>
      <c r="Q23" s="123"/>
      <c r="R23" s="123"/>
      <c r="S23" s="123"/>
      <c r="T23" s="124"/>
    </row>
    <row r="24">
      <c r="B24" s="147" t="s">
        <v>851</v>
      </c>
      <c r="C24" s="147" t="s">
        <v>202</v>
      </c>
      <c r="D24" s="147" t="s">
        <v>852</v>
      </c>
      <c r="E24" s="147" t="s">
        <v>853</v>
      </c>
      <c r="F24" s="147" t="s">
        <v>854</v>
      </c>
      <c r="J24" s="147"/>
      <c r="K24" s="147">
        <v>1.0</v>
      </c>
      <c r="L24" s="147">
        <v>2.0</v>
      </c>
      <c r="M24" s="147">
        <v>3.0</v>
      </c>
      <c r="N24" s="147">
        <v>4.0</v>
      </c>
      <c r="O24" s="147">
        <v>5.0</v>
      </c>
      <c r="P24" s="147">
        <v>6.0</v>
      </c>
      <c r="Q24" s="147">
        <v>7.0</v>
      </c>
      <c r="R24" s="147">
        <v>8.0</v>
      </c>
      <c r="S24" s="147">
        <v>9.0</v>
      </c>
      <c r="T24" s="147">
        <v>10.0</v>
      </c>
      <c r="W24" s="147" t="s">
        <v>855</v>
      </c>
      <c r="X24" s="147" t="s">
        <v>854</v>
      </c>
    </row>
    <row r="25">
      <c r="B25" s="147">
        <v>1.0</v>
      </c>
      <c r="C25" s="147">
        <v>-33.560143</v>
      </c>
      <c r="D25" s="147">
        <v>-70.548308</v>
      </c>
      <c r="E25" s="147">
        <v>5.4</v>
      </c>
      <c r="F25" s="147">
        <f t="shared" ref="F25:F34" si="1">$B$8</f>
        <v>6350.29318</v>
      </c>
      <c r="J25" s="147">
        <v>1.0</v>
      </c>
      <c r="K25" s="590"/>
      <c r="L25" s="590"/>
      <c r="M25" s="590"/>
      <c r="N25" s="590"/>
      <c r="O25" s="590"/>
      <c r="P25" s="590"/>
      <c r="Q25" s="590"/>
      <c r="R25" s="590"/>
      <c r="S25" s="590"/>
      <c r="T25" s="147"/>
      <c r="W25" s="147">
        <v>1.0</v>
      </c>
      <c r="X25" s="147">
        <f t="shared" ref="X25:X34" si="2">$B$14/10</f>
        <v>1955.608973</v>
      </c>
    </row>
    <row r="26">
      <c r="B26" s="147">
        <v>2.0</v>
      </c>
      <c r="C26" s="147">
        <v>-33.580167</v>
      </c>
      <c r="D26" s="147">
        <v>-70.537665</v>
      </c>
      <c r="E26" s="147">
        <v>8.7</v>
      </c>
      <c r="F26" s="147">
        <f t="shared" si="1"/>
        <v>6350.29318</v>
      </c>
      <c r="J26" s="147">
        <v>2.0</v>
      </c>
      <c r="K26" s="590">
        <f t="shared" ref="K26:K34" si="3">K$19+$U10-K10</f>
        <v>10.8</v>
      </c>
      <c r="L26" s="590"/>
      <c r="M26" s="590"/>
      <c r="N26" s="590"/>
      <c r="O26" s="590"/>
      <c r="P26" s="590"/>
      <c r="Q26" s="590"/>
      <c r="R26" s="590"/>
      <c r="S26" s="590"/>
      <c r="T26" s="147"/>
      <c r="W26" s="147">
        <v>2.0</v>
      </c>
      <c r="X26" s="147">
        <f t="shared" si="2"/>
        <v>1955.608973</v>
      </c>
    </row>
    <row r="27">
      <c r="B27" s="147">
        <v>3.0</v>
      </c>
      <c r="C27" s="147">
        <v>-33.597613</v>
      </c>
      <c r="D27" s="147">
        <v>-70.513975</v>
      </c>
      <c r="E27" s="147">
        <v>11.3</v>
      </c>
      <c r="F27" s="147">
        <f t="shared" si="1"/>
        <v>6350.29318</v>
      </c>
      <c r="J27" s="147">
        <v>3.0</v>
      </c>
      <c r="K27" s="590">
        <f t="shared" si="3"/>
        <v>8.6</v>
      </c>
      <c r="L27" s="590">
        <f t="shared" ref="L27:L34" si="4">L$19+$U11-L11</f>
        <v>14.1</v>
      </c>
      <c r="M27" s="590"/>
      <c r="N27" s="590"/>
      <c r="O27" s="590"/>
      <c r="P27" s="590"/>
      <c r="Q27" s="590"/>
      <c r="R27" s="590"/>
      <c r="S27" s="590"/>
      <c r="T27" s="147"/>
      <c r="W27" s="147">
        <v>3.0</v>
      </c>
      <c r="X27" s="147">
        <f t="shared" si="2"/>
        <v>1955.608973</v>
      </c>
    </row>
    <row r="28">
      <c r="B28" s="147">
        <v>4.0</v>
      </c>
      <c r="C28" s="147">
        <v>-33.569011</v>
      </c>
      <c r="D28" s="147">
        <v>-70.56822</v>
      </c>
      <c r="E28" s="147">
        <v>4.8</v>
      </c>
      <c r="F28" s="147">
        <f t="shared" si="1"/>
        <v>6350.29318</v>
      </c>
      <c r="J28" s="147">
        <v>4.0</v>
      </c>
      <c r="K28" s="590">
        <f t="shared" si="3"/>
        <v>7.2</v>
      </c>
      <c r="L28" s="590">
        <f t="shared" si="4"/>
        <v>9.3</v>
      </c>
      <c r="M28" s="590">
        <f t="shared" ref="M28:M34" si="5">M$19+$U12-M12</f>
        <v>8.4</v>
      </c>
      <c r="N28" s="590"/>
      <c r="O28" s="590"/>
      <c r="P28" s="590"/>
      <c r="Q28" s="590"/>
      <c r="R28" s="590"/>
      <c r="S28" s="590"/>
      <c r="T28" s="147"/>
      <c r="W28" s="147">
        <v>4.0</v>
      </c>
      <c r="X28" s="147">
        <f t="shared" si="2"/>
        <v>1955.608973</v>
      </c>
    </row>
    <row r="29">
      <c r="B29" s="147">
        <v>5.0</v>
      </c>
      <c r="C29" s="147">
        <v>-33.592179</v>
      </c>
      <c r="D29" s="147">
        <v>-70.558607</v>
      </c>
      <c r="E29" s="147">
        <v>7.7</v>
      </c>
      <c r="F29" s="147">
        <f t="shared" si="1"/>
        <v>6350.29318</v>
      </c>
      <c r="J29" s="147">
        <v>5.0</v>
      </c>
      <c r="K29" s="590">
        <f t="shared" si="3"/>
        <v>7.6</v>
      </c>
      <c r="L29" s="590">
        <f t="shared" si="4"/>
        <v>12.5</v>
      </c>
      <c r="M29" s="590">
        <f t="shared" si="5"/>
        <v>13.7</v>
      </c>
      <c r="N29" s="590">
        <f t="shared" ref="N29:N34" si="6">N$19+$U13-N13</f>
        <v>9.1</v>
      </c>
      <c r="O29" s="590"/>
      <c r="P29" s="590"/>
      <c r="Q29" s="590"/>
      <c r="R29" s="590"/>
      <c r="S29" s="590"/>
      <c r="T29" s="147"/>
      <c r="W29" s="147">
        <v>5.0</v>
      </c>
      <c r="X29" s="147">
        <f t="shared" si="2"/>
        <v>1955.608973</v>
      </c>
    </row>
    <row r="30">
      <c r="B30" s="147">
        <v>6.0</v>
      </c>
      <c r="C30" s="147">
        <v>-33.614198</v>
      </c>
      <c r="D30" s="147">
        <v>-70.549338</v>
      </c>
      <c r="E30" s="147">
        <v>12.5</v>
      </c>
      <c r="F30" s="147">
        <f t="shared" si="1"/>
        <v>6350.29318</v>
      </c>
      <c r="J30" s="147">
        <v>6.0</v>
      </c>
      <c r="K30" s="590">
        <f t="shared" si="3"/>
        <v>8.7</v>
      </c>
      <c r="L30" s="590">
        <f t="shared" si="4"/>
        <v>14.1</v>
      </c>
      <c r="M30" s="590">
        <f t="shared" si="5"/>
        <v>19.2</v>
      </c>
      <c r="N30" s="590">
        <f t="shared" si="6"/>
        <v>9.1</v>
      </c>
      <c r="O30" s="590">
        <f t="shared" ref="O30:O34" si="7">O$19+$U14-O14</f>
        <v>13.8</v>
      </c>
      <c r="P30" s="590"/>
      <c r="Q30" s="590"/>
      <c r="R30" s="590"/>
      <c r="S30" s="590"/>
      <c r="T30" s="147"/>
      <c r="W30" s="147">
        <v>6.0</v>
      </c>
      <c r="X30" s="147">
        <f t="shared" si="2"/>
        <v>1955.608973</v>
      </c>
    </row>
    <row r="31">
      <c r="B31" s="147">
        <v>7.0</v>
      </c>
      <c r="C31" s="147">
        <v>-33.580453</v>
      </c>
      <c r="D31" s="147">
        <v>-70.598776</v>
      </c>
      <c r="E31" s="147">
        <v>6.4</v>
      </c>
      <c r="F31" s="147">
        <f t="shared" si="1"/>
        <v>6350.29318</v>
      </c>
      <c r="J31" s="147">
        <v>7.0</v>
      </c>
      <c r="K31" s="590">
        <f t="shared" si="3"/>
        <v>4.5</v>
      </c>
      <c r="L31" s="590">
        <f t="shared" si="4"/>
        <v>9</v>
      </c>
      <c r="M31" s="590">
        <f t="shared" si="5"/>
        <v>8.7</v>
      </c>
      <c r="N31" s="590">
        <f t="shared" si="6"/>
        <v>7.2</v>
      </c>
      <c r="O31" s="590">
        <f t="shared" si="7"/>
        <v>9.5</v>
      </c>
      <c r="P31" s="590">
        <f t="shared" ref="P31:P34" si="8">P$19+$U15-P15</f>
        <v>10.7</v>
      </c>
      <c r="Q31" s="590"/>
      <c r="R31" s="590"/>
      <c r="S31" s="590"/>
      <c r="T31" s="147"/>
      <c r="W31" s="147">
        <v>7.0</v>
      </c>
      <c r="X31" s="147">
        <f t="shared" si="2"/>
        <v>1955.608973</v>
      </c>
    </row>
    <row r="32">
      <c r="B32" s="147">
        <v>8.0</v>
      </c>
      <c r="C32" s="147">
        <v>-33.601045</v>
      </c>
      <c r="D32" s="147">
        <v>-70.590536</v>
      </c>
      <c r="E32" s="147">
        <v>9.4</v>
      </c>
      <c r="F32" s="147">
        <f t="shared" si="1"/>
        <v>6350.29318</v>
      </c>
      <c r="J32" s="147">
        <v>8.0</v>
      </c>
      <c r="K32" s="590">
        <f t="shared" si="3"/>
        <v>5.5</v>
      </c>
      <c r="L32" s="590">
        <f t="shared" si="4"/>
        <v>10.1</v>
      </c>
      <c r="M32" s="590">
        <f t="shared" si="5"/>
        <v>12.5</v>
      </c>
      <c r="N32" s="590">
        <f t="shared" si="6"/>
        <v>8</v>
      </c>
      <c r="O32" s="590">
        <f t="shared" si="7"/>
        <v>13.1</v>
      </c>
      <c r="P32" s="590">
        <f t="shared" si="8"/>
        <v>15.7</v>
      </c>
      <c r="Q32" s="590">
        <f t="shared" ref="Q32:Q34" si="9">Q$19+$U16-Q16</f>
        <v>12.5</v>
      </c>
      <c r="R32" s="590"/>
      <c r="S32" s="590"/>
      <c r="T32" s="147"/>
      <c r="W32" s="147">
        <v>8.0</v>
      </c>
      <c r="X32" s="147">
        <f t="shared" si="2"/>
        <v>1955.608973</v>
      </c>
    </row>
    <row r="33">
      <c r="B33" s="147">
        <v>9.0</v>
      </c>
      <c r="C33" s="147">
        <v>-33.625348</v>
      </c>
      <c r="D33" s="147">
        <v>-70.585043</v>
      </c>
      <c r="E33" s="147">
        <v>14.6</v>
      </c>
      <c r="F33" s="147">
        <f t="shared" si="1"/>
        <v>6350.29318</v>
      </c>
      <c r="J33" s="147">
        <v>9.0</v>
      </c>
      <c r="K33" s="590">
        <f t="shared" si="3"/>
        <v>6.4</v>
      </c>
      <c r="L33" s="590">
        <f t="shared" si="4"/>
        <v>11.8</v>
      </c>
      <c r="M33" s="590">
        <f t="shared" si="5"/>
        <v>16.9</v>
      </c>
      <c r="N33" s="590">
        <f t="shared" si="6"/>
        <v>11.1</v>
      </c>
      <c r="O33" s="590">
        <f t="shared" si="7"/>
        <v>16.2</v>
      </c>
      <c r="P33" s="590">
        <f t="shared" si="8"/>
        <v>23</v>
      </c>
      <c r="Q33" s="590">
        <f t="shared" si="9"/>
        <v>15.1</v>
      </c>
      <c r="R33" s="590">
        <f t="shared" ref="R33:R34" si="10">R$19+$U17-R17</f>
        <v>20.5</v>
      </c>
      <c r="S33" s="590"/>
      <c r="T33" s="147"/>
      <c r="W33" s="147">
        <v>9.0</v>
      </c>
      <c r="X33" s="147">
        <f t="shared" si="2"/>
        <v>1955.608973</v>
      </c>
    </row>
    <row r="34">
      <c r="B34" s="147">
        <v>10.0</v>
      </c>
      <c r="C34" s="147">
        <v>-33.620488</v>
      </c>
      <c r="D34" s="147">
        <v>-70.612509</v>
      </c>
      <c r="E34" s="147">
        <v>13.1</v>
      </c>
      <c r="F34" s="147">
        <f t="shared" si="1"/>
        <v>6350.29318</v>
      </c>
      <c r="J34" s="147">
        <v>10.0</v>
      </c>
      <c r="K34" s="590">
        <f t="shared" si="3"/>
        <v>5</v>
      </c>
      <c r="L34" s="590">
        <f t="shared" si="4"/>
        <v>9.7</v>
      </c>
      <c r="M34" s="590">
        <f t="shared" si="5"/>
        <v>12</v>
      </c>
      <c r="N34" s="590">
        <f t="shared" si="6"/>
        <v>7.5</v>
      </c>
      <c r="O34" s="590">
        <f t="shared" si="7"/>
        <v>12.6</v>
      </c>
      <c r="P34" s="590">
        <f t="shared" si="8"/>
        <v>18.7</v>
      </c>
      <c r="Q34" s="590">
        <f t="shared" si="9"/>
        <v>12.5</v>
      </c>
      <c r="R34" s="590">
        <f t="shared" si="10"/>
        <v>17.1</v>
      </c>
      <c r="S34" s="590">
        <f>S$19+$U18-S18</f>
        <v>22.5</v>
      </c>
      <c r="T34" s="147"/>
      <c r="W34" s="147">
        <v>10.0</v>
      </c>
      <c r="X34" s="147">
        <f t="shared" si="2"/>
        <v>1955.608973</v>
      </c>
    </row>
    <row r="35">
      <c r="B35" s="147" t="s">
        <v>481</v>
      </c>
      <c r="C35" s="147">
        <v>-33.5389061820572</v>
      </c>
      <c r="D35" s="147">
        <v>-70.5892347989387</v>
      </c>
      <c r="E35" s="147">
        <v>0.0</v>
      </c>
      <c r="F35" s="147"/>
    </row>
    <row r="36">
      <c r="Z36" s="591" t="s">
        <v>856</v>
      </c>
      <c r="AA36" s="123"/>
      <c r="AB36" s="123"/>
      <c r="AC36" s="123"/>
      <c r="AD36" s="123"/>
      <c r="AE36" s="591" t="s">
        <v>857</v>
      </c>
      <c r="AF36" s="123"/>
      <c r="AG36" s="124"/>
    </row>
    <row r="37">
      <c r="K37" s="147" t="s">
        <v>858</v>
      </c>
      <c r="L37" s="147" t="s">
        <v>859</v>
      </c>
      <c r="M37" s="591" t="s">
        <v>860</v>
      </c>
      <c r="N37" s="124"/>
      <c r="O37" s="147" t="s">
        <v>861</v>
      </c>
      <c r="Q37" s="155" t="s">
        <v>862</v>
      </c>
      <c r="W37" s="592" t="s">
        <v>863</v>
      </c>
      <c r="X37" s="147" t="s">
        <v>862</v>
      </c>
      <c r="Y37" s="147" t="s">
        <v>864</v>
      </c>
      <c r="Z37" s="147" t="s">
        <v>865</v>
      </c>
      <c r="AA37" s="147" t="s">
        <v>866</v>
      </c>
      <c r="AB37" s="147" t="s">
        <v>867</v>
      </c>
      <c r="AC37" s="593" t="s">
        <v>868</v>
      </c>
      <c r="AD37" s="593" t="s">
        <v>869</v>
      </c>
      <c r="AE37" s="147" t="s">
        <v>870</v>
      </c>
      <c r="AF37" s="147" t="s">
        <v>871</v>
      </c>
      <c r="AG37" s="147" t="s">
        <v>39</v>
      </c>
      <c r="AI37" s="155"/>
      <c r="AJ37" s="155"/>
    </row>
    <row r="38">
      <c r="K38" s="147">
        <v>1.0</v>
      </c>
      <c r="L38" s="147">
        <f t="shared" ref="L38:L78" si="11">LARGE($K$25:$T$34,K38)</f>
        <v>23</v>
      </c>
      <c r="M38" s="147">
        <v>6.0</v>
      </c>
      <c r="N38" s="147">
        <v>9.0</v>
      </c>
      <c r="O38" s="147" t="s">
        <v>872</v>
      </c>
      <c r="Q38" s="155">
        <v>1.0</v>
      </c>
      <c r="R38" s="155" t="s">
        <v>873</v>
      </c>
      <c r="S38" s="155">
        <v>6.0</v>
      </c>
      <c r="T38" s="155">
        <v>9.0</v>
      </c>
      <c r="U38" s="155">
        <v>10.0</v>
      </c>
      <c r="V38" s="155" t="s">
        <v>873</v>
      </c>
      <c r="W38" s="150"/>
      <c r="X38" s="147">
        <v>1.0</v>
      </c>
      <c r="Y38" s="147">
        <f t="shared" ref="Y38:Y41" si="12">COUNT(S38:W38)*$X$25</f>
        <v>5866.826918</v>
      </c>
      <c r="Z38" s="147">
        <f>P19+P17+T18+T19</f>
        <v>29.7</v>
      </c>
      <c r="AA38" s="594">
        <f t="shared" ref="AA38:AA41" si="13">Z38/$B$9</f>
        <v>0.99</v>
      </c>
      <c r="AB38" s="595">
        <f t="shared" ref="AB38:AB41" si="14">$B$7*5/500/60</f>
        <v>2.743616667</v>
      </c>
      <c r="AC38" s="147">
        <f t="shared" ref="AC38:AC41" si="15">$B$19</f>
        <v>2</v>
      </c>
      <c r="AD38" s="594">
        <f t="shared" ref="AD38:AD41" si="16">SUM(AA38:AC38)</f>
        <v>5.733616667</v>
      </c>
      <c r="AE38" s="160">
        <f t="shared" ref="AE38:AE41" si="17">Z38*$B$15*$B$10</f>
        <v>308880</v>
      </c>
      <c r="AF38" s="160">
        <f t="shared" ref="AF38:AF41" si="18">AD38*$B$20</f>
        <v>91737.86667</v>
      </c>
      <c r="AG38" s="160">
        <f t="shared" ref="AG38:AG41" si="19">SUM(AE38)</f>
        <v>308880</v>
      </c>
    </row>
    <row r="39">
      <c r="K39" s="147">
        <v>2.0</v>
      </c>
      <c r="L39" s="147">
        <f t="shared" si="11"/>
        <v>22.5</v>
      </c>
      <c r="M39" s="147">
        <v>9.0</v>
      </c>
      <c r="N39" s="147">
        <v>10.0</v>
      </c>
      <c r="O39" s="147" t="s">
        <v>872</v>
      </c>
      <c r="Q39" s="155">
        <v>2.0</v>
      </c>
      <c r="R39" s="155" t="s">
        <v>873</v>
      </c>
      <c r="S39" s="155">
        <v>2.0</v>
      </c>
      <c r="T39" s="155">
        <v>3.0</v>
      </c>
      <c r="U39" s="155">
        <v>5.0</v>
      </c>
      <c r="V39" s="155" t="s">
        <v>873</v>
      </c>
      <c r="W39" s="150"/>
      <c r="X39" s="147">
        <v>2.0</v>
      </c>
      <c r="Y39" s="147">
        <f t="shared" si="12"/>
        <v>5866.826918</v>
      </c>
      <c r="Z39" s="147">
        <f>L19+L11+M13+U13</f>
        <v>27.6</v>
      </c>
      <c r="AA39" s="594">
        <f t="shared" si="13"/>
        <v>0.92</v>
      </c>
      <c r="AB39" s="595">
        <f t="shared" si="14"/>
        <v>2.743616667</v>
      </c>
      <c r="AC39" s="147">
        <f t="shared" si="15"/>
        <v>2</v>
      </c>
      <c r="AD39" s="594">
        <f t="shared" si="16"/>
        <v>5.663616667</v>
      </c>
      <c r="AE39" s="160">
        <f t="shared" si="17"/>
        <v>287040</v>
      </c>
      <c r="AF39" s="160">
        <f t="shared" si="18"/>
        <v>90617.86667</v>
      </c>
      <c r="AG39" s="160">
        <f t="shared" si="19"/>
        <v>287040</v>
      </c>
    </row>
    <row r="40">
      <c r="K40" s="147">
        <v>3.0</v>
      </c>
      <c r="L40" s="147">
        <f t="shared" si="11"/>
        <v>20.5</v>
      </c>
      <c r="M40" s="147">
        <v>8.0</v>
      </c>
      <c r="N40" s="147">
        <v>9.0</v>
      </c>
      <c r="O40" s="147" t="s">
        <v>874</v>
      </c>
      <c r="Q40" s="155">
        <v>3.0</v>
      </c>
      <c r="R40" s="155" t="s">
        <v>873</v>
      </c>
      <c r="S40" s="155">
        <v>4.0</v>
      </c>
      <c r="T40" s="155">
        <v>7.0</v>
      </c>
      <c r="U40" s="155">
        <v>8.0</v>
      </c>
      <c r="V40" s="155" t="s">
        <v>873</v>
      </c>
      <c r="W40" s="150"/>
      <c r="X40" s="147">
        <v>3.0</v>
      </c>
      <c r="Y40" s="147">
        <f t="shared" si="12"/>
        <v>5866.826918</v>
      </c>
      <c r="Z40" s="147">
        <f>N19+N15+Q16+U16</f>
        <v>21.5</v>
      </c>
      <c r="AA40" s="594">
        <f t="shared" si="13"/>
        <v>0.7166666667</v>
      </c>
      <c r="AB40" s="595">
        <f t="shared" si="14"/>
        <v>2.743616667</v>
      </c>
      <c r="AC40" s="147">
        <f t="shared" si="15"/>
        <v>2</v>
      </c>
      <c r="AD40" s="594">
        <f t="shared" si="16"/>
        <v>5.460283333</v>
      </c>
      <c r="AE40" s="160">
        <f t="shared" si="17"/>
        <v>223600</v>
      </c>
      <c r="AF40" s="160">
        <f t="shared" si="18"/>
        <v>87364.53333</v>
      </c>
      <c r="AG40" s="160">
        <f t="shared" si="19"/>
        <v>223600</v>
      </c>
    </row>
    <row r="41">
      <c r="K41" s="147">
        <v>4.0</v>
      </c>
      <c r="L41" s="147">
        <f t="shared" si="11"/>
        <v>19.2</v>
      </c>
      <c r="M41" s="147">
        <v>3.0</v>
      </c>
      <c r="N41" s="147">
        <v>6.0</v>
      </c>
      <c r="O41" s="147" t="s">
        <v>874</v>
      </c>
      <c r="Q41" s="155">
        <v>4.0</v>
      </c>
      <c r="R41" s="155" t="s">
        <v>873</v>
      </c>
      <c r="S41" s="155">
        <v>1.0</v>
      </c>
      <c r="V41" s="155" t="s">
        <v>873</v>
      </c>
      <c r="W41" s="151"/>
      <c r="X41" s="147">
        <v>4.0</v>
      </c>
      <c r="Y41" s="147">
        <f t="shared" si="12"/>
        <v>1955.608973</v>
      </c>
      <c r="Z41" s="147">
        <f>K19+K19</f>
        <v>10.8</v>
      </c>
      <c r="AA41" s="594">
        <f t="shared" si="13"/>
        <v>0.36</v>
      </c>
      <c r="AB41" s="595">
        <f t="shared" si="14"/>
        <v>2.743616667</v>
      </c>
      <c r="AC41" s="147">
        <f t="shared" si="15"/>
        <v>2</v>
      </c>
      <c r="AD41" s="594">
        <f t="shared" si="16"/>
        <v>5.103616667</v>
      </c>
      <c r="AE41" s="160">
        <f t="shared" si="17"/>
        <v>112320</v>
      </c>
      <c r="AF41" s="160">
        <f t="shared" si="18"/>
        <v>81657.86667</v>
      </c>
      <c r="AG41" s="160">
        <f t="shared" si="19"/>
        <v>112320</v>
      </c>
    </row>
    <row r="42">
      <c r="K42" s="147">
        <v>5.0</v>
      </c>
      <c r="L42" s="147">
        <f t="shared" si="11"/>
        <v>18.7</v>
      </c>
      <c r="M42" s="147">
        <v>6.0</v>
      </c>
      <c r="N42" s="147">
        <v>10.0</v>
      </c>
      <c r="O42" s="147" t="s">
        <v>874</v>
      </c>
    </row>
    <row r="43">
      <c r="K43" s="147">
        <v>6.0</v>
      </c>
      <c r="L43" s="147">
        <f t="shared" si="11"/>
        <v>17.1</v>
      </c>
      <c r="M43" s="147">
        <v>8.0</v>
      </c>
      <c r="N43" s="147">
        <v>10.0</v>
      </c>
      <c r="O43" s="147" t="s">
        <v>874</v>
      </c>
      <c r="AF43" s="155" t="s">
        <v>875</v>
      </c>
      <c r="AG43" s="459">
        <f>AG38*$B$16/4+AG39*500/4+AG40*500/4+AG41*500/4</f>
        <v>116480000</v>
      </c>
    </row>
    <row r="44">
      <c r="K44" s="147">
        <v>7.0</v>
      </c>
      <c r="L44" s="147">
        <f t="shared" si="11"/>
        <v>16.9</v>
      </c>
      <c r="M44" s="147">
        <v>3.0</v>
      </c>
      <c r="N44" s="147">
        <v>9.0</v>
      </c>
      <c r="O44" s="147" t="s">
        <v>874</v>
      </c>
    </row>
    <row r="45">
      <c r="K45" s="147">
        <v>8.0</v>
      </c>
      <c r="L45" s="147">
        <f t="shared" si="11"/>
        <v>16.2</v>
      </c>
      <c r="M45" s="147">
        <v>5.0</v>
      </c>
      <c r="N45" s="147">
        <v>9.0</v>
      </c>
      <c r="O45" s="147" t="s">
        <v>874</v>
      </c>
    </row>
    <row r="46">
      <c r="K46" s="147">
        <v>9.0</v>
      </c>
      <c r="L46" s="147">
        <f t="shared" si="11"/>
        <v>15.7</v>
      </c>
      <c r="M46" s="147">
        <v>6.0</v>
      </c>
      <c r="N46" s="147">
        <v>8.0</v>
      </c>
      <c r="O46" s="147" t="s">
        <v>874</v>
      </c>
    </row>
    <row r="47">
      <c r="K47" s="147">
        <v>10.0</v>
      </c>
      <c r="L47" s="147">
        <f t="shared" si="11"/>
        <v>15.1</v>
      </c>
      <c r="M47" s="147">
        <v>7.0</v>
      </c>
      <c r="N47" s="147">
        <v>9.0</v>
      </c>
      <c r="O47" s="147" t="s">
        <v>874</v>
      </c>
    </row>
    <row r="48">
      <c r="K48" s="147">
        <v>11.0</v>
      </c>
      <c r="L48" s="147">
        <f t="shared" si="11"/>
        <v>14.1</v>
      </c>
      <c r="M48" s="147">
        <v>2.0</v>
      </c>
      <c r="N48" s="147">
        <v>3.0</v>
      </c>
      <c r="O48" s="147" t="s">
        <v>872</v>
      </c>
    </row>
    <row r="49">
      <c r="K49" s="147">
        <v>12.0</v>
      </c>
      <c r="L49" s="147">
        <f t="shared" si="11"/>
        <v>14.1</v>
      </c>
      <c r="M49" s="147">
        <v>2.0</v>
      </c>
      <c r="N49" s="147">
        <v>6.0</v>
      </c>
      <c r="O49" s="147" t="s">
        <v>874</v>
      </c>
    </row>
    <row r="50">
      <c r="K50" s="147">
        <v>13.0</v>
      </c>
      <c r="L50" s="147">
        <f t="shared" si="11"/>
        <v>13.8</v>
      </c>
      <c r="M50" s="147">
        <v>5.0</v>
      </c>
      <c r="N50" s="147">
        <v>6.0</v>
      </c>
      <c r="O50" s="147" t="s">
        <v>874</v>
      </c>
    </row>
    <row r="51">
      <c r="K51" s="147">
        <v>14.0</v>
      </c>
      <c r="L51" s="147">
        <f t="shared" si="11"/>
        <v>13.7</v>
      </c>
      <c r="M51" s="147">
        <v>3.0</v>
      </c>
      <c r="N51" s="147">
        <v>5.0</v>
      </c>
      <c r="O51" s="147" t="s">
        <v>872</v>
      </c>
    </row>
    <row r="52">
      <c r="K52" s="147">
        <v>15.0</v>
      </c>
      <c r="L52" s="147">
        <f t="shared" si="11"/>
        <v>13.1</v>
      </c>
      <c r="M52" s="147">
        <v>5.0</v>
      </c>
      <c r="N52" s="147">
        <v>8.0</v>
      </c>
      <c r="O52" s="147" t="s">
        <v>874</v>
      </c>
    </row>
    <row r="53">
      <c r="K53" s="147">
        <v>16.0</v>
      </c>
      <c r="L53" s="147">
        <f t="shared" si="11"/>
        <v>12.6</v>
      </c>
      <c r="M53" s="147">
        <v>5.0</v>
      </c>
      <c r="N53" s="147">
        <v>10.0</v>
      </c>
      <c r="O53" s="147" t="s">
        <v>874</v>
      </c>
    </row>
    <row r="54">
      <c r="K54" s="147">
        <v>17.0</v>
      </c>
      <c r="L54" s="147">
        <f t="shared" si="11"/>
        <v>12.5</v>
      </c>
      <c r="M54" s="147">
        <v>2.0</v>
      </c>
      <c r="N54" s="147">
        <v>5.0</v>
      </c>
      <c r="O54" s="147" t="s">
        <v>874</v>
      </c>
    </row>
    <row r="55">
      <c r="K55" s="147">
        <v>18.0</v>
      </c>
      <c r="L55" s="147">
        <f t="shared" si="11"/>
        <v>12.5</v>
      </c>
      <c r="M55" s="147">
        <v>7.0</v>
      </c>
      <c r="N55" s="147">
        <v>10.0</v>
      </c>
      <c r="O55" s="147" t="s">
        <v>874</v>
      </c>
    </row>
    <row r="56">
      <c r="K56" s="147">
        <v>19.0</v>
      </c>
      <c r="L56" s="147">
        <f t="shared" si="11"/>
        <v>12.5</v>
      </c>
      <c r="M56" s="147">
        <v>3.0</v>
      </c>
      <c r="N56" s="147">
        <v>8.0</v>
      </c>
      <c r="O56" s="147" t="s">
        <v>874</v>
      </c>
    </row>
    <row r="57">
      <c r="K57" s="147">
        <v>20.0</v>
      </c>
      <c r="L57" s="147">
        <f t="shared" si="11"/>
        <v>12.5</v>
      </c>
      <c r="M57" s="147">
        <v>7.0</v>
      </c>
      <c r="N57" s="147">
        <v>8.0</v>
      </c>
      <c r="O57" s="147" t="s">
        <v>872</v>
      </c>
    </row>
    <row r="58">
      <c r="K58" s="147">
        <v>21.0</v>
      </c>
      <c r="L58" s="147">
        <f t="shared" si="11"/>
        <v>12</v>
      </c>
      <c r="M58" s="147">
        <v>3.0</v>
      </c>
      <c r="N58" s="147">
        <v>10.0</v>
      </c>
      <c r="O58" s="147" t="s">
        <v>874</v>
      </c>
    </row>
    <row r="59">
      <c r="K59" s="147">
        <v>22.0</v>
      </c>
      <c r="L59" s="147">
        <f t="shared" si="11"/>
        <v>11.8</v>
      </c>
      <c r="M59" s="147">
        <v>2.0</v>
      </c>
      <c r="N59" s="147">
        <v>9.0</v>
      </c>
      <c r="O59" s="147" t="s">
        <v>874</v>
      </c>
    </row>
    <row r="60">
      <c r="K60" s="147">
        <v>23.0</v>
      </c>
      <c r="L60" s="147">
        <f t="shared" si="11"/>
        <v>11.1</v>
      </c>
      <c r="M60" s="147">
        <v>4.0</v>
      </c>
      <c r="N60" s="147">
        <v>9.0</v>
      </c>
      <c r="O60" s="147" t="s">
        <v>874</v>
      </c>
    </row>
    <row r="61">
      <c r="K61" s="147">
        <v>24.0</v>
      </c>
      <c r="L61" s="147">
        <f t="shared" si="11"/>
        <v>10.8</v>
      </c>
      <c r="M61" s="147">
        <v>1.0</v>
      </c>
      <c r="N61" s="147">
        <v>2.0</v>
      </c>
      <c r="O61" s="147" t="s">
        <v>874</v>
      </c>
    </row>
    <row r="62">
      <c r="K62" s="147">
        <v>25.0</v>
      </c>
      <c r="L62" s="147">
        <f t="shared" si="11"/>
        <v>10.7</v>
      </c>
      <c r="M62" s="147">
        <v>6.0</v>
      </c>
      <c r="N62" s="147">
        <v>7.0</v>
      </c>
      <c r="O62" s="147" t="s">
        <v>874</v>
      </c>
    </row>
    <row r="63">
      <c r="K63" s="147">
        <v>26.0</v>
      </c>
      <c r="L63" s="147">
        <f t="shared" si="11"/>
        <v>10.1</v>
      </c>
      <c r="M63" s="147">
        <v>2.0</v>
      </c>
      <c r="N63" s="147">
        <v>8.0</v>
      </c>
      <c r="O63" s="147" t="s">
        <v>874</v>
      </c>
    </row>
    <row r="64">
      <c r="K64" s="147">
        <v>27.0</v>
      </c>
      <c r="L64" s="147">
        <f t="shared" si="11"/>
        <v>9.7</v>
      </c>
      <c r="M64" s="147">
        <v>2.0</v>
      </c>
      <c r="N64" s="147">
        <v>10.0</v>
      </c>
      <c r="O64" s="147" t="s">
        <v>874</v>
      </c>
    </row>
    <row r="65">
      <c r="K65" s="147">
        <v>28.0</v>
      </c>
      <c r="L65" s="147">
        <f t="shared" si="11"/>
        <v>9.5</v>
      </c>
      <c r="M65" s="147">
        <v>5.0</v>
      </c>
      <c r="N65" s="147">
        <v>7.0</v>
      </c>
      <c r="O65" s="147" t="s">
        <v>874</v>
      </c>
    </row>
    <row r="66">
      <c r="K66" s="147">
        <v>29.0</v>
      </c>
      <c r="L66" s="147">
        <f t="shared" si="11"/>
        <v>9.3</v>
      </c>
      <c r="M66" s="147">
        <v>2.0</v>
      </c>
      <c r="N66" s="147">
        <v>4.0</v>
      </c>
      <c r="O66" s="147" t="s">
        <v>874</v>
      </c>
    </row>
    <row r="67">
      <c r="K67" s="147">
        <v>30.0</v>
      </c>
      <c r="L67" s="147">
        <f t="shared" si="11"/>
        <v>9.1</v>
      </c>
      <c r="M67" s="147">
        <v>4.0</v>
      </c>
      <c r="N67" s="147">
        <v>5.0</v>
      </c>
      <c r="O67" s="147" t="s">
        <v>874</v>
      </c>
    </row>
    <row r="68">
      <c r="K68" s="147">
        <v>31.0</v>
      </c>
      <c r="L68" s="147">
        <f t="shared" si="11"/>
        <v>9.1</v>
      </c>
      <c r="M68" s="147">
        <v>4.0</v>
      </c>
      <c r="N68" s="147">
        <v>6.0</v>
      </c>
      <c r="O68" s="147" t="s">
        <v>874</v>
      </c>
    </row>
    <row r="69">
      <c r="K69" s="147">
        <v>32.0</v>
      </c>
      <c r="L69" s="147">
        <f t="shared" si="11"/>
        <v>9</v>
      </c>
      <c r="M69" s="147">
        <v>2.0</v>
      </c>
      <c r="N69" s="147">
        <v>7.0</v>
      </c>
      <c r="O69" s="147" t="s">
        <v>874</v>
      </c>
    </row>
    <row r="70">
      <c r="K70" s="147">
        <v>33.0</v>
      </c>
      <c r="L70" s="147">
        <f t="shared" si="11"/>
        <v>8.7</v>
      </c>
      <c r="M70" s="147">
        <v>1.0</v>
      </c>
      <c r="N70" s="147">
        <v>6.0</v>
      </c>
      <c r="O70" s="147" t="s">
        <v>874</v>
      </c>
    </row>
    <row r="71">
      <c r="K71" s="147">
        <v>34.0</v>
      </c>
      <c r="L71" s="147">
        <f t="shared" si="11"/>
        <v>8.7</v>
      </c>
      <c r="M71" s="147">
        <v>3.0</v>
      </c>
      <c r="N71" s="147">
        <v>7.0</v>
      </c>
      <c r="O71" s="147" t="s">
        <v>874</v>
      </c>
    </row>
    <row r="72">
      <c r="K72" s="147">
        <v>35.0</v>
      </c>
      <c r="L72" s="147">
        <f t="shared" si="11"/>
        <v>8.6</v>
      </c>
      <c r="M72" s="147">
        <v>1.0</v>
      </c>
      <c r="N72" s="147">
        <v>3.0</v>
      </c>
      <c r="O72" s="147" t="s">
        <v>874</v>
      </c>
    </row>
    <row r="73">
      <c r="K73" s="147">
        <v>36.0</v>
      </c>
      <c r="L73" s="147">
        <f t="shared" si="11"/>
        <v>8.4</v>
      </c>
      <c r="M73" s="147">
        <v>3.0</v>
      </c>
      <c r="N73" s="147">
        <v>4.0</v>
      </c>
      <c r="O73" s="147" t="s">
        <v>874</v>
      </c>
    </row>
    <row r="74">
      <c r="K74" s="147">
        <v>37.0</v>
      </c>
      <c r="L74" s="147">
        <f t="shared" si="11"/>
        <v>8</v>
      </c>
      <c r="M74" s="147">
        <v>4.0</v>
      </c>
      <c r="N74" s="147">
        <v>8.0</v>
      </c>
      <c r="O74" s="147" t="s">
        <v>874</v>
      </c>
    </row>
    <row r="75">
      <c r="K75" s="147">
        <v>38.0</v>
      </c>
      <c r="L75" s="147">
        <f t="shared" si="11"/>
        <v>7.6</v>
      </c>
      <c r="M75" s="147">
        <v>1.0</v>
      </c>
      <c r="N75" s="147">
        <v>5.0</v>
      </c>
      <c r="O75" s="147" t="s">
        <v>874</v>
      </c>
    </row>
    <row r="76">
      <c r="K76" s="147">
        <v>39.0</v>
      </c>
      <c r="L76" s="147">
        <f t="shared" si="11"/>
        <v>7.5</v>
      </c>
      <c r="M76" s="147">
        <v>4.0</v>
      </c>
      <c r="N76" s="147">
        <v>10.0</v>
      </c>
      <c r="O76" s="147" t="s">
        <v>874</v>
      </c>
    </row>
    <row r="77">
      <c r="K77" s="147">
        <v>40.0</v>
      </c>
      <c r="L77" s="147">
        <f t="shared" si="11"/>
        <v>7.2</v>
      </c>
      <c r="M77" s="147">
        <v>4.0</v>
      </c>
      <c r="N77" s="147">
        <v>7.0</v>
      </c>
      <c r="O77" s="147" t="s">
        <v>872</v>
      </c>
    </row>
    <row r="78">
      <c r="K78" s="147">
        <v>41.0</v>
      </c>
      <c r="L78" s="147">
        <f t="shared" si="11"/>
        <v>7.2</v>
      </c>
      <c r="M78" s="147">
        <v>1.0</v>
      </c>
      <c r="N78" s="147">
        <v>4.0</v>
      </c>
      <c r="O78" s="147"/>
    </row>
  </sheetData>
  <mergeCells count="5">
    <mergeCell ref="J23:T23"/>
    <mergeCell ref="Z36:AD36"/>
    <mergeCell ref="AE36:AG36"/>
    <mergeCell ref="M37:N37"/>
    <mergeCell ref="W37:W41"/>
  </mergeCells>
  <conditionalFormatting sqref="K25:S34">
    <cfRule type="colorScale" priority="1">
      <colorScale>
        <cfvo type="min"/>
        <cfvo type="percentile" val="50"/>
        <cfvo type="max"/>
        <color rgb="FF57BB8A"/>
        <color rgb="FFFFD666"/>
        <color rgb="FFE67C73"/>
      </colorScale>
    </cfRule>
  </conditionalFormatting>
  <conditionalFormatting sqref="AA38:AA41">
    <cfRule type="cellIs" dxfId="0" priority="2" operator="lessThanOrEqual">
      <formula>6</formula>
    </cfRule>
  </conditionalFormatting>
  <hyperlinks>
    <hyperlink r:id="rId2" ref="A8"/>
  </hyperlinks>
  <drawing r:id="rId3"/>
  <legacyDrawing r:id="rId4"/>
  <tableParts count="1">
    <tablePart r:id="rId6"/>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2019-11-05T21:02:21Z</dcterms:created>
  <dc:creator>josearteaga10@hotmail.com</dc:creator>
</cp:coreProperties>
</file>