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fre\Desktop\Data analysis\Excel_Data_Analytics_Course\Day 3\"/>
    </mc:Choice>
  </mc:AlternateContent>
  <xr:revisionPtr revIDLastSave="0" documentId="13_ncr:1_{D2CD0A2E-C67F-467D-93D4-9C37C136CB71}" xr6:coauthVersionLast="47" xr6:coauthVersionMax="47" xr10:uidLastSave="{00000000-0000-0000-0000-000000000000}"/>
  <bookViews>
    <workbookView xWindow="-120" yWindow="-120" windowWidth="29040" windowHeight="15720" activeTab="1" xr2:uid="{B0932D5D-A0E9-4D8D-820B-B26D569180E6}"/>
  </bookViews>
  <sheets>
    <sheet name="شامل 1" sheetId="2" r:id="rId1"/>
    <sheet name="شامل 2" sheetId="3" r:id="rId2"/>
  </sheets>
  <definedNames>
    <definedName name="_xlnm._FilterDatabase" localSheetId="1" hidden="1">'شامل 2'!$A$41:$I$41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K2" i="3"/>
  <c r="L2" i="3" s="1"/>
  <c r="J3" i="3"/>
  <c r="K3" i="3"/>
  <c r="L3" i="3" s="1"/>
  <c r="J4" i="3"/>
  <c r="K4" i="3"/>
  <c r="L4" i="3" s="1"/>
  <c r="M4" i="3" s="1"/>
  <c r="J5" i="3"/>
  <c r="K5" i="3"/>
  <c r="L5" i="3" s="1"/>
  <c r="M5" i="3" s="1"/>
  <c r="J6" i="3"/>
  <c r="K6" i="3"/>
  <c r="L6" i="3" s="1"/>
  <c r="M6" i="3" s="1"/>
  <c r="J7" i="3"/>
  <c r="K7" i="3"/>
  <c r="L7" i="3" s="1"/>
  <c r="M7" i="3" s="1"/>
  <c r="J8" i="3"/>
  <c r="K8" i="3"/>
  <c r="L8" i="3" s="1"/>
  <c r="M8" i="3" s="1"/>
  <c r="J9" i="3"/>
  <c r="K9" i="3"/>
  <c r="L9" i="3" s="1"/>
  <c r="M9" i="3" s="1"/>
  <c r="J10" i="3"/>
  <c r="K10" i="3"/>
  <c r="L10" i="3" s="1"/>
  <c r="M10" i="3" s="1"/>
  <c r="J11" i="3"/>
  <c r="K11" i="3"/>
  <c r="L11" i="3" s="1"/>
  <c r="M11" i="3" s="1"/>
  <c r="M3" i="3" l="1"/>
  <c r="A32" i="3"/>
  <c r="I20" i="2"/>
  <c r="H20" i="2"/>
  <c r="G20" i="2"/>
  <c r="F20" i="2"/>
  <c r="E20" i="2"/>
  <c r="D21" i="2"/>
  <c r="D22" i="2"/>
  <c r="D23" i="2"/>
  <c r="D20" i="2"/>
  <c r="C21" i="2"/>
  <c r="C22" i="2"/>
  <c r="C23" i="2"/>
  <c r="C20" i="2"/>
  <c r="B21" i="2"/>
  <c r="B22" i="2"/>
  <c r="B23" i="2"/>
  <c r="B20" i="2"/>
  <c r="A20" i="2" a="1"/>
  <c r="A20" i="2" s="1"/>
  <c r="B15" i="2"/>
  <c r="B16" i="2"/>
  <c r="B14" i="2"/>
  <c r="A14" i="2" a="1"/>
  <c r="A14" i="2" s="1"/>
  <c r="C14" i="2" s="1"/>
  <c r="A42" i="3" l="1" a="1"/>
  <c r="A42" i="3" s="1"/>
  <c r="A17" i="3" a="1"/>
  <c r="C16" i="2"/>
  <c r="C15" i="2"/>
  <c r="A17" i="3" l="1"/>
  <c r="B20" i="3"/>
  <c r="B19" i="3"/>
  <c r="B18" i="3"/>
  <c r="C20" i="3"/>
  <c r="C19" i="3"/>
  <c r="C18" i="3"/>
  <c r="A27" i="3" a="1"/>
  <c r="A27" i="3" s="1"/>
  <c r="E32" i="3" l="1"/>
  <c r="B27" i="3"/>
  <c r="B17" i="3"/>
  <c r="B32" i="3" l="1"/>
  <c r="D32" i="3" l="1"/>
  <c r="C32" i="3" l="1"/>
  <c r="D27" i="3"/>
  <c r="C17" i="3"/>
  <c r="M2" i="3" l="1"/>
  <c r="C27" i="3" s="1"/>
  <c r="F3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<sst xmlns="http://schemas.openxmlformats.org/spreadsheetml/2006/main" count="118" uniqueCount="84">
  <si>
    <t>القسم</t>
  </si>
  <si>
    <t>تاريخ التعيين</t>
  </si>
  <si>
    <t>الراتب الأساسي</t>
  </si>
  <si>
    <t>نورة القحطاني</t>
  </si>
  <si>
    <t>سعد الأحمدي</t>
  </si>
  <si>
    <t>عمر السيد</t>
  </si>
  <si>
    <t>مها العتيبي</t>
  </si>
  <si>
    <t>علي حسن</t>
  </si>
  <si>
    <t>ليلى مراد</t>
  </si>
  <si>
    <t>إجمالي عدد الموظفين</t>
  </si>
  <si>
    <t>تكلفة الاشتراك الشهري</t>
  </si>
  <si>
    <t>NULL</t>
  </si>
  <si>
    <t>اسم العميل</t>
  </si>
  <si>
    <t xml:space="preserve">المدينة </t>
  </si>
  <si>
    <t xml:space="preserve">تاريخ الاشتراك </t>
  </si>
  <si>
    <t xml:space="preserve">Omar Said </t>
  </si>
  <si>
    <t xml:space="preserve">Fatima Khan </t>
  </si>
  <si>
    <t xml:space="preserve">Noora Saad </t>
  </si>
  <si>
    <t xml:space="preserve">LAYLA MURAD </t>
  </si>
  <si>
    <t xml:space="preserve">Ahmed Ali </t>
  </si>
  <si>
    <t xml:space="preserve">ali hassan </t>
  </si>
  <si>
    <t xml:space="preserve">Saad Ahmed </t>
  </si>
  <si>
    <t>riyadh</t>
  </si>
  <si>
    <t>DAMMAM</t>
  </si>
  <si>
    <t>اسم الباقة</t>
  </si>
  <si>
    <t>حجم الباقة</t>
  </si>
  <si>
    <t xml:space="preserve">الحالة </t>
  </si>
  <si>
    <t xml:space="preserve">Basic </t>
  </si>
  <si>
    <t xml:space="preserve">Premium </t>
  </si>
  <si>
    <t xml:space="preserve">Pro </t>
  </si>
  <si>
    <t>غير معروف</t>
  </si>
  <si>
    <t>jeddah</t>
  </si>
  <si>
    <t/>
  </si>
  <si>
    <t>ACTIVE</t>
  </si>
  <si>
    <t>CANCELED</t>
  </si>
  <si>
    <t>ملخص الاشتراكات حسب المدينة</t>
  </si>
  <si>
    <t>المدينة (مرتبة)</t>
  </si>
  <si>
    <t>عدد المشتركين</t>
  </si>
  <si>
    <t>إجمالي الإيرادات الشهرية</t>
  </si>
  <si>
    <t>تحليل أداء الباقات</t>
  </si>
  <si>
    <t>اسم الباقة (مرتب)</t>
  </si>
  <si>
    <t>متوسط التكلفة الشهرية</t>
  </si>
  <si>
    <t>أعلى تكلفة لهذه الباقة</t>
  </si>
  <si>
    <t>أقل تكلفة لهذه الباقة</t>
  </si>
  <si>
    <t>إجمالي عدد العملاء</t>
  </si>
  <si>
    <t>عدد العملاء الذين لديهم تاريخ اشتراك معروف</t>
  </si>
  <si>
    <t>إجمالي الإيرادات الشهرية من العملاء النشطين</t>
  </si>
  <si>
    <t>كم عدد العملاء النشطين في مدينة "Riyadh" مشتركين في باقة "Premium"؟</t>
  </si>
  <si>
    <t>ما هو إجمالي الإيرادات من الباقات التي حجمها أكبر من 50 GB</t>
  </si>
  <si>
    <t>معرف الموظف</t>
  </si>
  <si>
    <t>الاسم الكامل</t>
  </si>
  <si>
    <t>المنطقة</t>
  </si>
  <si>
    <t>مبيعات الربع الأخير</t>
  </si>
  <si>
    <t>تقييم الأداء (من 5)</t>
  </si>
  <si>
    <t>آخر تاريخ للمراجعة</t>
  </si>
  <si>
    <t>الرياض</t>
  </si>
  <si>
    <t>جدة</t>
  </si>
  <si>
    <t>الدمام</t>
  </si>
  <si>
    <t>خالد الغامدي</t>
  </si>
  <si>
    <t>فاطمة الزهراني</t>
  </si>
  <si>
    <t>يوسف الأحمدي</t>
  </si>
  <si>
    <t>سارة عبدالله</t>
  </si>
  <si>
    <t>كود الموظف</t>
  </si>
  <si>
    <t>Sales</t>
  </si>
  <si>
    <t>Marketing</t>
  </si>
  <si>
    <t>Customer Service</t>
  </si>
  <si>
    <t>Human Resources</t>
  </si>
  <si>
    <t>سنوات الخدمة</t>
  </si>
  <si>
    <t>أهلية المكافأة</t>
  </si>
  <si>
    <t>مبلغ المكافأة</t>
  </si>
  <si>
    <t>إجمالي الرواتب الأساسية المدفوعة</t>
  </si>
  <si>
    <t>متوسط تقييم الأداء لكل الموظفين</t>
  </si>
  <si>
    <t>أعلى مبلغ مبيعات تم تحقيقه</t>
  </si>
  <si>
    <t>أقدم تاريخ تعيين في الشركة</t>
  </si>
  <si>
    <t>عدد أيام العمل بين أقدم وأحدث تاريخ مراجعة</t>
  </si>
  <si>
    <t>تحليل الأقسام</t>
  </si>
  <si>
    <t>متوسط الراتب</t>
  </si>
  <si>
    <t>الأقسام مرتبة</t>
  </si>
  <si>
    <t>متوسط التقييم</t>
  </si>
  <si>
    <t>من هو الموظف صاحب أعلى راتب في فرع "الرياض"</t>
  </si>
  <si>
    <t> إجمالي مبيعات الموظفين الذين تم تعيينهم بعد تاريخ 1-Jan-2022</t>
  </si>
  <si>
    <t>إجمالي مكافآت قسم "المبيعات" في "الرياض" فقط</t>
  </si>
  <si>
    <t xml:space="preserve"> إجمالي الرواتب المدفوعة للموظفين الذين تقييمهم 4 أو 5</t>
  </si>
  <si>
    <t xml:space="preserve"> أعلى 5 موظفين بناءً على مبيعات الربع الأخير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</si>
</sst>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[$-F800]dddd\,\ mmmm\ dd\,\ yyyy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C1E"/>
      <name val="Arial"/>
      <family val="2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rgb="FF1A1C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185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85" fontId="0" fillId="0" borderId="2" xfId="0" applyNumberFormat="1" applyBorder="1" applyAlignment="1">
      <alignment horizontal="center"/>
    </xf>
    <xf numFmtId="185" fontId="0" fillId="0" borderId="0" xfId="0" applyNumberFormat="1"/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6" borderId="2" xfId="0" applyFont="1" applyFill="1" applyBorder="1" applyAlignment="1"/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5" fillId="5" borderId="8" xfId="0" applyFont="1" applyFill="1" applyBorder="1" applyAlignment="1"/>
    <xf numFmtId="185" fontId="5" fillId="5" borderId="8" xfId="0" applyNumberFormat="1" applyFont="1" applyFill="1" applyBorder="1" applyAlignment="1"/>
    <xf numFmtId="0" fontId="0" fillId="5" borderId="6" xfId="0" applyFill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85" fontId="0" fillId="0" borderId="10" xfId="0" applyNumberFormat="1" applyFont="1" applyBorder="1" applyAlignment="1">
      <alignment horizontal="center"/>
    </xf>
    <xf numFmtId="15" fontId="0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8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 style="double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numFmt numFmtId="185" formatCode="[$-F800]dddd\,\ mmmm\ dd\,\ yyyy"/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85" formatCode="[$-F800]dddd\,\ mmmm\ dd\,\ yyyy"/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bottom style="double">
          <color indexed="64"/>
        </bottom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2CFDF-34CA-4969-8551-FC36097D6716}" name="Table1" displayName="Table1" ref="A1:M11" totalsRowShown="0" headerRowDxfId="16" headerRowBorderDxfId="14" tableBorderDxfId="15" totalsRowBorderDxfId="13">
  <autoFilter ref="A1:M11" xr:uid="{5B02CFDF-34CA-4969-8551-FC36097D6716}"/>
  <tableColumns count="13">
    <tableColumn id="1" xr3:uid="{783A1F2D-DAAF-41A0-A970-F22FA64E9CD1}" name="معرف الموظف" dataDxfId="12"/>
    <tableColumn id="2" xr3:uid="{AF582670-22D0-4CE7-9243-4499F8667024}" name="الاسم الكامل" dataDxfId="11"/>
    <tableColumn id="3" xr3:uid="{8BB4AF9E-FD52-49AF-AF1E-343E9FD7A1DA}" name="القسم" dataDxfId="10"/>
    <tableColumn id="4" xr3:uid="{C2803164-2C98-4319-BE67-C9E2BD0EB84B}" name="المنطقة" dataDxfId="9"/>
    <tableColumn id="5" xr3:uid="{15AAB7D4-6144-43FE-8EFF-BD42884A2558}" name="تاريخ التعيين" dataDxfId="8"/>
    <tableColumn id="6" xr3:uid="{DAB5A154-95CF-439E-9A06-77A2154D9381}" name="الراتب الأساسي" dataDxfId="7"/>
    <tableColumn id="7" xr3:uid="{306804C3-D489-4730-AB8B-58A3350094F8}" name="مبيعات الربع الأخير" dataDxfId="6"/>
    <tableColumn id="8" xr3:uid="{2061F038-C964-4252-B4C4-3763BE6E9634}" name="تقييم الأداء (من 5)" dataDxfId="5"/>
    <tableColumn id="9" xr3:uid="{2E078D64-8014-455A-85FB-3AD7F5276F9B}" name="آخر تاريخ للمراجعة" dataDxfId="4"/>
    <tableColumn id="10" xr3:uid="{CF193C58-D8D4-4387-88C8-82136E6ECA08}" name="كود الموظف" dataDxfId="3">
      <calculatedColumnFormula>LEFT(C2, 2)&amp;"-"&amp;A2</calculatedColumnFormula>
    </tableColumn>
    <tableColumn id="11" xr3:uid="{EC8E9182-773E-4BEA-ADE6-BE79E92CA258}" name="سنوات الخدمة" dataDxfId="2">
      <calculatedColumnFormula>YEAR(TODAY()) - YEAR(E2)</calculatedColumnFormula>
    </tableColumn>
    <tableColumn id="12" xr3:uid="{4EEA466F-FED5-48A3-B019-58B8471A1FDE}" name="أهلية المكافأة" dataDxfId="1">
      <calculatedColumnFormula>IF(AND(C2="Sales", K2&gt;3), "مؤهل", "غير مؤهل")</calculatedColumnFormula>
    </tableColumn>
    <tableColumn id="13" xr3:uid="{198101DC-9562-4D43-B6FE-08CAF71BCDD5}" name="مبلغ المكافأة" dataDxfId="0">
      <calculatedColumnFormula>IF(L2="مؤهل",2%*G2,"0")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5FC7-C302-4AF6-A810-26E62655F521}">
  <dimension ref="A1:I25"/>
  <sheetViews>
    <sheetView rightToLeft="1" zoomScale="90" zoomScaleNormal="90"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22.85546875" customWidth="1"/>
    <col min="3" max="4" width="18.7109375" customWidth="1"/>
    <col min="5" max="5" width="14.140625" bestFit="1" customWidth="1"/>
    <col min="6" max="6" width="45.140625" bestFit="1" customWidth="1"/>
    <col min="7" max="7" width="34.42578125" bestFit="1" customWidth="1"/>
    <col min="8" max="9" width="55.7109375" bestFit="1" customWidth="1"/>
    <col min="13" max="13" width="11.7109375" bestFit="1" customWidth="1"/>
    <col min="14" max="14" width="11.28515625" bestFit="1" customWidth="1"/>
    <col min="15" max="15" width="16.5703125" bestFit="1" customWidth="1"/>
  </cols>
  <sheetData>
    <row r="1" spans="1:7" ht="18.75" x14ac:dyDescent="0.3">
      <c r="A1" s="3" t="s">
        <v>12</v>
      </c>
      <c r="B1" s="3" t="s">
        <v>13</v>
      </c>
      <c r="C1" s="3" t="s">
        <v>14</v>
      </c>
      <c r="D1" s="3" t="s">
        <v>24</v>
      </c>
      <c r="E1" s="3" t="s">
        <v>25</v>
      </c>
      <c r="F1" s="3" t="s">
        <v>10</v>
      </c>
      <c r="G1" s="3" t="s">
        <v>26</v>
      </c>
    </row>
    <row r="2" spans="1:7" x14ac:dyDescent="0.25">
      <c r="A2" s="4" t="s">
        <v>19</v>
      </c>
      <c r="B2" s="4" t="s">
        <v>31</v>
      </c>
      <c r="C2" s="5">
        <v>44586</v>
      </c>
      <c r="D2" s="4" t="s">
        <v>27</v>
      </c>
      <c r="E2" s="4">
        <v>50</v>
      </c>
      <c r="F2" s="4">
        <v>150</v>
      </c>
      <c r="G2" s="4" t="s">
        <v>33</v>
      </c>
    </row>
    <row r="3" spans="1:7" x14ac:dyDescent="0.25">
      <c r="A3" s="4" t="s">
        <v>16</v>
      </c>
      <c r="B3" s="4" t="s">
        <v>22</v>
      </c>
      <c r="C3" s="5">
        <v>44995</v>
      </c>
      <c r="D3" s="4" t="s">
        <v>28</v>
      </c>
      <c r="E3" s="4">
        <v>200</v>
      </c>
      <c r="F3" s="4">
        <v>350</v>
      </c>
      <c r="G3" s="4" t="s">
        <v>33</v>
      </c>
    </row>
    <row r="4" spans="1:7" x14ac:dyDescent="0.25">
      <c r="A4" s="4" t="s">
        <v>15</v>
      </c>
      <c r="B4" s="4" t="s">
        <v>23</v>
      </c>
      <c r="C4" s="5">
        <v>44597</v>
      </c>
      <c r="D4" s="4" t="s">
        <v>27</v>
      </c>
      <c r="E4" s="4">
        <v>50</v>
      </c>
      <c r="F4" s="4">
        <v>150</v>
      </c>
      <c r="G4" s="4" t="s">
        <v>34</v>
      </c>
    </row>
    <row r="5" spans="1:7" x14ac:dyDescent="0.25">
      <c r="A5" s="4" t="s">
        <v>17</v>
      </c>
      <c r="B5" s="4" t="s">
        <v>22</v>
      </c>
      <c r="C5" s="4" t="s">
        <v>30</v>
      </c>
      <c r="D5" s="4" t="s">
        <v>29</v>
      </c>
      <c r="E5" s="4">
        <v>100</v>
      </c>
      <c r="F5" s="4">
        <v>250</v>
      </c>
      <c r="G5" s="4" t="s">
        <v>33</v>
      </c>
    </row>
    <row r="6" spans="1:7" x14ac:dyDescent="0.25">
      <c r="A6" s="4" t="s">
        <v>20</v>
      </c>
      <c r="B6" s="4" t="s">
        <v>31</v>
      </c>
      <c r="C6" s="5">
        <v>44866</v>
      </c>
      <c r="D6" s="4" t="s">
        <v>28</v>
      </c>
      <c r="E6" s="4">
        <v>200</v>
      </c>
      <c r="F6" s="4">
        <v>350</v>
      </c>
      <c r="G6" s="4" t="s">
        <v>33</v>
      </c>
    </row>
    <row r="7" spans="1:7" x14ac:dyDescent="0.25">
      <c r="A7" s="4" t="s">
        <v>18</v>
      </c>
      <c r="B7" s="4" t="s">
        <v>23</v>
      </c>
      <c r="C7" s="5">
        <v>44979</v>
      </c>
      <c r="D7" s="4" t="s">
        <v>29</v>
      </c>
      <c r="E7" s="4">
        <v>100</v>
      </c>
      <c r="F7" s="4">
        <v>250</v>
      </c>
      <c r="G7" s="4" t="s">
        <v>33</v>
      </c>
    </row>
    <row r="8" spans="1:7" x14ac:dyDescent="0.25">
      <c r="A8" s="4" t="s">
        <v>21</v>
      </c>
      <c r="B8" s="4" t="s">
        <v>31</v>
      </c>
      <c r="C8" s="5">
        <v>44635</v>
      </c>
      <c r="D8" s="4" t="s">
        <v>11</v>
      </c>
      <c r="E8" s="4" t="s">
        <v>32</v>
      </c>
      <c r="F8" s="4">
        <v>150</v>
      </c>
      <c r="G8" s="4" t="s">
        <v>34</v>
      </c>
    </row>
    <row r="12" spans="1:7" ht="18.75" x14ac:dyDescent="0.3">
      <c r="A12" s="1" t="s">
        <v>35</v>
      </c>
      <c r="B12" s="1"/>
      <c r="C12" s="1"/>
    </row>
    <row r="13" spans="1:7" ht="18.75" x14ac:dyDescent="0.3">
      <c r="A13" s="1" t="s">
        <v>36</v>
      </c>
      <c r="B13" s="1" t="s">
        <v>37</v>
      </c>
      <c r="C13" s="1" t="s">
        <v>38</v>
      </c>
    </row>
    <row r="14" spans="1:7" x14ac:dyDescent="0.25">
      <c r="A14" s="4" t="str" cm="1">
        <f t="array" ref="A14:A16">_xlfn._xlws.SORT(_xlfn.UNIQUE(B2:B8))</f>
        <v>DAMMAM</v>
      </c>
      <c r="B14" s="4">
        <f>COUNTIF(G2:G8,G2)</f>
        <v>5</v>
      </c>
      <c r="C14" s="4">
        <f>SUMIF(B2:B8,A14,F2:F8)</f>
        <v>400</v>
      </c>
    </row>
    <row r="15" spans="1:7" x14ac:dyDescent="0.25">
      <c r="A15" s="4" t="str">
        <v>jeddah</v>
      </c>
      <c r="B15" s="4">
        <f t="shared" ref="B15:B16" si="0">COUNTIF(G3:G9,G3)</f>
        <v>4</v>
      </c>
      <c r="C15" s="4">
        <f t="shared" ref="C15:C16" si="1">SUMIF(B3:B9,A15,F3:F9)</f>
        <v>500</v>
      </c>
    </row>
    <row r="16" spans="1:7" x14ac:dyDescent="0.25">
      <c r="A16" s="4" t="str">
        <v>riyadh</v>
      </c>
      <c r="B16" s="4">
        <f t="shared" si="0"/>
        <v>2</v>
      </c>
      <c r="C16" s="4">
        <f t="shared" si="1"/>
        <v>250</v>
      </c>
    </row>
    <row r="18" spans="1:9" ht="15.75" x14ac:dyDescent="0.25">
      <c r="A18" s="7" t="s">
        <v>39</v>
      </c>
      <c r="B18" s="2"/>
      <c r="C18" s="2"/>
      <c r="D18" s="2"/>
      <c r="E18" s="2"/>
      <c r="F18" s="2"/>
      <c r="G18" s="2"/>
      <c r="H18" s="2"/>
      <c r="I18" s="2"/>
    </row>
    <row r="19" spans="1:9" ht="15.75" x14ac:dyDescent="0.25">
      <c r="A19" s="8" t="s">
        <v>40</v>
      </c>
      <c r="B19" s="8" t="s">
        <v>41</v>
      </c>
      <c r="C19" s="8" t="s">
        <v>42</v>
      </c>
      <c r="D19" s="8" t="s">
        <v>43</v>
      </c>
      <c r="E19" s="8" t="s">
        <v>44</v>
      </c>
      <c r="F19" s="8" t="s">
        <v>45</v>
      </c>
      <c r="G19" s="9" t="s">
        <v>46</v>
      </c>
      <c r="H19" s="8" t="s">
        <v>47</v>
      </c>
      <c r="I19" s="8" t="s">
        <v>48</v>
      </c>
    </row>
    <row r="20" spans="1:9" x14ac:dyDescent="0.25">
      <c r="A20" s="4" t="str" cm="1">
        <f t="array" ref="A20:A23">_xlfn._xlws.SORT(_xlfn.UNIQUE(D2:D8))</f>
        <v xml:space="preserve">Basic </v>
      </c>
      <c r="B20" s="6">
        <f>AVERAGEIF($D$2:$D$8,A20,$F$2:$F$8)</f>
        <v>150</v>
      </c>
      <c r="C20" s="4">
        <f>_xlfn.MAXIFS($F$2:$F$8,$D$2:$D$8,A20)</f>
        <v>150</v>
      </c>
      <c r="D20" s="4">
        <f>_xlfn.MINIFS($F$2:$F$8,$D$2:$D$8,A20)</f>
        <v>150</v>
      </c>
      <c r="E20" s="4">
        <f>COUNTA(A2:A8)</f>
        <v>7</v>
      </c>
      <c r="F20" s="4">
        <f>COUNT(C2:C8)</f>
        <v>6</v>
      </c>
      <c r="G20" s="4">
        <f>SUMIF(G2:G8,G2,F2:F8)</f>
        <v>1350</v>
      </c>
      <c r="H20" s="4">
        <f>COUNTIFS(B2:B8,B3,D2:D8,D6)</f>
        <v>1</v>
      </c>
      <c r="I20" s="4">
        <f>SUMIF(E2:E7, "&gt;50",F2:F8)</f>
        <v>1200</v>
      </c>
    </row>
    <row r="21" spans="1:9" x14ac:dyDescent="0.25">
      <c r="A21" s="4" t="str">
        <v>NULL</v>
      </c>
      <c r="B21" s="6">
        <f t="shared" ref="B21:B23" si="2">AVERAGEIF($D$2:$D$8,A21,$F$2:$F$8)</f>
        <v>150</v>
      </c>
      <c r="C21" s="4">
        <f t="shared" ref="C21:C23" si="3">_xlfn.MAXIFS($F$2:$F$8,$D$2:$D$8,A21)</f>
        <v>150</v>
      </c>
      <c r="D21" s="4">
        <f t="shared" ref="D21:D23" si="4">_xlfn.MINIFS($F$2:$F$8,$D$2:$D$8,A21)</f>
        <v>150</v>
      </c>
      <c r="E21" s="4"/>
      <c r="F21" s="4"/>
      <c r="G21" s="4"/>
      <c r="H21" s="4"/>
      <c r="I21" s="4"/>
    </row>
    <row r="22" spans="1:9" x14ac:dyDescent="0.25">
      <c r="A22" s="4" t="str">
        <v xml:space="preserve">Premium </v>
      </c>
      <c r="B22" s="6">
        <f t="shared" si="2"/>
        <v>350</v>
      </c>
      <c r="C22" s="4">
        <f t="shared" si="3"/>
        <v>350</v>
      </c>
      <c r="D22" s="4">
        <f t="shared" si="4"/>
        <v>350</v>
      </c>
      <c r="E22" s="4"/>
      <c r="F22" s="4"/>
      <c r="G22" s="4"/>
      <c r="H22" s="4"/>
      <c r="I22" s="4"/>
    </row>
    <row r="23" spans="1:9" x14ac:dyDescent="0.25">
      <c r="A23" s="4" t="str">
        <v xml:space="preserve">Pro </v>
      </c>
      <c r="B23" s="6">
        <f t="shared" si="2"/>
        <v>250</v>
      </c>
      <c r="C23" s="4">
        <f t="shared" si="3"/>
        <v>250</v>
      </c>
      <c r="D23" s="4">
        <f t="shared" si="4"/>
        <v>250</v>
      </c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2C3-266B-40B0-BB6A-5E20B9EAA291}">
  <dimension ref="A1:M47"/>
  <sheetViews>
    <sheetView rightToLeft="1" tabSelected="1" zoomScale="55" zoomScaleNormal="55" workbookViewId="0">
      <selection activeCell="D32" sqref="D32"/>
    </sheetView>
  </sheetViews>
  <sheetFormatPr defaultRowHeight="15" x14ac:dyDescent="0.25"/>
  <cols>
    <col min="1" max="1" width="45.5703125" bestFit="1" customWidth="1"/>
    <col min="2" max="2" width="87.28515625" customWidth="1"/>
    <col min="3" max="3" width="64.7109375" bestFit="1" customWidth="1"/>
    <col min="4" max="4" width="76" bestFit="1" customWidth="1"/>
    <col min="5" max="5" width="43.7109375" bestFit="1" customWidth="1"/>
    <col min="6" max="6" width="54.85546875" bestFit="1" customWidth="1"/>
    <col min="7" max="7" width="39.5703125" customWidth="1"/>
    <col min="8" max="8" width="36.7109375" customWidth="1"/>
    <col min="9" max="9" width="30.5703125" customWidth="1"/>
    <col min="10" max="10" width="28.42578125" bestFit="1" customWidth="1"/>
    <col min="11" max="11" width="28.85546875" style="21" customWidth="1"/>
    <col min="12" max="12" width="16.42578125" customWidth="1"/>
    <col min="13" max="13" width="29.85546875" bestFit="1" customWidth="1"/>
  </cols>
  <sheetData>
    <row r="1" spans="1:13" ht="21.75" thickBot="1" x14ac:dyDescent="0.4">
      <c r="A1" s="34" t="s">
        <v>49</v>
      </c>
      <c r="B1" s="35" t="s">
        <v>50</v>
      </c>
      <c r="C1" s="35" t="s">
        <v>0</v>
      </c>
      <c r="D1" s="35" t="s">
        <v>51</v>
      </c>
      <c r="E1" s="35" t="s">
        <v>1</v>
      </c>
      <c r="F1" s="35" t="s">
        <v>2</v>
      </c>
      <c r="G1" s="35" t="s">
        <v>52</v>
      </c>
      <c r="H1" s="35" t="s">
        <v>53</v>
      </c>
      <c r="I1" s="36" t="s">
        <v>54</v>
      </c>
      <c r="J1" s="36" t="s">
        <v>62</v>
      </c>
      <c r="K1" s="37" t="s">
        <v>67</v>
      </c>
      <c r="L1" s="36" t="s">
        <v>68</v>
      </c>
      <c r="M1" s="38" t="s">
        <v>69</v>
      </c>
    </row>
    <row r="2" spans="1:13" ht="16.5" thickTop="1" thickBot="1" x14ac:dyDescent="0.3">
      <c r="A2" s="32">
        <v>101</v>
      </c>
      <c r="B2" s="11" t="s">
        <v>3</v>
      </c>
      <c r="C2" s="11" t="s">
        <v>63</v>
      </c>
      <c r="D2" s="11" t="s">
        <v>55</v>
      </c>
      <c r="E2" s="13">
        <v>44211</v>
      </c>
      <c r="F2" s="11">
        <v>12500</v>
      </c>
      <c r="G2" s="11">
        <v>280000</v>
      </c>
      <c r="H2" s="11">
        <v>5</v>
      </c>
      <c r="I2" s="12">
        <v>45261</v>
      </c>
      <c r="J2" s="14" t="str">
        <f>LEFT(C2, 2)&amp;"-"&amp;A2</f>
        <v>Sa-101</v>
      </c>
      <c r="K2" s="20">
        <f ca="1">YEAR(TODAY()) - YEAR(E2)</f>
        <v>4</v>
      </c>
      <c r="L2" s="14" t="str">
        <f ca="1">IF(AND(C2="Sales", K2&gt;3), "مؤهل", "غير مؤهل")</f>
        <v>مؤهل</v>
      </c>
      <c r="M2" s="33">
        <f ca="1">IF(L2="مؤهل",2%*G2,"0")</f>
        <v>5600</v>
      </c>
    </row>
    <row r="3" spans="1:13" ht="16.5" thickTop="1" thickBot="1" x14ac:dyDescent="0.3">
      <c r="A3" s="32">
        <v>102</v>
      </c>
      <c r="B3" s="11" t="s">
        <v>4</v>
      </c>
      <c r="C3" s="11" t="s">
        <v>64</v>
      </c>
      <c r="D3" s="11" t="s">
        <v>55</v>
      </c>
      <c r="E3" s="13">
        <v>44640</v>
      </c>
      <c r="F3" s="11">
        <v>9500</v>
      </c>
      <c r="G3" s="11">
        <v>0</v>
      </c>
      <c r="H3" s="11">
        <v>4</v>
      </c>
      <c r="I3" s="12">
        <v>45262</v>
      </c>
      <c r="J3" s="14" t="str">
        <f t="shared" ref="J3:J11" si="0">LEFT(C3, 2)&amp;"-"&amp;A3</f>
        <v>Ma-102</v>
      </c>
      <c r="K3" s="20">
        <f t="shared" ref="K3:K11" ca="1" si="1">YEAR(TODAY()) - YEAR(E3)</f>
        <v>3</v>
      </c>
      <c r="L3" s="14" t="str">
        <f t="shared" ref="L3:L11" ca="1" si="2">IF(AND(C3="Sales", K3&gt;3), "مؤهل", "غير مؤهل")</f>
        <v>غير مؤهل</v>
      </c>
      <c r="M3" s="33" t="str">
        <f t="shared" ref="M3:M11" ca="1" si="3">IF(L3="مؤهل",2%*G3,"0")</f>
        <v>0</v>
      </c>
    </row>
    <row r="4" spans="1:13" ht="16.5" thickTop="1" thickBot="1" x14ac:dyDescent="0.3">
      <c r="A4" s="32">
        <v>103</v>
      </c>
      <c r="B4" s="11" t="s">
        <v>5</v>
      </c>
      <c r="C4" s="11" t="s">
        <v>63</v>
      </c>
      <c r="D4" s="11" t="s">
        <v>56</v>
      </c>
      <c r="E4" s="13">
        <v>44237</v>
      </c>
      <c r="F4" s="11">
        <v>11800</v>
      </c>
      <c r="G4" s="11">
        <v>245000</v>
      </c>
      <c r="H4" s="11">
        <v>4</v>
      </c>
      <c r="I4" s="12">
        <v>45263</v>
      </c>
      <c r="J4" s="14" t="str">
        <f t="shared" si="0"/>
        <v>Sa-103</v>
      </c>
      <c r="K4" s="20">
        <f t="shared" ca="1" si="1"/>
        <v>4</v>
      </c>
      <c r="L4" s="14" t="str">
        <f t="shared" ca="1" si="2"/>
        <v>مؤهل</v>
      </c>
      <c r="M4" s="33">
        <f t="shared" ca="1" si="3"/>
        <v>4900</v>
      </c>
    </row>
    <row r="5" spans="1:13" ht="16.5" thickTop="1" thickBot="1" x14ac:dyDescent="0.3">
      <c r="A5" s="32">
        <v>104</v>
      </c>
      <c r="B5" s="11" t="s">
        <v>6</v>
      </c>
      <c r="C5" s="11" t="s">
        <v>65</v>
      </c>
      <c r="D5" s="11" t="s">
        <v>57</v>
      </c>
      <c r="E5" s="13">
        <v>44017</v>
      </c>
      <c r="F5" s="11">
        <v>8200</v>
      </c>
      <c r="G5" s="11">
        <v>0</v>
      </c>
      <c r="H5" s="11">
        <v>5</v>
      </c>
      <c r="I5" s="12">
        <v>45264</v>
      </c>
      <c r="J5" s="14" t="str">
        <f t="shared" si="0"/>
        <v>Cu-104</v>
      </c>
      <c r="K5" s="20">
        <f ca="1">YEAR(TODAY()) - YEAR(E5)</f>
        <v>5</v>
      </c>
      <c r="L5" s="14" t="str">
        <f t="shared" ca="1" si="2"/>
        <v>غير مؤهل</v>
      </c>
      <c r="M5" s="33" t="str">
        <f t="shared" ca="1" si="3"/>
        <v>0</v>
      </c>
    </row>
    <row r="6" spans="1:13" ht="16.5" thickTop="1" thickBot="1" x14ac:dyDescent="0.3">
      <c r="A6" s="32">
        <v>105</v>
      </c>
      <c r="B6" s="11" t="s">
        <v>7</v>
      </c>
      <c r="C6" s="11" t="s">
        <v>63</v>
      </c>
      <c r="D6" s="11" t="s">
        <v>55</v>
      </c>
      <c r="E6" s="13">
        <v>44703</v>
      </c>
      <c r="F6" s="11">
        <v>12100</v>
      </c>
      <c r="G6" s="11">
        <v>295000</v>
      </c>
      <c r="H6" s="11">
        <v>5</v>
      </c>
      <c r="I6" s="12">
        <v>45265</v>
      </c>
      <c r="J6" s="14" t="str">
        <f t="shared" si="0"/>
        <v>Sa-105</v>
      </c>
      <c r="K6" s="20">
        <f t="shared" ca="1" si="1"/>
        <v>3</v>
      </c>
      <c r="L6" s="14" t="str">
        <f t="shared" ca="1" si="2"/>
        <v>غير مؤهل</v>
      </c>
      <c r="M6" s="33" t="str">
        <f t="shared" ca="1" si="3"/>
        <v>0</v>
      </c>
    </row>
    <row r="7" spans="1:13" ht="16.5" thickTop="1" thickBot="1" x14ac:dyDescent="0.3">
      <c r="A7" s="32">
        <v>106</v>
      </c>
      <c r="B7" s="11" t="s">
        <v>8</v>
      </c>
      <c r="C7" s="11" t="s">
        <v>64</v>
      </c>
      <c r="D7" s="11" t="s">
        <v>56</v>
      </c>
      <c r="E7" s="13">
        <v>44501</v>
      </c>
      <c r="F7" s="11">
        <v>9800</v>
      </c>
      <c r="G7" s="11">
        <v>0</v>
      </c>
      <c r="H7" s="11">
        <v>3</v>
      </c>
      <c r="I7" s="12">
        <v>45266</v>
      </c>
      <c r="J7" s="14" t="str">
        <f t="shared" si="0"/>
        <v>Ma-106</v>
      </c>
      <c r="K7" s="20">
        <f t="shared" ca="1" si="1"/>
        <v>4</v>
      </c>
      <c r="L7" s="14" t="str">
        <f t="shared" ca="1" si="2"/>
        <v>غير مؤهل</v>
      </c>
      <c r="M7" s="33" t="str">
        <f t="shared" ca="1" si="3"/>
        <v>0</v>
      </c>
    </row>
    <row r="8" spans="1:13" ht="16.5" thickTop="1" thickBot="1" x14ac:dyDescent="0.3">
      <c r="A8" s="32">
        <v>107</v>
      </c>
      <c r="B8" s="11" t="s">
        <v>58</v>
      </c>
      <c r="C8" s="11" t="s">
        <v>63</v>
      </c>
      <c r="D8" s="11" t="s">
        <v>57</v>
      </c>
      <c r="E8" s="13">
        <v>44791</v>
      </c>
      <c r="F8" s="11">
        <v>11500</v>
      </c>
      <c r="G8" s="11">
        <v>210000</v>
      </c>
      <c r="H8" s="11">
        <v>3</v>
      </c>
      <c r="I8" s="12">
        <v>45267</v>
      </c>
      <c r="J8" s="14" t="str">
        <f t="shared" si="0"/>
        <v>Sa-107</v>
      </c>
      <c r="K8" s="20">
        <f t="shared" ca="1" si="1"/>
        <v>3</v>
      </c>
      <c r="L8" s="14" t="str">
        <f t="shared" ca="1" si="2"/>
        <v>غير مؤهل</v>
      </c>
      <c r="M8" s="33" t="str">
        <f t="shared" ca="1" si="3"/>
        <v>0</v>
      </c>
    </row>
    <row r="9" spans="1:13" ht="16.5" thickTop="1" thickBot="1" x14ac:dyDescent="0.3">
      <c r="A9" s="32">
        <v>108</v>
      </c>
      <c r="B9" s="11" t="s">
        <v>59</v>
      </c>
      <c r="C9" s="11" t="s">
        <v>66</v>
      </c>
      <c r="D9" s="11" t="s">
        <v>55</v>
      </c>
      <c r="E9" s="13">
        <v>43738</v>
      </c>
      <c r="F9" s="11">
        <v>10500</v>
      </c>
      <c r="G9" s="11">
        <v>0</v>
      </c>
      <c r="H9" s="11">
        <v>4</v>
      </c>
      <c r="I9" s="12">
        <v>45268</v>
      </c>
      <c r="J9" s="14" t="str">
        <f t="shared" si="0"/>
        <v>Hu-108</v>
      </c>
      <c r="K9" s="20">
        <f t="shared" ca="1" si="1"/>
        <v>6</v>
      </c>
      <c r="L9" s="14" t="str">
        <f t="shared" ca="1" si="2"/>
        <v>غير مؤهل</v>
      </c>
      <c r="M9" s="33" t="str">
        <f t="shared" ca="1" si="3"/>
        <v>0</v>
      </c>
    </row>
    <row r="10" spans="1:13" ht="16.5" thickTop="1" thickBot="1" x14ac:dyDescent="0.3">
      <c r="A10" s="32">
        <v>109</v>
      </c>
      <c r="B10" s="11" t="s">
        <v>60</v>
      </c>
      <c r="C10" s="11" t="s">
        <v>63</v>
      </c>
      <c r="D10" s="11" t="s">
        <v>56</v>
      </c>
      <c r="E10" s="13">
        <v>45028</v>
      </c>
      <c r="F10" s="11">
        <v>11900</v>
      </c>
      <c r="G10" s="11">
        <v>260000</v>
      </c>
      <c r="H10" s="11">
        <v>4</v>
      </c>
      <c r="I10" s="12">
        <v>45269</v>
      </c>
      <c r="J10" s="14" t="str">
        <f t="shared" si="0"/>
        <v>Sa-109</v>
      </c>
      <c r="K10" s="20">
        <f t="shared" ca="1" si="1"/>
        <v>2</v>
      </c>
      <c r="L10" s="14" t="str">
        <f t="shared" ca="1" si="2"/>
        <v>غير مؤهل</v>
      </c>
      <c r="M10" s="33" t="str">
        <f t="shared" ca="1" si="3"/>
        <v>0</v>
      </c>
    </row>
    <row r="11" spans="1:13" ht="15.75" thickTop="1" x14ac:dyDescent="0.25">
      <c r="A11" s="39">
        <v>110</v>
      </c>
      <c r="B11" s="40" t="s">
        <v>61</v>
      </c>
      <c r="C11" s="40" t="s">
        <v>65</v>
      </c>
      <c r="D11" s="40" t="s">
        <v>55</v>
      </c>
      <c r="E11" s="41">
        <v>44737</v>
      </c>
      <c r="F11" s="40">
        <v>8400</v>
      </c>
      <c r="G11" s="40">
        <v>0</v>
      </c>
      <c r="H11" s="40">
        <v>5</v>
      </c>
      <c r="I11" s="42">
        <v>45270</v>
      </c>
      <c r="J11" s="43" t="str">
        <f t="shared" si="0"/>
        <v>Cu-110</v>
      </c>
      <c r="K11" s="44">
        <f t="shared" ca="1" si="1"/>
        <v>3</v>
      </c>
      <c r="L11" s="43" t="str">
        <f t="shared" ca="1" si="2"/>
        <v>غير مؤهل</v>
      </c>
      <c r="M11" s="45" t="str">
        <f t="shared" ca="1" si="3"/>
        <v>0</v>
      </c>
    </row>
    <row r="14" spans="1:13" x14ac:dyDescent="0.25">
      <c r="A14" s="16">
        <v>1</v>
      </c>
      <c r="B14" s="16"/>
      <c r="C14" s="16"/>
    </row>
    <row r="15" spans="1:13" ht="19.5" thickBot="1" x14ac:dyDescent="0.35">
      <c r="A15" s="25" t="s">
        <v>75</v>
      </c>
      <c r="B15" s="26"/>
      <c r="C15" s="26"/>
    </row>
    <row r="16" spans="1:13" ht="30" thickTop="1" thickBot="1" x14ac:dyDescent="0.5">
      <c r="A16" s="15" t="s">
        <v>77</v>
      </c>
      <c r="B16" s="23" t="s">
        <v>76</v>
      </c>
      <c r="C16" s="24" t="s">
        <v>78</v>
      </c>
    </row>
    <row r="17" spans="1:6" ht="17.25" thickTop="1" thickBot="1" x14ac:dyDescent="0.3">
      <c r="A17" s="46" t="str" cm="1">
        <f t="array" ref="A17:A20">_xlfn._xlws.SORT(_xlfn.UNIQUE(C2:C11))</f>
        <v>Customer Service</v>
      </c>
      <c r="B17" s="47">
        <f>AVERAGEIF($C$2:$C$11,A17,$F$2:$F$11)</f>
        <v>8300</v>
      </c>
      <c r="C17" s="47">
        <f>AVERAGEIF($C$2:$C$11,A17,$H$2:$H$11)</f>
        <v>5</v>
      </c>
    </row>
    <row r="18" spans="1:6" ht="17.25" thickTop="1" thickBot="1" x14ac:dyDescent="0.3">
      <c r="A18" s="46" t="str">
        <v>Human Resources</v>
      </c>
      <c r="B18" s="47">
        <f t="shared" ref="B18:B20" si="4">AVERAGEIF($C$2:$C$11,A18,$F$2:$F$11)</f>
        <v>10500</v>
      </c>
      <c r="C18" s="47">
        <f t="shared" ref="C18:C20" si="5">AVERAGEIF($C$2:$C$11,A18,$H$2:$H$11)</f>
        <v>4</v>
      </c>
    </row>
    <row r="19" spans="1:6" ht="17.25" thickTop="1" thickBot="1" x14ac:dyDescent="0.3">
      <c r="A19" s="46" t="str">
        <v>Marketing</v>
      </c>
      <c r="B19" s="47">
        <f t="shared" si="4"/>
        <v>9650</v>
      </c>
      <c r="C19" s="47">
        <f t="shared" si="5"/>
        <v>3.5</v>
      </c>
    </row>
    <row r="20" spans="1:6" ht="17.25" thickTop="1" thickBot="1" x14ac:dyDescent="0.3">
      <c r="A20" s="46" t="str">
        <v>Sales</v>
      </c>
      <c r="B20" s="47">
        <f t="shared" si="4"/>
        <v>11960</v>
      </c>
      <c r="C20" s="47">
        <f t="shared" si="5"/>
        <v>4.2</v>
      </c>
    </row>
    <row r="21" spans="1:6" ht="15.75" thickTop="1" x14ac:dyDescent="0.25"/>
    <row r="25" spans="1:6" ht="15.75" thickBot="1" x14ac:dyDescent="0.3">
      <c r="A25" s="17">
        <v>2</v>
      </c>
      <c r="B25" s="17"/>
      <c r="C25" s="17"/>
      <c r="D25" s="17"/>
    </row>
    <row r="26" spans="1:6" ht="27.75" thickTop="1" thickBot="1" x14ac:dyDescent="0.45">
      <c r="A26" s="18" t="s">
        <v>79</v>
      </c>
      <c r="B26" s="22" t="s">
        <v>80</v>
      </c>
      <c r="C26" s="22" t="s">
        <v>81</v>
      </c>
      <c r="D26" s="22" t="s">
        <v>82</v>
      </c>
    </row>
    <row r="27" spans="1:6" ht="16.5" thickTop="1" thickBot="1" x14ac:dyDescent="0.3">
      <c r="A27" s="14" t="str" cm="1">
        <f t="array" ref="A27">_xlfn.XLOOKUP(MAX(_xlfn._xlws.FILTER(F2:F11, D2:D11="الرياض")), F2:F11, B2:B11)</f>
        <v>نورة القحطاني</v>
      </c>
      <c r="B27" s="14">
        <f>SUMIF(E2:E11, "&gt;2022-01-01", G2:G11)</f>
        <v>765000</v>
      </c>
      <c r="C27" s="14">
        <f ca="1">SUMIFS(M2:M11,C2:C11,C2,D2:D11,D2)</f>
        <v>5600</v>
      </c>
      <c r="D27" s="14">
        <f>SUMIF(H2:H11,H3,F2:F11)+SUMIF(H2:H11,H2,F2:F11)</f>
        <v>84900</v>
      </c>
    </row>
    <row r="28" spans="1:6" ht="15.75" thickTop="1" x14ac:dyDescent="0.25"/>
    <row r="30" spans="1:6" ht="15.75" thickBot="1" x14ac:dyDescent="0.3">
      <c r="A30" s="17">
        <v>3</v>
      </c>
      <c r="B30" s="17"/>
      <c r="C30" s="17"/>
      <c r="D30" s="17"/>
      <c r="E30" s="17"/>
      <c r="F30" s="17"/>
    </row>
    <row r="31" spans="1:6" ht="20.25" thickTop="1" thickBot="1" x14ac:dyDescent="0.35">
      <c r="A31" s="10" t="s">
        <v>9</v>
      </c>
      <c r="B31" s="10" t="s">
        <v>70</v>
      </c>
      <c r="C31" s="10" t="s">
        <v>71</v>
      </c>
      <c r="D31" s="10" t="s">
        <v>72</v>
      </c>
      <c r="E31" s="10" t="s">
        <v>73</v>
      </c>
      <c r="F31" s="10" t="s">
        <v>74</v>
      </c>
    </row>
    <row r="32" spans="1:6" ht="16.5" thickTop="1" thickBot="1" x14ac:dyDescent="0.3">
      <c r="A32" s="14">
        <f>COUNTA(B2:B11)</f>
        <v>10</v>
      </c>
      <c r="B32" s="14">
        <f>SUM(F2:F11)</f>
        <v>106200</v>
      </c>
      <c r="C32" s="14">
        <f>AVERAGE(H2:H11)</f>
        <v>4.2</v>
      </c>
      <c r="D32" s="14">
        <f>MAX(G2:G11)</f>
        <v>295000</v>
      </c>
      <c r="E32" s="19">
        <f>MIN(E2:E11)</f>
        <v>43738</v>
      </c>
      <c r="F32" s="14">
        <f>NETWORKDAYS(MIN(E2:E11), MAX(I2:I11))</f>
        <v>1095</v>
      </c>
    </row>
    <row r="33" spans="1:10" ht="15.75" thickTop="1" x14ac:dyDescent="0.25"/>
    <row r="39" spans="1:10" ht="15.75" thickBot="1" x14ac:dyDescent="0.3">
      <c r="B39" s="17">
        <v>4</v>
      </c>
      <c r="C39" s="17"/>
      <c r="D39" s="17"/>
      <c r="E39" s="17"/>
      <c r="F39" s="17"/>
      <c r="G39" s="17"/>
      <c r="H39" s="17"/>
      <c r="I39" s="17"/>
      <c r="J39" s="17"/>
    </row>
    <row r="40" spans="1:10" ht="27.75" thickTop="1" thickBot="1" x14ac:dyDescent="0.45">
      <c r="A40" s="29" t="s">
        <v>83</v>
      </c>
      <c r="B40" s="30"/>
      <c r="C40" s="30"/>
      <c r="D40" s="30"/>
      <c r="E40" s="30"/>
      <c r="F40" s="30"/>
      <c r="G40" s="30"/>
      <c r="H40" s="30"/>
      <c r="I40" s="31"/>
    </row>
    <row r="41" spans="1:10" ht="22.5" thickTop="1" thickBot="1" x14ac:dyDescent="0.4">
      <c r="A41" s="27" t="s">
        <v>49</v>
      </c>
      <c r="B41" s="27" t="s">
        <v>50</v>
      </c>
      <c r="C41" s="27" t="s">
        <v>0</v>
      </c>
      <c r="D41" s="27" t="s">
        <v>51</v>
      </c>
      <c r="E41" s="27" t="s">
        <v>1</v>
      </c>
      <c r="F41" s="27" t="s">
        <v>2</v>
      </c>
      <c r="G41" s="27" t="s">
        <v>52</v>
      </c>
      <c r="H41" s="27" t="s">
        <v>53</v>
      </c>
      <c r="I41" s="28" t="s">
        <v>54</v>
      </c>
    </row>
    <row r="42" spans="1:10" ht="16.5" thickTop="1" thickBot="1" x14ac:dyDescent="0.3">
      <c r="A42" s="14" cm="1">
        <f t="array" ref="A42:I46">_xlfn._xlws.SORT(_xlfn._xlws.FILTER(A2:I11, C2:C11="Sales"), 7, -1)</f>
        <v>105</v>
      </c>
      <c r="B42" s="14" t="str">
        <v>علي حسن</v>
      </c>
      <c r="C42" s="14" t="str">
        <v>Sales</v>
      </c>
      <c r="D42" s="14" t="str">
        <v>الرياض</v>
      </c>
      <c r="E42" s="20">
        <v>44703</v>
      </c>
      <c r="F42" s="14">
        <v>12100</v>
      </c>
      <c r="G42" s="14">
        <v>295000</v>
      </c>
      <c r="H42" s="14">
        <v>5</v>
      </c>
      <c r="I42" s="20">
        <v>45265</v>
      </c>
    </row>
    <row r="43" spans="1:10" ht="16.5" thickTop="1" thickBot="1" x14ac:dyDescent="0.3">
      <c r="A43" s="14">
        <v>101</v>
      </c>
      <c r="B43" s="14" t="str">
        <v>نورة القحطاني</v>
      </c>
      <c r="C43" s="14" t="str">
        <v>Sales</v>
      </c>
      <c r="D43" s="14" t="str">
        <v>الرياض</v>
      </c>
      <c r="E43" s="20">
        <v>44211</v>
      </c>
      <c r="F43" s="14">
        <v>12500</v>
      </c>
      <c r="G43" s="14">
        <v>280000</v>
      </c>
      <c r="H43" s="14">
        <v>5</v>
      </c>
      <c r="I43" s="20">
        <v>45261</v>
      </c>
    </row>
    <row r="44" spans="1:10" ht="16.5" thickTop="1" thickBot="1" x14ac:dyDescent="0.3">
      <c r="A44" s="14">
        <v>109</v>
      </c>
      <c r="B44" s="14" t="str">
        <v>يوسف الأحمدي</v>
      </c>
      <c r="C44" s="14" t="str">
        <v>Sales</v>
      </c>
      <c r="D44" s="14" t="str">
        <v>جدة</v>
      </c>
      <c r="E44" s="20">
        <v>45028</v>
      </c>
      <c r="F44" s="14">
        <v>11900</v>
      </c>
      <c r="G44" s="14">
        <v>260000</v>
      </c>
      <c r="H44" s="14">
        <v>4</v>
      </c>
      <c r="I44" s="20">
        <v>45269</v>
      </c>
    </row>
    <row r="45" spans="1:10" ht="16.5" thickTop="1" thickBot="1" x14ac:dyDescent="0.3">
      <c r="A45" s="14">
        <v>103</v>
      </c>
      <c r="B45" s="14" t="str">
        <v>عمر السيد</v>
      </c>
      <c r="C45" s="14" t="str">
        <v>Sales</v>
      </c>
      <c r="D45" s="14" t="str">
        <v>جدة</v>
      </c>
      <c r="E45" s="20">
        <v>44237</v>
      </c>
      <c r="F45" s="14">
        <v>11800</v>
      </c>
      <c r="G45" s="14">
        <v>245000</v>
      </c>
      <c r="H45" s="14">
        <v>4</v>
      </c>
      <c r="I45" s="20">
        <v>45263</v>
      </c>
    </row>
    <row r="46" spans="1:10" ht="16.5" thickTop="1" thickBot="1" x14ac:dyDescent="0.3">
      <c r="A46" s="14">
        <v>107</v>
      </c>
      <c r="B46" s="14" t="str">
        <v>خالد الغامدي</v>
      </c>
      <c r="C46" s="14" t="str">
        <v>Sales</v>
      </c>
      <c r="D46" s="14" t="str">
        <v>الدمام</v>
      </c>
      <c r="E46" s="20">
        <v>44791</v>
      </c>
      <c r="F46" s="14">
        <v>11500</v>
      </c>
      <c r="G46" s="14">
        <v>210000</v>
      </c>
      <c r="H46" s="14">
        <v>3</v>
      </c>
      <c r="I46" s="20">
        <v>45267</v>
      </c>
    </row>
    <row r="47" spans="1:10" ht="15.75" thickTop="1" x14ac:dyDescent="0.25"/>
  </sheetData>
  <autoFilter ref="A41:I41" xr:uid="{720522C3-266B-40B0-BB6A-5E20B9EAA291}"/>
  <mergeCells count="6">
    <mergeCell ref="A30:F30"/>
    <mergeCell ref="B39:J39"/>
    <mergeCell ref="A40:I40"/>
    <mergeCell ref="A15:C15"/>
    <mergeCell ref="A14:C14"/>
    <mergeCell ref="A25:D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شامل 1</vt:lpstr>
      <vt:lpstr>شامل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Reda</dc:creator>
  <cp:lastModifiedBy>Youssef Reda</cp:lastModifiedBy>
  <dcterms:created xsi:type="dcterms:W3CDTF">2025-08-18T16:51:02Z</dcterms:created>
  <dcterms:modified xsi:type="dcterms:W3CDTF">2025-08-18T22:04:26Z</dcterms:modified>
</cp:coreProperties>
</file>