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1. JOEL\TESIS\G18. GUTIERREZ URIOL - VIGO BRIONES\TESIS\VERSIONS\Tesis-Docs\"/>
    </mc:Choice>
  </mc:AlternateContent>
  <xr:revisionPtr revIDLastSave="0" documentId="13_ncr:1_{4803EE0F-BD1F-4C09-951E-BDF7628B164E}" xr6:coauthVersionLast="47" xr6:coauthVersionMax="47" xr10:uidLastSave="{00000000-0000-0000-0000-000000000000}"/>
  <bookViews>
    <workbookView xWindow="28680" yWindow="-120" windowWidth="29040" windowHeight="15840" activeTab="1" xr2:uid="{BA27041F-613A-4078-9EA4-C1E69716A379}"/>
  </bookViews>
  <sheets>
    <sheet name="Tiempo de desarrollo" sheetId="1" r:id="rId1"/>
    <sheet name="Viabilidad económica" sheetId="3" r:id="rId2"/>
    <sheet name="Priorización de casos de uso" sheetId="5" r:id="rId3"/>
  </sheets>
  <definedNames>
    <definedName name="_xlnm._FilterDatabase" localSheetId="2" hidden="1">'Priorización de casos de uso'!$C$9:$I$52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I28" i="5"/>
  <c r="A52" i="1" l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D117" i="3"/>
  <c r="D162" i="3" l="1"/>
  <c r="D161" i="3"/>
  <c r="D183" i="3"/>
  <c r="D182" i="3"/>
  <c r="C182" i="3"/>
  <c r="F182" i="3" s="1"/>
  <c r="C60" i="3"/>
  <c r="C59" i="3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l="1"/>
  <c r="K85" i="3"/>
  <c r="K78" i="3"/>
  <c r="G162" i="3" s="1"/>
  <c r="C78" i="3" l="1"/>
  <c r="G161" i="3"/>
  <c r="I30" i="5"/>
  <c r="I7" i="5" l="1"/>
  <c r="I32" i="5"/>
  <c r="I36" i="5"/>
  <c r="I37" i="5"/>
  <c r="I33" i="5"/>
  <c r="I34" i="5"/>
  <c r="I35" i="5"/>
  <c r="I39" i="5"/>
  <c r="I31" i="5"/>
  <c r="I38" i="5"/>
  <c r="I13" i="5"/>
  <c r="I27" i="5"/>
  <c r="I40" i="5"/>
  <c r="I41" i="5"/>
  <c r="I42" i="5"/>
  <c r="I43" i="5"/>
  <c r="I48" i="5"/>
  <c r="I23" i="5"/>
  <c r="I24" i="5"/>
  <c r="I25" i="5"/>
  <c r="I26" i="5"/>
  <c r="I51" i="5"/>
  <c r="I52" i="5"/>
  <c r="I10" i="5"/>
  <c r="I29" i="5"/>
  <c r="I44" i="5"/>
  <c r="I46" i="5"/>
  <c r="I47" i="5"/>
  <c r="I45" i="5"/>
  <c r="I11" i="5"/>
  <c r="I12" i="5"/>
  <c r="I19" i="5"/>
  <c r="I20" i="5"/>
  <c r="I21" i="5"/>
  <c r="I22" i="5"/>
  <c r="I18" i="5"/>
  <c r="I14" i="5"/>
  <c r="I15" i="5"/>
  <c r="I16" i="5"/>
  <c r="I17" i="5"/>
  <c r="I49" i="5"/>
  <c r="I50" i="5"/>
  <c r="G124" i="3" l="1"/>
  <c r="G123" i="3"/>
  <c r="A36" i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E162" i="3"/>
  <c r="E161" i="3"/>
  <c r="C184" i="3"/>
  <c r="F184" i="3" s="1"/>
  <c r="C176" i="3"/>
  <c r="C162" i="3"/>
  <c r="G122" i="3"/>
  <c r="G117" i="3"/>
  <c r="F183" i="3"/>
  <c r="C175" i="3"/>
  <c r="D168" i="3"/>
  <c r="F168" i="3" s="1"/>
  <c r="C161" i="3"/>
  <c r="F154" i="3"/>
  <c r="F153" i="3"/>
  <c r="F145" i="3"/>
  <c r="G12" i="3"/>
  <c r="F26" i="3"/>
  <c r="F69" i="3"/>
  <c r="F67" i="3"/>
  <c r="F70" i="3"/>
  <c r="G13" i="3"/>
  <c r="E34" i="3"/>
  <c r="E35" i="3" s="1"/>
  <c r="A50" i="1" l="1"/>
  <c r="A51" i="1" s="1"/>
  <c r="F161" i="3"/>
  <c r="H161" i="3" s="1"/>
  <c r="F162" i="3"/>
  <c r="H162" i="3" s="1"/>
  <c r="C83" i="1" l="1"/>
  <c r="G83" i="1" l="1"/>
  <c r="E83" i="1"/>
  <c r="G21" i="1"/>
  <c r="E21" i="1"/>
  <c r="C21" i="1"/>
  <c r="F251" i="3" l="1"/>
  <c r="F290" i="3" s="1"/>
  <c r="E251" i="3"/>
  <c r="E290" i="3" s="1"/>
  <c r="D251" i="3"/>
  <c r="D280" i="3" s="1"/>
  <c r="E280" i="3" l="1"/>
  <c r="F280" i="3"/>
  <c r="D290" i="3"/>
  <c r="M71" i="3" l="1"/>
  <c r="L83" i="3" l="1"/>
  <c r="L76" i="3"/>
  <c r="K83" i="3" l="1"/>
  <c r="K86" i="3" s="1"/>
  <c r="K76" i="3"/>
  <c r="E78" i="3" l="1"/>
  <c r="K79" i="3"/>
  <c r="E77" i="3" s="1"/>
  <c r="E76" i="3" l="1"/>
  <c r="C77" i="3" l="1"/>
  <c r="C76" i="3"/>
  <c r="F169" i="3"/>
  <c r="F155" i="3"/>
  <c r="F146" i="3"/>
  <c r="F147" i="3" s="1"/>
  <c r="G118" i="3" l="1"/>
  <c r="D129" i="3" s="1"/>
  <c r="D234" i="3" s="1"/>
  <c r="F170" i="3"/>
  <c r="D195" i="3" s="1"/>
  <c r="D228" i="3" s="1"/>
  <c r="E228" i="3" s="1"/>
  <c r="F228" i="3" s="1"/>
  <c r="G125" i="3"/>
  <c r="D130" i="3" s="1"/>
  <c r="D235" i="3" s="1"/>
  <c r="E235" i="3" s="1"/>
  <c r="F235" i="3" s="1"/>
  <c r="F185" i="3"/>
  <c r="D197" i="3" s="1"/>
  <c r="D230" i="3" s="1"/>
  <c r="E230" i="3" s="1"/>
  <c r="F230" i="3" s="1"/>
  <c r="F156" i="3"/>
  <c r="D192" i="3"/>
  <c r="H163" i="3"/>
  <c r="D194" i="3" s="1"/>
  <c r="D227" i="3" s="1"/>
  <c r="E227" i="3" s="1"/>
  <c r="F227" i="3" s="1"/>
  <c r="D193" i="3" l="1"/>
  <c r="D226" i="3" s="1"/>
  <c r="E226" i="3" s="1"/>
  <c r="F226" i="3" s="1"/>
  <c r="D131" i="3"/>
  <c r="C206" i="3" s="1"/>
  <c r="D225" i="3"/>
  <c r="E225" i="3" s="1"/>
  <c r="F225" i="3" s="1"/>
  <c r="D236" i="3"/>
  <c r="D279" i="3" s="1"/>
  <c r="E234" i="3"/>
  <c r="F234" i="3" s="1"/>
  <c r="E236" i="3" l="1"/>
  <c r="E279" i="3" s="1"/>
  <c r="F236" i="3" l="1"/>
  <c r="F279" i="3" s="1"/>
  <c r="F176" i="3" l="1"/>
  <c r="F175" i="3"/>
  <c r="F177" i="3" l="1"/>
  <c r="C188" i="3" s="1"/>
  <c r="F66" i="3"/>
  <c r="D45" i="3"/>
  <c r="C216" i="3" s="1"/>
  <c r="F22" i="3"/>
  <c r="F23" i="3"/>
  <c r="F24" i="3"/>
  <c r="F25" i="3"/>
  <c r="F27" i="3"/>
  <c r="F21" i="3"/>
  <c r="G14" i="3"/>
  <c r="G11" i="3"/>
  <c r="C164" i="1"/>
  <c r="F127" i="1"/>
  <c r="G15" i="3" l="1"/>
  <c r="D43" i="3" s="1"/>
  <c r="F28" i="3"/>
  <c r="D44" i="3" s="1"/>
  <c r="C215" i="3" s="1"/>
  <c r="D196" i="3"/>
  <c r="D229" i="3" s="1"/>
  <c r="E229" i="3" s="1"/>
  <c r="F229" i="3" s="1"/>
  <c r="F71" i="3"/>
  <c r="D102" i="3" s="1"/>
  <c r="C219" i="3" s="1"/>
  <c r="F128" i="1"/>
  <c r="F129" i="1"/>
  <c r="F130" i="1"/>
  <c r="F131" i="1"/>
  <c r="F132" i="1"/>
  <c r="F133" i="1"/>
  <c r="F13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05" i="1"/>
  <c r="F118" i="1" l="1"/>
  <c r="C120" i="1" s="1"/>
  <c r="F135" i="1"/>
  <c r="C136" i="1" s="1"/>
  <c r="D198" i="3"/>
  <c r="D231" i="3" s="1"/>
  <c r="C214" i="3"/>
  <c r="C213" i="3" s="1"/>
  <c r="C39" i="3"/>
  <c r="C84" i="1"/>
  <c r="C22" i="1"/>
  <c r="C88" i="1" l="1"/>
  <c r="C140" i="1" s="1"/>
  <c r="C149" i="1" s="1"/>
  <c r="D289" i="3"/>
  <c r="D237" i="3"/>
  <c r="D304" i="3" s="1"/>
  <c r="C205" i="3"/>
  <c r="D46" i="3"/>
  <c r="E231" i="3"/>
  <c r="E289" i="3" s="1"/>
  <c r="C203" i="3" l="1"/>
  <c r="D250" i="3"/>
  <c r="D261" i="3"/>
  <c r="D159" i="1"/>
  <c r="D163" i="1"/>
  <c r="D162" i="1"/>
  <c r="D160" i="1"/>
  <c r="D161" i="1"/>
  <c r="F231" i="3"/>
  <c r="E237" i="3"/>
  <c r="E304" i="3" s="1"/>
  <c r="D164" i="1" l="1"/>
  <c r="C168" i="1" s="1"/>
  <c r="C172" i="1" s="1"/>
  <c r="G53" i="3" s="1"/>
  <c r="F237" i="3"/>
  <c r="F304" i="3" s="1"/>
  <c r="F289" i="3"/>
  <c r="E250" i="3"/>
  <c r="E261" i="3"/>
  <c r="E59" i="3" l="1"/>
  <c r="F59" i="3" s="1"/>
  <c r="F250" i="3"/>
  <c r="F261" i="3"/>
  <c r="C276" i="3"/>
  <c r="E92" i="3" l="1"/>
  <c r="F92" i="3" s="1"/>
  <c r="E60" i="3"/>
  <c r="F60" i="3" s="1"/>
  <c r="F61" i="3" s="1"/>
  <c r="D101" i="3" s="1"/>
  <c r="C218" i="3" s="1"/>
  <c r="E91" i="3"/>
  <c r="F91" i="3" s="1"/>
  <c r="F78" i="3"/>
  <c r="G78" i="3" s="1"/>
  <c r="F76" i="3"/>
  <c r="G76" i="3" s="1"/>
  <c r="E85" i="3"/>
  <c r="F85" i="3" s="1"/>
  <c r="E84" i="3"/>
  <c r="F84" i="3" s="1"/>
  <c r="F77" i="3"/>
  <c r="G77" i="3" s="1"/>
  <c r="F86" i="3" l="1"/>
  <c r="D104" i="3" s="1"/>
  <c r="C221" i="3" s="1"/>
  <c r="F93" i="3"/>
  <c r="D105" i="3" s="1"/>
  <c r="C222" i="3" s="1"/>
  <c r="G79" i="3"/>
  <c r="D103" i="3" s="1"/>
  <c r="C220" i="3" s="1"/>
  <c r="C97" i="3" l="1"/>
  <c r="C217" i="3"/>
  <c r="C223" i="3" s="1"/>
  <c r="C289" i="3" s="1"/>
  <c r="D106" i="3"/>
  <c r="C109" i="3" s="1"/>
  <c r="C204" i="3" l="1"/>
  <c r="C237" i="3"/>
  <c r="C304" i="3" s="1"/>
  <c r="C299" i="3" s="1"/>
  <c r="C286" i="3"/>
  <c r="C292" i="3" s="1"/>
  <c r="C300" i="3" l="1"/>
  <c r="F300" i="3"/>
  <c r="C261" i="3"/>
  <c r="D263" i="3" s="1"/>
  <c r="C250" i="3"/>
  <c r="C247" i="3" s="1"/>
  <c r="C310" i="3"/>
  <c r="E310" i="3" s="1"/>
  <c r="C301" i="3" l="1"/>
  <c r="G300" i="3"/>
  <c r="K247" i="3"/>
  <c r="K251" i="3"/>
  <c r="K248" i="3"/>
  <c r="K252" i="3"/>
  <c r="K249" i="3"/>
  <c r="K250" i="3"/>
  <c r="C308" i="3"/>
  <c r="E308" i="3" s="1"/>
  <c r="K245" i="3"/>
  <c r="K246" i="3"/>
  <c r="K242" i="3"/>
  <c r="K243" i="3"/>
  <c r="C309" i="3"/>
  <c r="E309" i="3" s="1"/>
  <c r="J244" i="3"/>
  <c r="K244" i="3" s="1"/>
  <c r="H300" i="3" l="1"/>
</calcChain>
</file>

<file path=xl/sharedStrings.xml><?xml version="1.0" encoding="utf-8"?>
<sst xmlns="http://schemas.openxmlformats.org/spreadsheetml/2006/main" count="746" uniqueCount="468">
  <si>
    <t>ESTIMACIÓN DEL TIEMPO DE DESARROLLO</t>
  </si>
  <si>
    <t>Complejo</t>
  </si>
  <si>
    <t>Medio</t>
  </si>
  <si>
    <t>(ActSimples) *</t>
  </si>
  <si>
    <t>(ActMedios)</t>
  </si>
  <si>
    <t xml:space="preserve">*(Factor)+ </t>
  </si>
  <si>
    <t>(ActComp)*</t>
  </si>
  <si>
    <t>(Factor)</t>
  </si>
  <si>
    <t>Caso de Uso</t>
  </si>
  <si>
    <t>Tipo</t>
  </si>
  <si>
    <t>Factor</t>
  </si>
  <si>
    <t>Simple</t>
  </si>
  <si>
    <t>Factor de Peso de los Casos de Uso sin Ajustar (FPCS)</t>
  </si>
  <si>
    <t>Criterio (N° de Transacciones)</t>
  </si>
  <si>
    <t>7 a más</t>
  </si>
  <si>
    <t>4 a 6</t>
  </si>
  <si>
    <t>1 a 3</t>
  </si>
  <si>
    <t xml:space="preserve">Tipo </t>
  </si>
  <si>
    <t>Actor</t>
  </si>
  <si>
    <t>FPCS=</t>
  </si>
  <si>
    <t>CUSA= FPAS + FPCS</t>
  </si>
  <si>
    <t>PCA=</t>
  </si>
  <si>
    <t>CUSA=</t>
  </si>
  <si>
    <t>Descripción</t>
  </si>
  <si>
    <t>Peso</t>
  </si>
  <si>
    <t>Valor</t>
  </si>
  <si>
    <t>Sistema Distribuido</t>
  </si>
  <si>
    <t>T1</t>
  </si>
  <si>
    <t>Tiempo de respuesta</t>
  </si>
  <si>
    <t>T2</t>
  </si>
  <si>
    <t>Eficiencia por el usuario</t>
  </si>
  <si>
    <t>T3</t>
  </si>
  <si>
    <t>Procesamiento interno complejo</t>
  </si>
  <si>
    <t>T4</t>
  </si>
  <si>
    <t>Reusabilidad</t>
  </si>
  <si>
    <t>T5</t>
  </si>
  <si>
    <t>Facilidad de instalación</t>
  </si>
  <si>
    <t>T6</t>
  </si>
  <si>
    <t>Facilidad de uso</t>
  </si>
  <si>
    <t>T7</t>
  </si>
  <si>
    <t>Portabilidad</t>
  </si>
  <si>
    <t>T8</t>
  </si>
  <si>
    <t>Facilidad de cambio</t>
  </si>
  <si>
    <t>T9</t>
  </si>
  <si>
    <t>Concurrencia</t>
  </si>
  <si>
    <t>T10</t>
  </si>
  <si>
    <t>Objetivos especiales de seguridad</t>
  </si>
  <si>
    <t>T11</t>
  </si>
  <si>
    <t>Acceso directo a terceras partes</t>
  </si>
  <si>
    <t>T12</t>
  </si>
  <si>
    <t>Facilidades especiales de entrenamiento a usuarios finales</t>
  </si>
  <si>
    <t>T13</t>
  </si>
  <si>
    <t>FCT=</t>
  </si>
  <si>
    <t xml:space="preserve">Puntos de Casos de Uso Ajustados </t>
  </si>
  <si>
    <t>Puntos de Casos de Uso Sin ajustar</t>
  </si>
  <si>
    <t>Factor de Complejidad Técnica</t>
  </si>
  <si>
    <t>Factor de ambiente</t>
  </si>
  <si>
    <t xml:space="preserve"> Σ (Peso i * Valor i)</t>
  </si>
  <si>
    <t>Familiaridad con el modelo de proyecto utilizado</t>
  </si>
  <si>
    <t>Experiencia en la aplicación</t>
  </si>
  <si>
    <t>Experiencia en orientación a objetos</t>
  </si>
  <si>
    <t>Capacidad del analista líder</t>
  </si>
  <si>
    <r>
      <rPr>
        <b/>
        <sz val="11"/>
        <color theme="1"/>
        <rFont val="Calibri"/>
        <family val="2"/>
        <scheme val="minor"/>
      </rPr>
      <t>CUSA</t>
    </r>
    <r>
      <rPr>
        <sz val="11"/>
        <color theme="1"/>
        <rFont val="Calibri"/>
        <family val="2"/>
        <scheme val="minor"/>
      </rPr>
      <t xml:space="preserve"> = Puntos de Casos de Uso sin Ajustar</t>
    </r>
  </si>
  <si>
    <r>
      <rPr>
        <b/>
        <sz val="11"/>
        <color theme="1"/>
        <rFont val="Calibri"/>
        <family val="2"/>
        <scheme val="minor"/>
      </rPr>
      <t>FPCS</t>
    </r>
    <r>
      <rPr>
        <sz val="11"/>
        <color theme="1"/>
        <rFont val="Calibri"/>
        <family val="2"/>
        <scheme val="minor"/>
      </rPr>
      <t xml:space="preserve"> = Factor de Peso de los Casos de Uso sin Ajustar</t>
    </r>
  </si>
  <si>
    <r>
      <t>FPAS</t>
    </r>
    <r>
      <rPr>
        <sz val="11"/>
        <color theme="1"/>
        <rFont val="Calibri"/>
        <family val="2"/>
        <scheme val="minor"/>
      </rPr>
      <t xml:space="preserve"> = Factor de Peso de los Actores sin Ajustar</t>
    </r>
  </si>
  <si>
    <t>Tabla 1. FACTOR DE PESO POR CADA ACTOR Y SU TIPO</t>
  </si>
  <si>
    <t xml:space="preserve"> Factor de Peso de los Actores sin ajustar (FPAS)</t>
  </si>
  <si>
    <t>CUSA = FPAS + FPCS</t>
  </si>
  <si>
    <t>Tabla 2. FACTOR DE PESO DE ACTORES SEGÚN EL NÚMERO DE TRANSACCIONES</t>
  </si>
  <si>
    <t>Tabla 3. FACTOR DE PESO POR CADA USO Y SU TIPO</t>
  </si>
  <si>
    <t>PCA=CUSA*TCF*FA</t>
  </si>
  <si>
    <t>FA=</t>
  </si>
  <si>
    <t>Tabla 4. Peso de cada factor de complejidad técnica y su valor</t>
  </si>
  <si>
    <t>Tabla 5. Peso de cada factor de complejidad técnica y su valor</t>
  </si>
  <si>
    <t>Motivación</t>
  </si>
  <si>
    <t>Estabilidad de los requerimientos</t>
  </si>
  <si>
    <t>Personal a tiempo compartido</t>
  </si>
  <si>
    <t xml:space="preserve">Dificultad del lenguaje de programación </t>
  </si>
  <si>
    <r>
      <t>CUSA=</t>
    </r>
    <r>
      <rPr>
        <sz val="16"/>
        <color theme="4"/>
        <rFont val="Calibri"/>
        <family val="2"/>
        <scheme val="minor"/>
      </rPr>
      <t xml:space="preserve"> </t>
    </r>
  </si>
  <si>
    <t>E = PCA*FC</t>
  </si>
  <si>
    <r>
      <rPr>
        <b/>
        <sz val="11"/>
        <color theme="1"/>
        <rFont val="Calibri"/>
        <family val="2"/>
        <scheme val="minor"/>
      </rPr>
      <t xml:space="preserve">FC = </t>
    </r>
    <r>
      <rPr>
        <sz val="11"/>
        <color theme="1"/>
        <rFont val="Calibri"/>
        <family val="2"/>
        <scheme val="minor"/>
      </rPr>
      <t>Factor de Conversión</t>
    </r>
  </si>
  <si>
    <r>
      <t>E =</t>
    </r>
    <r>
      <rPr>
        <sz val="11"/>
        <color theme="1"/>
        <rFont val="Calibri"/>
        <family val="2"/>
        <scheme val="minor"/>
      </rPr>
      <t xml:space="preserve"> Estimación del Esfuerzo</t>
    </r>
  </si>
  <si>
    <r>
      <t>PCA =</t>
    </r>
    <r>
      <rPr>
        <sz val="11"/>
        <color theme="1"/>
        <rFont val="Calibri"/>
        <family val="2"/>
        <scheme val="minor"/>
      </rPr>
      <t xml:space="preserve"> Puntos de Casos de Uso Ajustados</t>
    </r>
  </si>
  <si>
    <t>E =</t>
  </si>
  <si>
    <t>Tabla 6. Porcentaje de cada actividad y su valor en Horas-Hombre</t>
  </si>
  <si>
    <t>Actividad</t>
  </si>
  <si>
    <t>Porcentaje</t>
  </si>
  <si>
    <t>Total</t>
  </si>
  <si>
    <t>Horas - Hombre</t>
  </si>
  <si>
    <r>
      <t xml:space="preserve"> CH </t>
    </r>
    <r>
      <rPr>
        <b/>
        <vertAlign val="subscript"/>
        <sz val="14"/>
        <color rgb="FF0070C0"/>
        <rFont val="Calibri"/>
        <family val="2"/>
        <scheme val="minor"/>
      </rPr>
      <t>TOTAL=</t>
    </r>
  </si>
  <si>
    <t>HORAS</t>
  </si>
  <si>
    <r>
      <t>T</t>
    </r>
    <r>
      <rPr>
        <b/>
        <vertAlign val="subscript"/>
        <sz val="14"/>
        <color rgb="FF0070C0"/>
        <rFont val="Calibri"/>
        <family val="2"/>
        <scheme val="minor"/>
      </rPr>
      <t>DES TOTAL</t>
    </r>
    <r>
      <rPr>
        <b/>
        <sz val="14"/>
        <color rgb="FF0070C0"/>
        <rFont val="Calibri"/>
        <family val="2"/>
        <scheme val="minor"/>
      </rPr>
      <t>=</t>
    </r>
  </si>
  <si>
    <t>MESES</t>
  </si>
  <si>
    <t>ESTUDIO DE LA VIABILIDAD ECONÓMICA</t>
  </si>
  <si>
    <t>Tabla 7. Costos de inversión en Hardware</t>
  </si>
  <si>
    <t>Cantidad</t>
  </si>
  <si>
    <t>Subtotal (S/.)</t>
  </si>
  <si>
    <t>TOTAL</t>
  </si>
  <si>
    <t>Tabla 8. Costos de inversión en Software</t>
  </si>
  <si>
    <t>Tabla 9. Costos de inversión en muebles y enseres</t>
  </si>
  <si>
    <t>CI=CH+CS+CM</t>
  </si>
  <si>
    <t xml:space="preserve">CI= </t>
  </si>
  <si>
    <t>Tabla 10. Resumen de costos de inversión</t>
  </si>
  <si>
    <t>Ítem</t>
  </si>
  <si>
    <t>Recurso</t>
  </si>
  <si>
    <t>Total (S/.)</t>
  </si>
  <si>
    <t>Hardware</t>
  </si>
  <si>
    <t>Software</t>
  </si>
  <si>
    <t>Muebles y Enseres</t>
  </si>
  <si>
    <t>CD=CRH+CRM+CCE+CS</t>
  </si>
  <si>
    <r>
      <rPr>
        <b/>
        <sz val="11"/>
        <color theme="1"/>
        <rFont val="Calibri"/>
        <family val="2"/>
        <scheme val="minor"/>
      </rPr>
      <t xml:space="preserve">CRH: </t>
    </r>
    <r>
      <rPr>
        <sz val="11"/>
        <color theme="1"/>
        <rFont val="Calibri"/>
        <family val="2"/>
        <scheme val="minor"/>
      </rPr>
      <t>Costos de Recursos Humanos</t>
    </r>
  </si>
  <si>
    <r>
      <rPr>
        <b/>
        <sz val="11"/>
        <color theme="1"/>
        <rFont val="Calibri"/>
        <family val="2"/>
        <scheme val="minor"/>
      </rPr>
      <t>CRM</t>
    </r>
    <r>
      <rPr>
        <sz val="11"/>
        <color theme="1"/>
        <rFont val="Calibri"/>
        <family val="2"/>
        <scheme val="minor"/>
      </rPr>
      <t>: Costo de Recursos Materiales</t>
    </r>
  </si>
  <si>
    <r>
      <rPr>
        <b/>
        <sz val="11"/>
        <color theme="1"/>
        <rFont val="Calibri"/>
        <family val="2"/>
        <scheme val="minor"/>
      </rPr>
      <t xml:space="preserve">CCE: </t>
    </r>
    <r>
      <rPr>
        <sz val="11"/>
        <color theme="1"/>
        <rFont val="Calibri"/>
        <family val="2"/>
        <scheme val="minor"/>
      </rPr>
      <t>Costo de consumo de Energía</t>
    </r>
  </si>
  <si>
    <r>
      <rPr>
        <b/>
        <sz val="11"/>
        <color theme="1"/>
        <rFont val="Calibri"/>
        <family val="2"/>
        <scheme val="minor"/>
      </rPr>
      <t>CS:</t>
    </r>
    <r>
      <rPr>
        <sz val="11"/>
        <color theme="1"/>
        <rFont val="Calibri"/>
        <family val="2"/>
        <scheme val="minor"/>
      </rPr>
      <t xml:space="preserve"> Costo de Servicios</t>
    </r>
  </si>
  <si>
    <t>Tabla 11. Determinación de Costos de Recursos Humanos</t>
  </si>
  <si>
    <t>Tiempo (meses)</t>
  </si>
  <si>
    <t>Energía Eléctrica</t>
  </si>
  <si>
    <t>Consumo ((KW-hr)/mes)</t>
  </si>
  <si>
    <t>Costo (S/./(KW-hr))</t>
  </si>
  <si>
    <t>1. Internet</t>
  </si>
  <si>
    <t>Costo (S/./mes)</t>
  </si>
  <si>
    <t>Costo (S/./Equipo)</t>
  </si>
  <si>
    <t>Frecuencia (Veces/año)</t>
  </si>
  <si>
    <t>CD=</t>
  </si>
  <si>
    <t>Tabla 14. Costos de Desarrollo en Servicio</t>
  </si>
  <si>
    <t>Tabla 13. Costos de Desarrollo de Energía Eléctrica</t>
  </si>
  <si>
    <t>Tabla 12. Costos de Desarrollo de Recursos Materiales</t>
  </si>
  <si>
    <t>Humanos</t>
  </si>
  <si>
    <t>Materiales</t>
  </si>
  <si>
    <t>Servicios</t>
  </si>
  <si>
    <t>COSTO DE INVERSIÓN TOTAL =</t>
  </si>
  <si>
    <t>Beneficios</t>
  </si>
  <si>
    <t>Beneficios Tangibles</t>
  </si>
  <si>
    <t>Recursos</t>
  </si>
  <si>
    <t>Ahorro por recurso humanos</t>
  </si>
  <si>
    <t>Ahorro en papelería</t>
  </si>
  <si>
    <t>CO=CRH+CRM+CCE+CS+CM+CD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</si>
  <si>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: Costos de Mantenimiento</t>
    </r>
  </si>
  <si>
    <t>Costo (S/./Frec.)</t>
  </si>
  <si>
    <t>Tabla 21. Costos Operacionales de Energía Eléctrica</t>
  </si>
  <si>
    <t>Tabla 22. Costos Operacionales de Servicio</t>
  </si>
  <si>
    <t>Tabla 23. Costos Operacionales de Mantenimiento</t>
  </si>
  <si>
    <t>Tabla 24. Costos Operacionales de Depreciación</t>
  </si>
  <si>
    <t>CO=</t>
  </si>
  <si>
    <t>Tabla 25. Resumen de Costos Operacionales</t>
  </si>
  <si>
    <t>Mantenimiento</t>
  </si>
  <si>
    <t>Depreciación</t>
  </si>
  <si>
    <t>RESUMEN DE COSTOS</t>
  </si>
  <si>
    <t>Tabla 26. Resumen de Costos</t>
  </si>
  <si>
    <t>Costos</t>
  </si>
  <si>
    <t>Total (s/.)</t>
  </si>
  <si>
    <t>Costo de Operación Anual</t>
  </si>
  <si>
    <t>Costo de Inversión Anual</t>
  </si>
  <si>
    <t>Costo de Desarrollo Anual</t>
  </si>
  <si>
    <t>Año 0</t>
  </si>
  <si>
    <t>Año 1</t>
  </si>
  <si>
    <t>Año 2</t>
  </si>
  <si>
    <t>Año 3</t>
  </si>
  <si>
    <t xml:space="preserve">A. COSTO DE HARDWARE </t>
  </si>
  <si>
    <t>B. COSTO DE SOFTWARE</t>
  </si>
  <si>
    <t>C. COSTO DE MUEBLES</t>
  </si>
  <si>
    <t>1. COSTO DE INVERSIÓN</t>
  </si>
  <si>
    <t>2. COSTOS DE DESARROLLO</t>
  </si>
  <si>
    <t>A. RECURSOS HUMANOS</t>
  </si>
  <si>
    <t>B. COSTOS DE INSUMOS</t>
  </si>
  <si>
    <t>C. COSTO DE ENERGÍA</t>
  </si>
  <si>
    <t>D. COSTO DE SERVICIOS</t>
  </si>
  <si>
    <t>TOTAL INVERSIÓN</t>
  </si>
  <si>
    <t>3. COSTOS OPERACIONALES</t>
  </si>
  <si>
    <t>A. COSTOS DE RECURSOS HUMANOS</t>
  </si>
  <si>
    <t>C. COSTOS DE ENERGÍA</t>
  </si>
  <si>
    <t>D. COSTOS DE SERVICIOS</t>
  </si>
  <si>
    <t>E. COSTOS DE MANTENIMIENTO</t>
  </si>
  <si>
    <t>F. COSTOS DE DEPRECIACIÓN</t>
  </si>
  <si>
    <t>TOTAL, COSTO OPERACIONAL</t>
  </si>
  <si>
    <t>4. BENEFICIOS</t>
  </si>
  <si>
    <t>A. BENEFICIO TANGIBLES</t>
  </si>
  <si>
    <t>AHORRO EN EMPLEADOS</t>
  </si>
  <si>
    <t>AHORRO EN PAPELERÍA</t>
  </si>
  <si>
    <t>TOTAL, BENEFICIOS</t>
  </si>
  <si>
    <t xml:space="preserve">TOTAL, BENEFICIO NETO </t>
  </si>
  <si>
    <t>Inversión inicial</t>
  </si>
  <si>
    <t>Beneficio Anual</t>
  </si>
  <si>
    <t>Costos de operación anual</t>
  </si>
  <si>
    <t>B</t>
  </si>
  <si>
    <t>C</t>
  </si>
  <si>
    <t xml:space="preserve">VAN= </t>
  </si>
  <si>
    <t>Número de periodos</t>
  </si>
  <si>
    <t>TIR</t>
  </si>
  <si>
    <t>Tasa Interna de Retorno</t>
  </si>
  <si>
    <t>Flujo neto en el periodo j</t>
  </si>
  <si>
    <t>Año  0</t>
  </si>
  <si>
    <t>B/C</t>
  </si>
  <si>
    <t>Indicador Beneficio - Costo</t>
  </si>
  <si>
    <r>
      <rPr>
        <b/>
        <sz val="11"/>
        <color theme="1"/>
        <rFont val="Calibri"/>
        <family val="2"/>
        <scheme val="minor"/>
      </rPr>
      <t>I:</t>
    </r>
    <r>
      <rPr>
        <sz val="11"/>
        <color theme="1"/>
        <rFont val="Calibri"/>
        <family val="2"/>
        <scheme val="minor"/>
      </rPr>
      <t xml:space="preserve"> Tasa de Interes</t>
    </r>
  </si>
  <si>
    <r>
      <rPr>
        <b/>
        <sz val="11"/>
        <color theme="1"/>
        <rFont val="Calibri"/>
        <family val="2"/>
        <scheme val="minor"/>
      </rPr>
      <t>C:</t>
    </r>
    <r>
      <rPr>
        <sz val="11"/>
        <color theme="1"/>
        <rFont val="Calibri"/>
        <family val="2"/>
        <scheme val="minor"/>
      </rPr>
      <t xml:space="preserve"> Costo de Operación Anual</t>
    </r>
  </si>
  <si>
    <t>B/C =</t>
  </si>
  <si>
    <r>
      <t>B:</t>
    </r>
    <r>
      <rPr>
        <sz val="11"/>
        <color theme="1"/>
        <rFont val="Calibri"/>
        <family val="2"/>
        <scheme val="minor"/>
      </rPr>
      <t xml:space="preserve"> Beneficio Anual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</si>
  <si>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:</t>
    </r>
    <r>
      <rPr>
        <sz val="11"/>
        <color theme="1"/>
        <rFont val="Calibri"/>
        <family val="2"/>
        <scheme val="minor"/>
      </rPr>
      <t>Inversión inicial</t>
    </r>
  </si>
  <si>
    <t>VALOR</t>
  </si>
  <si>
    <t>ESTADO</t>
  </si>
  <si>
    <t>VAN</t>
  </si>
  <si>
    <t>VAN&gt;0</t>
  </si>
  <si>
    <t>B/C&gt;1</t>
  </si>
  <si>
    <t>CONDICIÓN</t>
  </si>
  <si>
    <t>años</t>
  </si>
  <si>
    <t>meses</t>
  </si>
  <si>
    <t>días</t>
  </si>
  <si>
    <t>INDICADOR ECONÓMICO</t>
  </si>
  <si>
    <t>CONCLUSIÓN</t>
  </si>
  <si>
    <t>Carga del ordenador en una hora</t>
  </si>
  <si>
    <t>Kw</t>
  </si>
  <si>
    <t>Horas diarias</t>
  </si>
  <si>
    <t>horas</t>
  </si>
  <si>
    <t>Horas al mes</t>
  </si>
  <si>
    <t>Costo Kw-hora</t>
  </si>
  <si>
    <t>Kw-hora al mes</t>
  </si>
  <si>
    <t>Carga del impresora en una hora</t>
  </si>
  <si>
    <t>Costos Kw-hora</t>
  </si>
  <si>
    <t>Administrador del sistema</t>
  </si>
  <si>
    <t>Ingresar al sistema</t>
  </si>
  <si>
    <r>
      <rPr>
        <b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: Costo de Depreciación</t>
    </r>
  </si>
  <si>
    <t>Tabla 19. Costos Operacionales de Recursos Humanos</t>
  </si>
  <si>
    <t>Tabla 20. Costos Operacionales de Recursos Materiales</t>
  </si>
  <si>
    <t>Suma</t>
  </si>
  <si>
    <t>A</t>
  </si>
  <si>
    <t>D</t>
  </si>
  <si>
    <t>E</t>
  </si>
  <si>
    <t>I. Cálculo de Puntos de Casos de Uso sin Ajustar</t>
  </si>
  <si>
    <t>(Ecuación 1)</t>
  </si>
  <si>
    <t>(Factor) +</t>
  </si>
  <si>
    <t>FPAS =</t>
  </si>
  <si>
    <t>(Ecuación 2)</t>
  </si>
  <si>
    <t>II. Cálculo de Puntos de Casos de Uso Ajustados</t>
  </si>
  <si>
    <t>III. Cálculo de Estimación del Esfuerzo</t>
  </si>
  <si>
    <t>(Ecuación 3)</t>
  </si>
  <si>
    <t>FPCS =</t>
  </si>
  <si>
    <t>(ActComp) *</t>
  </si>
  <si>
    <t xml:space="preserve">* (Factor) + </t>
  </si>
  <si>
    <t>(Ecuación 4)</t>
  </si>
  <si>
    <t>(Ecuación 5)</t>
  </si>
  <si>
    <t>(Ecuación 6)</t>
  </si>
  <si>
    <t>Factor Ambiental (FA)</t>
  </si>
  <si>
    <t>Factor de Complejidad Técnica (FCT)</t>
  </si>
  <si>
    <r>
      <t xml:space="preserve"> Σ (Peso 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indexed="8"/>
        <rFont val="Calibri"/>
        <family val="2"/>
      </rPr>
      <t xml:space="preserve"> * Valor 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indexed="8"/>
        <rFont val="Calibri"/>
        <family val="2"/>
      </rPr>
      <t>)</t>
    </r>
  </si>
  <si>
    <t>(Ecuación 7)</t>
  </si>
  <si>
    <t>(Ecuación 8)</t>
  </si>
  <si>
    <r>
      <t>T</t>
    </r>
    <r>
      <rPr>
        <b/>
        <vertAlign val="subscript"/>
        <sz val="16"/>
        <color rgb="FF0070C0"/>
        <rFont val="Calibri"/>
        <family val="2"/>
        <scheme val="minor"/>
      </rPr>
      <t>DES</t>
    </r>
    <r>
      <rPr>
        <b/>
        <sz val="16"/>
        <color rgb="FF0070C0"/>
        <rFont val="Calibri"/>
        <family val="2"/>
        <scheme val="minor"/>
      </rPr>
      <t>=  E</t>
    </r>
    <r>
      <rPr>
        <b/>
        <vertAlign val="subscript"/>
        <sz val="16"/>
        <color rgb="FF0070C0"/>
        <rFont val="Calibri"/>
        <family val="2"/>
        <scheme val="minor"/>
      </rPr>
      <t>TOTAL</t>
    </r>
    <r>
      <rPr>
        <b/>
        <sz val="16"/>
        <color rgb="FF0070C0"/>
        <rFont val="Calibri"/>
        <family val="2"/>
        <scheme val="minor"/>
      </rPr>
      <t xml:space="preserve"> / CH</t>
    </r>
    <r>
      <rPr>
        <b/>
        <vertAlign val="subscript"/>
        <sz val="16"/>
        <color rgb="FF0070C0"/>
        <rFont val="Calibri"/>
        <family val="2"/>
        <scheme val="minor"/>
      </rPr>
      <t>TOTAL</t>
    </r>
  </si>
  <si>
    <r>
      <rPr>
        <b/>
        <sz val="12"/>
        <rFont val="Calibri"/>
        <family val="2"/>
        <scheme val="minor"/>
      </rPr>
      <t xml:space="preserve">E </t>
    </r>
    <r>
      <rPr>
        <b/>
        <vertAlign val="subscript"/>
        <sz val="12"/>
        <rFont val="Calibri"/>
        <family val="2"/>
        <scheme val="minor"/>
      </rPr>
      <t>TOTAL</t>
    </r>
    <r>
      <rPr>
        <b/>
        <sz val="12"/>
        <rFont val="Calibri"/>
        <family val="2"/>
        <scheme val="minor"/>
      </rPr>
      <t xml:space="preserve"> = </t>
    </r>
    <r>
      <rPr>
        <sz val="12"/>
        <rFont val="Calibri"/>
        <family val="2"/>
        <scheme val="minor"/>
      </rPr>
      <t>Esfuerzo total</t>
    </r>
  </si>
  <si>
    <r>
      <t xml:space="preserve"> CH </t>
    </r>
    <r>
      <rPr>
        <b/>
        <vertAlign val="subscript"/>
        <sz val="12"/>
        <rFont val="Calibri"/>
        <family val="2"/>
        <scheme val="minor"/>
      </rPr>
      <t>TOTAL</t>
    </r>
    <r>
      <rPr>
        <b/>
        <sz val="12"/>
        <rFont val="Calibri"/>
        <family val="2"/>
        <scheme val="minor"/>
      </rPr>
      <t xml:space="preserve"> = </t>
    </r>
    <r>
      <rPr>
        <sz val="12"/>
        <rFont val="Calibri"/>
        <family val="2"/>
        <scheme val="minor"/>
      </rPr>
      <t>Cantidad de Hombres que participan en el desarrollo</t>
    </r>
  </si>
  <si>
    <t>IV. Cálculo del Tiempo de Desarrollo (TDES)</t>
  </si>
  <si>
    <t>I. Determinación del Costo de Inversión</t>
  </si>
  <si>
    <t>A. Costos de Hardware (CH)</t>
  </si>
  <si>
    <t>B. Costos de Software (CS)</t>
  </si>
  <si>
    <t>C. Costos de Muebles o Enseres (CM)</t>
  </si>
  <si>
    <t>II. Determinación del Costo de Desarrollo</t>
  </si>
  <si>
    <r>
      <rPr>
        <b/>
        <sz val="11"/>
        <color theme="1"/>
        <rFont val="Calibri"/>
        <family val="2"/>
        <scheme val="minor"/>
      </rPr>
      <t>CS =</t>
    </r>
    <r>
      <rPr>
        <sz val="11"/>
        <color theme="1"/>
        <rFont val="Calibri"/>
        <family val="2"/>
        <scheme val="minor"/>
      </rPr>
      <t xml:space="preserve"> Costo de Inversión en Software</t>
    </r>
  </si>
  <si>
    <r>
      <rPr>
        <b/>
        <sz val="11"/>
        <color theme="1"/>
        <rFont val="Calibri"/>
        <family val="2"/>
        <scheme val="minor"/>
      </rPr>
      <t xml:space="preserve">CH = </t>
    </r>
    <r>
      <rPr>
        <sz val="11"/>
        <color theme="1"/>
        <rFont val="Calibri"/>
        <family val="2"/>
        <scheme val="minor"/>
      </rPr>
      <t>Costos de Inversión en Hardware</t>
    </r>
  </si>
  <si>
    <r>
      <rPr>
        <b/>
        <sz val="11"/>
        <color theme="1"/>
        <rFont val="Calibri"/>
        <family val="2"/>
        <scheme val="minor"/>
      </rPr>
      <t xml:space="preserve">CM = </t>
    </r>
    <r>
      <rPr>
        <sz val="11"/>
        <color theme="1"/>
        <rFont val="Calibri"/>
        <family val="2"/>
        <scheme val="minor"/>
      </rPr>
      <t>Costo de muebles o enseres</t>
    </r>
  </si>
  <si>
    <t>(Ecuación 9)</t>
  </si>
  <si>
    <t>(Ecuación 10)</t>
  </si>
  <si>
    <t>A. Costos de Recursos Humanos (CRH)</t>
  </si>
  <si>
    <t>B. Costos de Recursos Materiales (CRM)</t>
  </si>
  <si>
    <t>C. Costos de Energía Eléctrica</t>
  </si>
  <si>
    <t>D. Costo de Servicio</t>
  </si>
  <si>
    <t>III. Beneficios</t>
  </si>
  <si>
    <t>IV. Determinación de Costos Operacionales (S/./año)</t>
  </si>
  <si>
    <t>(Ecuación 11)</t>
  </si>
  <si>
    <t>(Ecuación 12)</t>
  </si>
  <si>
    <t xml:space="preserve"> C. Costos de Consumo de Energía (CCE)</t>
  </si>
  <si>
    <t>días/mes)</t>
  </si>
  <si>
    <t xml:space="preserve"> días/mes)</t>
  </si>
  <si>
    <t>D.  Costos de Servicios (CS)</t>
  </si>
  <si>
    <t>E. Costo de Mantenimiento (CM)</t>
  </si>
  <si>
    <t>F. Costo de Depreciación (CD)</t>
  </si>
  <si>
    <t xml:space="preserve">Tabla 27. Flujo de Caja </t>
  </si>
  <si>
    <t>TIR =</t>
  </si>
  <si>
    <t xml:space="preserve">TIR = </t>
  </si>
  <si>
    <t>VI. Cálculo de Índices Económicos</t>
  </si>
  <si>
    <t>(Ecuación 17)</t>
  </si>
  <si>
    <t>(Ecuación 16)</t>
  </si>
  <si>
    <t>(Ecuación 15)</t>
  </si>
  <si>
    <t>(Ecuación 14)</t>
  </si>
  <si>
    <t>(Ecuación 13)</t>
  </si>
  <si>
    <t>Sueldo Básico</t>
  </si>
  <si>
    <t>Días al mes</t>
  </si>
  <si>
    <t>B =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</si>
  <si>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 xml:space="preserve">o </t>
    </r>
    <r>
      <rPr>
        <b/>
        <sz val="11"/>
        <color theme="1"/>
        <rFont val="Calibri"/>
        <family val="2"/>
        <scheme val="minor"/>
      </rPr>
      <t>=</t>
    </r>
  </si>
  <si>
    <t>i =</t>
  </si>
  <si>
    <t>n =</t>
  </si>
  <si>
    <t>C =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</si>
  <si>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=</t>
    </r>
  </si>
  <si>
    <r>
      <t>FN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=</t>
    </r>
  </si>
  <si>
    <t>B = Beneficio Anual</t>
  </si>
  <si>
    <r>
      <rPr>
        <b/>
        <sz val="11"/>
        <color theme="1"/>
        <rFont val="Calibri"/>
        <family val="2"/>
        <scheme val="minor"/>
      </rPr>
      <t xml:space="preserve">I = </t>
    </r>
    <r>
      <rPr>
        <sz val="11"/>
        <color theme="1"/>
        <rFont val="Calibri"/>
        <family val="2"/>
        <scheme val="minor"/>
      </rPr>
      <t>Tasa de Interes</t>
    </r>
  </si>
  <si>
    <t>V. Flujo de Caja</t>
  </si>
  <si>
    <t xml:space="preserve">Horizonte de Tiempo </t>
  </si>
  <si>
    <t>1. Valor Actual Neto (VAN)</t>
  </si>
  <si>
    <t>2. Tasa Interna de Retorno (TIR)</t>
  </si>
  <si>
    <t>3. Cálculo de Indicador de Beneficio/Costo</t>
  </si>
  <si>
    <t>4. Tiempo de Recuperación de la Inversión (TR)</t>
  </si>
  <si>
    <t>Flujo</t>
  </si>
  <si>
    <r>
      <rPr>
        <b/>
        <sz val="11"/>
        <color theme="1"/>
        <rFont val="Calibri"/>
        <family val="2"/>
        <scheme val="minor"/>
      </rPr>
      <t xml:space="preserve">n: </t>
    </r>
    <r>
      <rPr>
        <sz val="11"/>
        <color theme="1"/>
        <rFont val="Calibri"/>
        <family val="2"/>
        <scheme val="minor"/>
      </rPr>
      <t>Horizonte de Tiempo</t>
    </r>
  </si>
  <si>
    <t>Beneficio</t>
  </si>
  <si>
    <t>Costo (S/.)</t>
  </si>
  <si>
    <t xml:space="preserve">Costo </t>
  </si>
  <si>
    <t>TR =</t>
  </si>
  <si>
    <r>
      <rPr>
        <sz val="11"/>
        <color rgb="FF000000"/>
        <rFont val="Calibri"/>
        <family val="2"/>
        <scheme val="minor"/>
      </rPr>
      <t xml:space="preserve">El proyecto es </t>
    </r>
    <r>
      <rPr>
        <b/>
        <sz val="11"/>
        <color rgb="FF000000"/>
        <rFont val="Calibri"/>
        <family val="2"/>
        <scheme val="minor"/>
      </rPr>
      <t>económicamente factible</t>
    </r>
    <r>
      <rPr>
        <sz val="11"/>
        <color rgb="FF000000"/>
        <rFont val="Calibri"/>
        <family val="2"/>
        <scheme val="minor"/>
      </rPr>
      <t xml:space="preserve"> pues los indicadores económicos calculados lo demuestran.</t>
    </r>
  </si>
  <si>
    <t xml:space="preserve">Tasa de Interés </t>
  </si>
  <si>
    <t>TASA</t>
  </si>
  <si>
    <t>Registrar empleado</t>
  </si>
  <si>
    <t>Empleado</t>
  </si>
  <si>
    <t>Casos de Uso</t>
  </si>
  <si>
    <t>año(s)</t>
  </si>
  <si>
    <t>mes(es)</t>
  </si>
  <si>
    <t>dia(s)</t>
  </si>
  <si>
    <t>día/horas</t>
  </si>
  <si>
    <t>semana/días</t>
  </si>
  <si>
    <t>mes/semanas</t>
  </si>
  <si>
    <t>Puestos</t>
  </si>
  <si>
    <t>Pasajes y viáticos (S/. mes)</t>
  </si>
  <si>
    <t>Transporte</t>
  </si>
  <si>
    <t>Recursos humanos</t>
  </si>
  <si>
    <t>Materiales e Insumos</t>
  </si>
  <si>
    <t>CD=CRH+CRM+CCE+CS+CT</t>
  </si>
  <si>
    <t>Tabla 15. Costos de transporte</t>
  </si>
  <si>
    <t>Tabla 16. Resumen de costos de desarrollo</t>
  </si>
  <si>
    <t>Tabla 17. Ahorro por recursos humanos</t>
  </si>
  <si>
    <t>Tabla 18. Ahorro por materiales e insumos</t>
  </si>
  <si>
    <t xml:space="preserve">Tabla 19. Resumen de los beneficios tangibles </t>
  </si>
  <si>
    <t>E. COSTO DE TRANSPORTE</t>
  </si>
  <si>
    <t>E. Costo de Transporte</t>
  </si>
  <si>
    <t>Unidad de Medida</t>
  </si>
  <si>
    <t>Millar</t>
  </si>
  <si>
    <t>Unidad</t>
  </si>
  <si>
    <t>Medida</t>
  </si>
  <si>
    <t>Cartucho</t>
  </si>
  <si>
    <t>Vida Útil (años)</t>
  </si>
  <si>
    <t>Gerente</t>
  </si>
  <si>
    <t>Administrador</t>
  </si>
  <si>
    <t>Contador</t>
  </si>
  <si>
    <t>Aprobar rendicion de gastos</t>
  </si>
  <si>
    <t>Contabilizar rendicion de gastos</t>
  </si>
  <si>
    <t>Editar rendicion de gastos</t>
  </si>
  <si>
    <t>Registrar rendicion de gastos</t>
  </si>
  <si>
    <t>Observar rendicion de gastos</t>
  </si>
  <si>
    <t>Abonar reposicion de gastos</t>
  </si>
  <si>
    <t>Aprobar reposicion de gastos</t>
  </si>
  <si>
    <t>Contabilizar reposicion de gastos</t>
  </si>
  <si>
    <t>Editar reposicion de gastos</t>
  </si>
  <si>
    <t>Registrar reposicion de gastos</t>
  </si>
  <si>
    <t>Aprobar requerimiento de bienes y servicios</t>
  </si>
  <si>
    <t>Atender requerimiento de bienes y servicios</t>
  </si>
  <si>
    <t>Contabilizar factura</t>
  </si>
  <si>
    <t>Contabilizar requerimiento de bienes y servicios</t>
  </si>
  <si>
    <t>Editar requerimiento de bienes y servicios</t>
  </si>
  <si>
    <t>Marcar factura en el sistema</t>
  </si>
  <si>
    <t>Registrar requerimiento de bienes y servicios</t>
  </si>
  <si>
    <t>Abonar solicitud de fondos</t>
  </si>
  <si>
    <t>Aprobar solicitud de fondos</t>
  </si>
  <si>
    <t>Contabilizar solicitud de fondos</t>
  </si>
  <si>
    <t>Editar solicitud de fondos</t>
  </si>
  <si>
    <t>Registrar solicitud de fondos</t>
  </si>
  <si>
    <t>Asignar contadores a un proyecto</t>
  </si>
  <si>
    <t>Asignar gerente a un proyecto</t>
  </si>
  <si>
    <t>Modificar Empleado</t>
  </si>
  <si>
    <t>Modificar proyecto</t>
  </si>
  <si>
    <t>Registrar proyecto</t>
  </si>
  <si>
    <t>Ver historial de errores del sistema</t>
  </si>
  <si>
    <t>Ver historial de ingresos al sistema</t>
  </si>
  <si>
    <t>Ver historial general de operaciones</t>
  </si>
  <si>
    <t>Cerrar sesion</t>
  </si>
  <si>
    <t>Dar de baja empleado</t>
  </si>
  <si>
    <t>Especificaciones Tecnicas</t>
  </si>
  <si>
    <t>Computadora</t>
  </si>
  <si>
    <t>Impresora</t>
  </si>
  <si>
    <t>Smartphone</t>
  </si>
  <si>
    <t>Disponible</t>
  </si>
  <si>
    <t>Core i3 7ma CPU 3.9 GHz</t>
  </si>
  <si>
    <t>Core i5 9na CPU 2.8 GHz</t>
  </si>
  <si>
    <t>Epson L365</t>
  </si>
  <si>
    <t>Samsung J5 Prime</t>
  </si>
  <si>
    <t>No</t>
  </si>
  <si>
    <t>Si</t>
  </si>
  <si>
    <t>Herramienta de modelado: IBM</t>
  </si>
  <si>
    <t>Servidor web XAMP</t>
  </si>
  <si>
    <t>Sistema Operativo windows 8.1</t>
  </si>
  <si>
    <t>Mueble para Ordenador</t>
  </si>
  <si>
    <t>Recursos Humanos</t>
  </si>
  <si>
    <t>Tipo de Inversión</t>
  </si>
  <si>
    <t>Analista</t>
  </si>
  <si>
    <t>Programador</t>
  </si>
  <si>
    <t>Insumo</t>
  </si>
  <si>
    <t>Papel A4 80 gr</t>
  </si>
  <si>
    <t>Lapiceros</t>
  </si>
  <si>
    <t>Tinta para impresora</t>
  </si>
  <si>
    <t>Folder Manila A4</t>
  </si>
  <si>
    <t>Consumo (kw/h)</t>
  </si>
  <si>
    <t>Ordenador con procesador Core i3 7ma CPU 3.9 GHz</t>
  </si>
  <si>
    <t>Ordenador con procesador Core i5 9na CPU 2.8 GHz</t>
  </si>
  <si>
    <t>Impresora Epson L365</t>
  </si>
  <si>
    <t>Telefonia</t>
  </si>
  <si>
    <t>Internet</t>
  </si>
  <si>
    <t>Tipo de costo de desarrollo</t>
  </si>
  <si>
    <t>Asesoría</t>
  </si>
  <si>
    <t>Papel Bond A4</t>
  </si>
  <si>
    <t>Recarga tinta negra para impresora</t>
  </si>
  <si>
    <t>Recarga tinta color para impresora</t>
  </si>
  <si>
    <t>Ordenador</t>
  </si>
  <si>
    <t>Tiempo (h/año)</t>
  </si>
  <si>
    <t>Consumo (kw)</t>
  </si>
  <si>
    <t>Ahorro en horas extras</t>
  </si>
  <si>
    <t>Hora</t>
  </si>
  <si>
    <t>Dar de baja proyecto</t>
  </si>
  <si>
    <t>Hosting y dominio</t>
  </si>
  <si>
    <t>2. Hosting y dominio</t>
  </si>
  <si>
    <t>Costo (S/)</t>
  </si>
  <si>
    <t>Costo (S/./Unidad)</t>
  </si>
  <si>
    <t>Nº</t>
  </si>
  <si>
    <t>E1</t>
  </si>
  <si>
    <t>E2</t>
  </si>
  <si>
    <t>E3</t>
  </si>
  <si>
    <t>E4</t>
  </si>
  <si>
    <t>E5</t>
  </si>
  <si>
    <t>E6</t>
  </si>
  <si>
    <t>E7</t>
  </si>
  <si>
    <t>E8</t>
  </si>
  <si>
    <t>Análisis</t>
  </si>
  <si>
    <t>Diseño</t>
  </si>
  <si>
    <t>Programación</t>
  </si>
  <si>
    <t>Prueba</t>
  </si>
  <si>
    <t>Sobrecarga (otras actividades)</t>
  </si>
  <si>
    <t>Modificar usuario</t>
  </si>
  <si>
    <t>Eliminar contador a un proyecto</t>
  </si>
  <si>
    <t>Ver requerimiento de bienes y servicios</t>
  </si>
  <si>
    <t>Ver reposición de gastos</t>
  </si>
  <si>
    <t>Ver rendición de gastos</t>
  </si>
  <si>
    <t>Ver solicitud de fondos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</si>
  <si>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A: Impacto significativo en el diseño de la arquitectura.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</si>
  <si>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B: Incluye funciones complejas, críticas en el tiempo o de nivel elevado de riesgo.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</si>
  <si>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C: Implica bien un trabajo de investigación significante, o bien el uso de una tecnología nueva o arriesgada.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</si>
  <si>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D: Representa un proceso de gran importancia en la línea de negocio.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</si>
  <si>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E: Supone directamente un aumento de beneficios o una disminución de costes.</t>
    </r>
  </si>
  <si>
    <t>https://keepservices.com/2018/09/08/consumo-electrico-de-las-computadoras/</t>
  </si>
  <si>
    <t>https://www.electrocalculator.com/</t>
  </si>
  <si>
    <t>Costo KwH Fuente Recibo de Hidrandina Octubre  2021</t>
  </si>
  <si>
    <t>Mantener unidad de medida</t>
  </si>
  <si>
    <t>TIR&gt;4,25%</t>
  </si>
  <si>
    <t>https://assets.website-files.com/60f044dd4d67e20af26a2f60/619d9ff09d6327869556de8a_Tarifario%20Alfin%20Banco.pdf</t>
  </si>
  <si>
    <t>Monto mensual (S/.)</t>
  </si>
  <si>
    <t>B/C=VPB/VPC</t>
  </si>
  <si>
    <t>VPB</t>
  </si>
  <si>
    <t>VPC</t>
  </si>
  <si>
    <t>VPB=</t>
  </si>
  <si>
    <t>VPC=</t>
  </si>
  <si>
    <t>VPC =</t>
  </si>
  <si>
    <t>VPB =</t>
  </si>
  <si>
    <t>Valor presente de los Beneficios</t>
  </si>
  <si>
    <t>Valor presente de los Costos</t>
  </si>
  <si>
    <t>Consumo Ordenador KwH Fuente KeepServices 2021</t>
  </si>
  <si>
    <t>Consumo Impresora KwH Fuente ElectroCalculator 2021</t>
  </si>
  <si>
    <t>Tasa interes a plazo fijo Fuente Alfin Banco 2021</t>
  </si>
  <si>
    <t>Framework de desarrollo: Laravel</t>
  </si>
  <si>
    <t>Lenguaje de Desarrollo PHP</t>
  </si>
  <si>
    <t>Gestor de Bases de datos MySQL</t>
  </si>
  <si>
    <t>https://www.sbs.gob.pe/app/pp/EstadisticasSAEEPortal/Paginas/TIActivaTipoCreditoEmpresa.aspx?tip=B</t>
  </si>
  <si>
    <t>Tasa interes para prestamo a mas de 360 dias a mediana empresa BCP 2021</t>
  </si>
  <si>
    <t>Eliminar archivo de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</si>
</sst>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00"/>
    <numFmt numFmtId="166" formatCode="_-[$S/-280A]\ * #,##0.00_-;\-[$S/-280A]\ * #,##0.00_-;_-[$S/-280A]\ * &quot;-&quot;??_-;_-@_-"/>
    <numFmt numFmtId="167" formatCode="_-[$S/-280A]* #,##0.00_-;\-[$S/-280A]* #,##0.00_-;_-[$S/-280A]* &quot;-&quot;??_-;_-@_-"/>
    <numFmt numFmtId="168" formatCode="#,##0.00_ ;\-#,##0.00\ "/>
    <numFmt numFmtId="169" formatCode="#,##0.0000_ ;\-#,##0.0000\ "/>
  </numFmts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4" tint="-0.249977111117893"/>
      <name val="Calibri"/>
      <family val="2"/>
    </font>
    <font>
      <b/>
      <sz val="12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2"/>
      <color theme="4" tint="0.39997558519241921"/>
      <name val="Calibri"/>
      <family val="2"/>
      <scheme val="minor"/>
    </font>
    <font>
      <b/>
      <vertAlign val="subscript"/>
      <sz val="14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i/>
      <sz val="12"/>
      <color theme="9" tint="0.3999755851924192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9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i/>
      <sz val="14"/>
      <color theme="9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vertAlign val="subscript"/>
      <sz val="11"/>
      <color rgb="FF000000"/>
      <name val="Calibri"/>
      <family val="2"/>
    </font>
    <font>
      <b/>
      <sz val="16"/>
      <color theme="0"/>
      <name val="Calibri"/>
      <family val="2"/>
    </font>
    <font>
      <b/>
      <sz val="16"/>
      <color rgb="FF0070C0"/>
      <name val="Calibri"/>
      <family val="2"/>
      <scheme val="minor"/>
    </font>
    <font>
      <b/>
      <vertAlign val="subscript"/>
      <sz val="16"/>
      <color rgb="FF0070C0"/>
      <name val="Calibri"/>
      <family val="2"/>
      <scheme val="minor"/>
    </font>
    <font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i/>
      <sz val="14"/>
      <color theme="9" tint="-0.499984740745262"/>
      <name val="Calibri"/>
      <family val="2"/>
      <scheme val="minor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8"/>
      <color theme="9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6" fillId="0" borderId="0" applyNumberFormat="0" applyFill="0" applyBorder="0" applyAlignment="0" applyProtection="0"/>
  </cellStyleXfs>
  <cellXfs count="443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" fontId="0" fillId="0" borderId="5" xfId="0" applyNumberFormat="1" applyBorder="1"/>
    <xf numFmtId="16" fontId="0" fillId="0" borderId="12" xfId="0" applyNumberFormat="1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0" fillId="0" borderId="7" xfId="0" applyBorder="1"/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9" fillId="5" borderId="13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7" borderId="35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1" fillId="0" borderId="13" xfId="0" applyFont="1" applyBorder="1"/>
    <xf numFmtId="0" fontId="0" fillId="0" borderId="40" xfId="0" applyBorder="1"/>
    <xf numFmtId="10" fontId="0" fillId="0" borderId="17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0" fillId="0" borderId="27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5" xfId="0" applyBorder="1"/>
    <xf numFmtId="0" fontId="0" fillId="0" borderId="41" xfId="0" applyBorder="1"/>
    <xf numFmtId="0" fontId="0" fillId="0" borderId="42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6" fontId="7" fillId="8" borderId="13" xfId="0" applyNumberFormat="1" applyFont="1" applyFill="1" applyBorder="1"/>
    <xf numFmtId="10" fontId="0" fillId="0" borderId="13" xfId="0" applyNumberFormat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166" fontId="7" fillId="8" borderId="35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8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32" fillId="11" borderId="0" xfId="0" applyFont="1" applyFill="1"/>
    <xf numFmtId="0" fontId="10" fillId="0" borderId="16" xfId="0" applyFont="1" applyBorder="1" applyAlignment="1">
      <alignment horizontal="center" vertical="center"/>
    </xf>
    <xf numFmtId="0" fontId="1" fillId="0" borderId="25" xfId="0" applyFont="1" applyBorder="1"/>
    <xf numFmtId="0" fontId="0" fillId="0" borderId="28" xfId="0" applyBorder="1" applyAlignment="1">
      <alignment horizontal="left" indent="1"/>
    </xf>
    <xf numFmtId="0" fontId="0" fillId="0" borderId="28" xfId="0" applyBorder="1" applyAlignment="1">
      <alignment horizontal="left" indent="2"/>
    </xf>
    <xf numFmtId="0" fontId="0" fillId="0" borderId="28" xfId="0" applyBorder="1" applyAlignment="1">
      <alignment horizontal="left" indent="4"/>
    </xf>
    <xf numFmtId="0" fontId="1" fillId="0" borderId="30" xfId="0" applyFont="1" applyBorder="1"/>
    <xf numFmtId="0" fontId="0" fillId="0" borderId="39" xfId="0" applyBorder="1" applyAlignment="1">
      <alignment horizontal="left" indent="1"/>
    </xf>
    <xf numFmtId="0" fontId="0" fillId="0" borderId="52" xfId="0" applyBorder="1"/>
    <xf numFmtId="0" fontId="1" fillId="0" borderId="30" xfId="0" applyFont="1" applyBorder="1" applyAlignment="1">
      <alignment horizontal="left" indent="3"/>
    </xf>
    <xf numFmtId="0" fontId="1" fillId="0" borderId="47" xfId="0" applyFont="1" applyBorder="1"/>
    <xf numFmtId="166" fontId="1" fillId="0" borderId="31" xfId="0" applyNumberFormat="1" applyFont="1" applyBorder="1"/>
    <xf numFmtId="0" fontId="1" fillId="0" borderId="39" xfId="0" applyFont="1" applyBorder="1" applyAlignment="1">
      <alignment horizontal="left" indent="3"/>
    </xf>
    <xf numFmtId="166" fontId="10" fillId="0" borderId="14" xfId="0" applyNumberFormat="1" applyFont="1" applyBorder="1"/>
    <xf numFmtId="166" fontId="10" fillId="0" borderId="29" xfId="0" applyNumberFormat="1" applyFont="1" applyBorder="1"/>
    <xf numFmtId="166" fontId="10" fillId="0" borderId="46" xfId="0" applyNumberFormat="1" applyFont="1" applyBorder="1"/>
    <xf numFmtId="166" fontId="10" fillId="0" borderId="26" xfId="0" applyNumberFormat="1" applyFont="1" applyBorder="1"/>
    <xf numFmtId="166" fontId="1" fillId="0" borderId="32" xfId="0" applyNumberFormat="1" applyFont="1" applyBorder="1"/>
    <xf numFmtId="166" fontId="1" fillId="10" borderId="49" xfId="0" applyNumberFormat="1" applyFont="1" applyFill="1" applyBorder="1"/>
    <xf numFmtId="166" fontId="1" fillId="0" borderId="48" xfId="0" applyNumberFormat="1" applyFont="1" applyBorder="1"/>
    <xf numFmtId="0" fontId="7" fillId="8" borderId="13" xfId="0" applyFont="1" applyFill="1" applyBorder="1"/>
    <xf numFmtId="0" fontId="39" fillId="12" borderId="0" xfId="0" applyFont="1" applyFill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0" fillId="4" borderId="0" xfId="0" applyFill="1"/>
    <xf numFmtId="0" fontId="44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8" fillId="4" borderId="0" xfId="0" applyFont="1" applyFill="1"/>
    <xf numFmtId="0" fontId="1" fillId="4" borderId="0" xfId="0" applyFont="1" applyFill="1" applyAlignment="1">
      <alignment horizontal="right"/>
    </xf>
    <xf numFmtId="0" fontId="20" fillId="4" borderId="0" xfId="0" applyFont="1" applyFill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4" borderId="0" xfId="0" applyFont="1" applyFill="1"/>
    <xf numFmtId="165" fontId="22" fillId="4" borderId="0" xfId="0" applyNumberFormat="1" applyFont="1" applyFill="1"/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10" fontId="45" fillId="0" borderId="19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6" fillId="4" borderId="0" xfId="0" applyFont="1" applyFill="1"/>
    <xf numFmtId="0" fontId="17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47" fillId="4" borderId="0" xfId="0" applyFont="1" applyFill="1" applyAlignment="1">
      <alignment horizontal="right" vertical="center"/>
    </xf>
    <xf numFmtId="0" fontId="47" fillId="4" borderId="0" xfId="0" applyFont="1" applyFill="1" applyAlignment="1">
      <alignment horizontal="center" vertical="center"/>
    </xf>
    <xf numFmtId="0" fontId="49" fillId="5" borderId="13" xfId="0" applyFont="1" applyFill="1" applyBorder="1" applyAlignment="1">
      <alignment horizontal="center"/>
    </xf>
    <xf numFmtId="0" fontId="43" fillId="4" borderId="0" xfId="0" applyFont="1" applyFill="1"/>
    <xf numFmtId="0" fontId="50" fillId="4" borderId="0" xfId="0" applyFont="1" applyFill="1" applyAlignment="1">
      <alignment horizontal="right" vertical="center"/>
    </xf>
    <xf numFmtId="0" fontId="52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166" fontId="27" fillId="4" borderId="0" xfId="0" applyNumberFormat="1" applyFont="1" applyFill="1" applyAlignment="1">
      <alignment horizontal="center"/>
    </xf>
    <xf numFmtId="166" fontId="10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vertical="center"/>
    </xf>
    <xf numFmtId="166" fontId="0" fillId="4" borderId="0" xfId="0" applyNumberFormat="1" applyFill="1"/>
    <xf numFmtId="0" fontId="1" fillId="0" borderId="13" xfId="0" applyFont="1" applyBorder="1" applyAlignment="1">
      <alignment horizontal="center" vertical="center"/>
    </xf>
    <xf numFmtId="166" fontId="10" fillId="8" borderId="35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center"/>
    </xf>
    <xf numFmtId="0" fontId="54" fillId="4" borderId="0" xfId="0" applyFont="1" applyFill="1" applyAlignment="1">
      <alignment horizontal="center" vertical="center"/>
    </xf>
    <xf numFmtId="0" fontId="0" fillId="0" borderId="44" xfId="0" applyBorder="1"/>
    <xf numFmtId="0" fontId="0" fillId="0" borderId="24" xfId="0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7" fillId="4" borderId="0" xfId="0" applyNumberFormat="1" applyFont="1" applyFill="1"/>
    <xf numFmtId="0" fontId="25" fillId="4" borderId="0" xfId="0" applyFont="1" applyFill="1"/>
    <xf numFmtId="0" fontId="0" fillId="4" borderId="33" xfId="0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6" fillId="4" borderId="0" xfId="0" applyFont="1" applyFill="1"/>
    <xf numFmtId="166" fontId="0" fillId="4" borderId="0" xfId="0" applyNumberFormat="1" applyFill="1" applyAlignment="1">
      <alignment horizontal="center" vertical="center"/>
    </xf>
    <xf numFmtId="0" fontId="0" fillId="4" borderId="16" xfId="0" applyFill="1" applyBorder="1"/>
    <xf numFmtId="0" fontId="0" fillId="4" borderId="36" xfId="0" applyFill="1" applyBorder="1"/>
    <xf numFmtId="0" fontId="1" fillId="4" borderId="23" xfId="0" applyFont="1" applyFill="1" applyBorder="1"/>
    <xf numFmtId="0" fontId="0" fillId="4" borderId="37" xfId="0" applyFill="1" applyBorder="1"/>
    <xf numFmtId="0" fontId="0" fillId="4" borderId="33" xfId="0" applyFill="1" applyBorder="1"/>
    <xf numFmtId="0" fontId="0" fillId="4" borderId="61" xfId="0" applyFill="1" applyBorder="1"/>
    <xf numFmtId="0" fontId="28" fillId="4" borderId="0" xfId="0" applyFont="1" applyFill="1" applyAlignment="1">
      <alignment horizontal="right"/>
    </xf>
    <xf numFmtId="0" fontId="1" fillId="4" borderId="0" xfId="0" applyFont="1" applyFill="1" applyAlignment="1">
      <alignment horizontal="left" vertical="top"/>
    </xf>
    <xf numFmtId="0" fontId="35" fillId="4" borderId="0" xfId="0" applyFont="1" applyFill="1" applyAlignment="1">
      <alignment horizontal="right"/>
    </xf>
    <xf numFmtId="0" fontId="32" fillId="11" borderId="0" xfId="0" applyFont="1" applyFill="1" applyAlignment="1">
      <alignment horizontal="left"/>
    </xf>
    <xf numFmtId="2" fontId="37" fillId="4" borderId="36" xfId="0" applyNumberFormat="1" applyFont="1" applyFill="1" applyBorder="1" applyAlignment="1">
      <alignment horizontal="center"/>
    </xf>
    <xf numFmtId="2" fontId="37" fillId="4" borderId="37" xfId="0" applyNumberFormat="1" applyFont="1" applyFill="1" applyBorder="1" applyAlignment="1">
      <alignment horizontal="center"/>
    </xf>
    <xf numFmtId="2" fontId="37" fillId="4" borderId="61" xfId="0" applyNumberFormat="1" applyFont="1" applyFill="1" applyBorder="1" applyAlignment="1">
      <alignment horizontal="center"/>
    </xf>
    <xf numFmtId="0" fontId="34" fillId="0" borderId="3" xfId="0" applyFont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4" borderId="62" xfId="0" applyFont="1" applyFill="1" applyBorder="1"/>
    <xf numFmtId="0" fontId="0" fillId="4" borderId="2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1" xfId="0" applyFont="1" applyBorder="1"/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/>
    </xf>
    <xf numFmtId="0" fontId="34" fillId="0" borderId="58" xfId="0" applyFont="1" applyBorder="1" applyAlignment="1">
      <alignment horizontal="center"/>
    </xf>
    <xf numFmtId="2" fontId="36" fillId="4" borderId="60" xfId="0" applyNumberFormat="1" applyFont="1" applyFill="1" applyBorder="1" applyAlignment="1">
      <alignment horizontal="center" vertical="center"/>
    </xf>
    <xf numFmtId="10" fontId="36" fillId="4" borderId="63" xfId="0" applyNumberFormat="1" applyFont="1" applyFill="1" applyBorder="1" applyAlignment="1">
      <alignment horizontal="center" vertical="center"/>
    </xf>
    <xf numFmtId="2" fontId="36" fillId="4" borderId="64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4" fillId="0" borderId="42" xfId="0" applyFont="1" applyBorder="1" applyAlignment="1">
      <alignment horizontal="center"/>
    </xf>
    <xf numFmtId="2" fontId="36" fillId="4" borderId="10" xfId="0" applyNumberFormat="1" applyFont="1" applyFill="1" applyBorder="1" applyAlignment="1">
      <alignment horizontal="center"/>
    </xf>
    <xf numFmtId="2" fontId="36" fillId="4" borderId="50" xfId="0" applyNumberFormat="1" applyFont="1" applyFill="1" applyBorder="1" applyAlignment="1">
      <alignment horizontal="center"/>
    </xf>
    <xf numFmtId="2" fontId="36" fillId="4" borderId="48" xfId="0" applyNumberFormat="1" applyFont="1" applyFill="1" applyBorder="1" applyAlignment="1">
      <alignment horizontal="center"/>
    </xf>
    <xf numFmtId="166" fontId="7" fillId="4" borderId="30" xfId="0" applyNumberFormat="1" applyFont="1" applyFill="1" applyBorder="1"/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/>
    </xf>
    <xf numFmtId="0" fontId="57" fillId="4" borderId="0" xfId="0" applyFont="1" applyFill="1" applyAlignment="1">
      <alignment horizontal="right"/>
    </xf>
    <xf numFmtId="0" fontId="1" fillId="10" borderId="9" xfId="0" quotePrefix="1" applyFont="1" applyFill="1" applyBorder="1" applyAlignment="1">
      <alignment horizontal="center" vertical="center"/>
    </xf>
    <xf numFmtId="0" fontId="1" fillId="10" borderId="10" xfId="0" quotePrefix="1" applyFont="1" applyFill="1" applyBorder="1" applyAlignment="1">
      <alignment horizontal="center" vertical="center"/>
    </xf>
    <xf numFmtId="0" fontId="1" fillId="10" borderId="11" xfId="0" quotePrefix="1" applyFont="1" applyFill="1" applyBorder="1" applyAlignment="1">
      <alignment horizontal="center" vertical="center"/>
    </xf>
    <xf numFmtId="0" fontId="1" fillId="10" borderId="41" xfId="0" quotePrefix="1" applyFont="1" applyFill="1" applyBorder="1" applyAlignment="1">
      <alignment horizontal="center" vertical="center"/>
    </xf>
    <xf numFmtId="0" fontId="1" fillId="10" borderId="42" xfId="0" quotePrefix="1" applyFont="1" applyFill="1" applyBorder="1" applyAlignment="1">
      <alignment horizontal="center" vertical="center"/>
    </xf>
    <xf numFmtId="0" fontId="1" fillId="10" borderId="43" xfId="0" quotePrefix="1" applyFont="1" applyFill="1" applyBorder="1" applyAlignment="1">
      <alignment horizontal="center" vertical="center"/>
    </xf>
    <xf numFmtId="0" fontId="58" fillId="4" borderId="0" xfId="0" applyFont="1" applyFill="1" applyAlignment="1">
      <alignment horizontal="right"/>
    </xf>
    <xf numFmtId="0" fontId="38" fillId="12" borderId="0" xfId="0" applyFont="1" applyFill="1" applyAlignment="1">
      <alignment horizontal="center" vertical="center"/>
    </xf>
    <xf numFmtId="0" fontId="59" fillId="12" borderId="0" xfId="0" applyFont="1" applyFill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10" fontId="0" fillId="0" borderId="14" xfId="0" applyNumberFormat="1" applyBorder="1" applyAlignment="1">
      <alignment horizontal="center" vertical="center"/>
    </xf>
    <xf numFmtId="10" fontId="0" fillId="4" borderId="14" xfId="0" applyNumberForma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10" fontId="0" fillId="13" borderId="14" xfId="0" applyNumberFormat="1" applyFill="1" applyBorder="1" applyAlignment="1">
      <alignment horizontal="center"/>
    </xf>
    <xf numFmtId="166" fontId="0" fillId="13" borderId="14" xfId="0" applyNumberForma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55" xfId="0" applyFont="1" applyBorder="1" applyAlignment="1">
      <alignment horizontal="center"/>
    </xf>
    <xf numFmtId="0" fontId="25" fillId="0" borderId="0" xfId="0" applyFont="1"/>
    <xf numFmtId="166" fontId="0" fillId="0" borderId="56" xfId="0" applyNumberFormat="1" applyBorder="1" applyAlignment="1">
      <alignment horizontal="center"/>
    </xf>
    <xf numFmtId="0" fontId="0" fillId="4" borderId="57" xfId="0" applyFill="1" applyBorder="1" applyAlignment="1">
      <alignment horizontal="center" vertical="center"/>
    </xf>
    <xf numFmtId="0" fontId="7" fillId="4" borderId="14" xfId="0" applyFont="1" applyFill="1" applyBorder="1" applyAlignment="1">
      <alignment horizontal="right"/>
    </xf>
    <xf numFmtId="1" fontId="0" fillId="0" borderId="24" xfId="0" applyNumberFormat="1" applyBorder="1"/>
    <xf numFmtId="0" fontId="0" fillId="0" borderId="24" xfId="0" applyBorder="1"/>
    <xf numFmtId="2" fontId="0" fillId="4" borderId="0" xfId="0" applyNumberFormat="1" applyFill="1"/>
    <xf numFmtId="0" fontId="0" fillId="0" borderId="39" xfId="0" applyBorder="1"/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" fillId="6" borderId="15" xfId="0" applyFont="1" applyFill="1" applyBorder="1"/>
    <xf numFmtId="0" fontId="1" fillId="6" borderId="23" xfId="0" applyFont="1" applyFill="1" applyBorder="1"/>
    <xf numFmtId="0" fontId="0" fillId="6" borderId="0" xfId="0" applyFill="1"/>
    <xf numFmtId="0" fontId="1" fillId="6" borderId="34" xfId="0" applyFont="1" applyFill="1" applyBorder="1"/>
    <xf numFmtId="0" fontId="0" fillId="0" borderId="3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4" borderId="14" xfId="0" applyFill="1" applyBorder="1" applyAlignment="1">
      <alignment horizontal="center" vertical="center"/>
    </xf>
    <xf numFmtId="0" fontId="0" fillId="4" borderId="25" xfId="0" applyFill="1" applyBorder="1"/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/>
    <xf numFmtId="0" fontId="0" fillId="4" borderId="30" xfId="0" applyFill="1" applyBorder="1"/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6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66" fontId="1" fillId="8" borderId="35" xfId="0" applyNumberFormat="1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1" fillId="0" borderId="3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5" xfId="0" applyBorder="1" applyAlignment="1">
      <alignment horizontal="justify" vertical="center"/>
    </xf>
    <xf numFmtId="0" fontId="0" fillId="0" borderId="12" xfId="0" applyBorder="1" applyAlignment="1">
      <alignment horizontal="justify" vertical="center"/>
    </xf>
    <xf numFmtId="0" fontId="0" fillId="0" borderId="28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1" fillId="0" borderId="43" xfId="0" applyFont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4" borderId="26" xfId="0" applyFill="1" applyBorder="1" applyAlignment="1">
      <alignment horizontal="left" vertical="center"/>
    </xf>
    <xf numFmtId="0" fontId="0" fillId="4" borderId="26" xfId="0" applyFill="1" applyBorder="1" applyAlignment="1">
      <alignment horizont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center"/>
    </xf>
    <xf numFmtId="0" fontId="0" fillId="4" borderId="28" xfId="0" applyFill="1" applyBorder="1" applyAlignment="1">
      <alignment horizontal="left" vertical="top"/>
    </xf>
    <xf numFmtId="167" fontId="0" fillId="0" borderId="0" xfId="0" applyNumberFormat="1"/>
    <xf numFmtId="0" fontId="1" fillId="4" borderId="13" xfId="0" applyFont="1" applyFill="1" applyBorder="1"/>
    <xf numFmtId="2" fontId="1" fillId="0" borderId="5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9" fillId="5" borderId="13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justify" vertical="center"/>
    </xf>
    <xf numFmtId="0" fontId="0" fillId="4" borderId="12" xfId="0" applyFill="1" applyBorder="1" applyAlignment="1">
      <alignment horizontal="center" vertical="center"/>
    </xf>
    <xf numFmtId="2" fontId="56" fillId="4" borderId="62" xfId="0" applyNumberFormat="1" applyFont="1" applyFill="1" applyBorder="1" applyAlignment="1">
      <alignment horizontal="right"/>
    </xf>
    <xf numFmtId="165" fontId="19" fillId="5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3" fillId="0" borderId="0" xfId="0" quotePrefix="1" applyFont="1" applyAlignment="1">
      <alignment horizontal="left" vertical="center"/>
    </xf>
    <xf numFmtId="0" fontId="4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justify" vertical="center"/>
    </xf>
    <xf numFmtId="2" fontId="0" fillId="0" borderId="14" xfId="0" applyNumberFormat="1" applyBorder="1" applyAlignment="1">
      <alignment horizontal="center" vertical="center"/>
    </xf>
    <xf numFmtId="0" fontId="0" fillId="4" borderId="14" xfId="0" applyFill="1" applyBorder="1" applyAlignment="1">
      <alignment horizontal="justify" vertical="center"/>
    </xf>
    <xf numFmtId="0" fontId="55" fillId="0" borderId="0" xfId="0" applyFont="1"/>
    <xf numFmtId="0" fontId="1" fillId="0" borderId="0" xfId="0" applyFont="1"/>
    <xf numFmtId="168" fontId="0" fillId="0" borderId="31" xfId="0" applyNumberFormat="1" applyBorder="1" applyAlignment="1">
      <alignment horizontal="right" vertical="center"/>
    </xf>
    <xf numFmtId="168" fontId="0" fillId="0" borderId="26" xfId="0" applyNumberFormat="1" applyBorder="1" applyAlignment="1">
      <alignment horizontal="right" vertical="center"/>
    </xf>
    <xf numFmtId="168" fontId="0" fillId="0" borderId="26" xfId="0" applyNumberFormat="1" applyBorder="1" applyAlignment="1">
      <alignment horizontal="right"/>
    </xf>
    <xf numFmtId="168" fontId="0" fillId="0" borderId="24" xfId="0" applyNumberFormat="1" applyBorder="1" applyAlignment="1">
      <alignment horizontal="right"/>
    </xf>
    <xf numFmtId="168" fontId="0" fillId="0" borderId="31" xfId="0" applyNumberFormat="1" applyBorder="1" applyAlignment="1">
      <alignment horizontal="right"/>
    </xf>
    <xf numFmtId="169" fontId="0" fillId="4" borderId="24" xfId="0" applyNumberFormat="1" applyFill="1" applyBorder="1" applyAlignment="1">
      <alignment horizontal="right" vertical="center"/>
    </xf>
    <xf numFmtId="169" fontId="0" fillId="4" borderId="14" xfId="0" applyNumberFormat="1" applyFill="1" applyBorder="1" applyAlignment="1">
      <alignment horizontal="right" vertical="center"/>
    </xf>
    <xf numFmtId="169" fontId="0" fillId="4" borderId="31" xfId="0" applyNumberFormat="1" applyFill="1" applyBorder="1" applyAlignment="1">
      <alignment horizontal="right" vertical="center"/>
    </xf>
    <xf numFmtId="168" fontId="0" fillId="0" borderId="14" xfId="0" applyNumberFormat="1" applyBorder="1" applyAlignment="1">
      <alignment horizontal="right"/>
    </xf>
    <xf numFmtId="168" fontId="0" fillId="4" borderId="14" xfId="1" applyNumberFormat="1" applyFont="1" applyFill="1" applyBorder="1" applyAlignment="1">
      <alignment horizontal="right" vertical="center"/>
    </xf>
    <xf numFmtId="168" fontId="0" fillId="4" borderId="31" xfId="1" applyNumberFormat="1" applyFont="1" applyFill="1" applyBorder="1" applyAlignment="1">
      <alignment horizontal="right" vertical="center"/>
    </xf>
    <xf numFmtId="168" fontId="0" fillId="4" borderId="26" xfId="1" applyNumberFormat="1" applyFont="1" applyFill="1" applyBorder="1" applyAlignment="1">
      <alignment horizontal="right" vertical="center"/>
    </xf>
    <xf numFmtId="2" fontId="0" fillId="4" borderId="26" xfId="0" applyNumberFormat="1" applyFill="1" applyBorder="1" applyAlignment="1">
      <alignment horizontal="right" vertical="center"/>
    </xf>
    <xf numFmtId="2" fontId="0" fillId="4" borderId="31" xfId="0" applyNumberFormat="1" applyFill="1" applyBorder="1" applyAlignment="1">
      <alignment horizontal="right" vertical="center"/>
    </xf>
    <xf numFmtId="2" fontId="0" fillId="0" borderId="26" xfId="0" applyNumberFormat="1" applyBorder="1" applyAlignment="1">
      <alignment horizontal="right" vertical="center"/>
    </xf>
    <xf numFmtId="2" fontId="0" fillId="0" borderId="31" xfId="0" applyNumberForma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0" fontId="66" fillId="0" borderId="0" xfId="3"/>
    <xf numFmtId="2" fontId="41" fillId="0" borderId="0" xfId="0" applyNumberFormat="1" applyFont="1" applyAlignment="1">
      <alignment horizontal="center" vertical="center" wrapText="1"/>
    </xf>
    <xf numFmtId="0" fontId="66" fillId="4" borderId="0" xfId="3" applyFill="1"/>
    <xf numFmtId="168" fontId="0" fillId="0" borderId="27" xfId="0" applyNumberFormat="1" applyBorder="1" applyAlignment="1">
      <alignment horizontal="right"/>
    </xf>
    <xf numFmtId="168" fontId="0" fillId="0" borderId="29" xfId="0" applyNumberFormat="1" applyBorder="1" applyAlignment="1">
      <alignment horizontal="right"/>
    </xf>
    <xf numFmtId="168" fontId="0" fillId="0" borderId="32" xfId="0" applyNumberFormat="1" applyBorder="1" applyAlignment="1">
      <alignment horizontal="right"/>
    </xf>
    <xf numFmtId="168" fontId="0" fillId="4" borderId="26" xfId="0" applyNumberFormat="1" applyFill="1" applyBorder="1" applyAlignment="1">
      <alignment horizontal="center" vertical="center"/>
    </xf>
    <xf numFmtId="168" fontId="0" fillId="4" borderId="14" xfId="0" applyNumberFormat="1" applyFill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168" fontId="0" fillId="0" borderId="27" xfId="0" applyNumberFormat="1" applyBorder="1" applyAlignment="1">
      <alignment horizontal="right" vertical="center"/>
    </xf>
    <xf numFmtId="168" fontId="0" fillId="0" borderId="29" xfId="0" applyNumberFormat="1" applyBorder="1" applyAlignment="1">
      <alignment horizontal="right" vertical="center"/>
    </xf>
    <xf numFmtId="168" fontId="0" fillId="4" borderId="29" xfId="0" applyNumberFormat="1" applyFill="1" applyBorder="1" applyAlignment="1">
      <alignment horizontal="right" vertical="center"/>
    </xf>
    <xf numFmtId="168" fontId="0" fillId="0" borderId="32" xfId="0" applyNumberFormat="1" applyBorder="1" applyAlignment="1">
      <alignment horizontal="right" vertical="center"/>
    </xf>
    <xf numFmtId="168" fontId="0" fillId="0" borderId="26" xfId="0" applyNumberForma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8" fontId="0" fillId="0" borderId="43" xfId="0" applyNumberFormat="1" applyBorder="1" applyAlignment="1">
      <alignment horizontal="right" vertical="center"/>
    </xf>
    <xf numFmtId="168" fontId="0" fillId="0" borderId="42" xfId="0" applyNumberFormat="1" applyBorder="1" applyAlignment="1">
      <alignment horizontal="center" vertical="center"/>
    </xf>
    <xf numFmtId="168" fontId="0" fillId="0" borderId="45" xfId="0" applyNumberFormat="1" applyBorder="1" applyAlignment="1">
      <alignment horizontal="right" vertical="center"/>
    </xf>
    <xf numFmtId="168" fontId="0" fillId="0" borderId="49" xfId="0" applyNumberFormat="1" applyBorder="1" applyAlignment="1">
      <alignment horizontal="right"/>
    </xf>
    <xf numFmtId="168" fontId="0" fillId="0" borderId="18" xfId="0" applyNumberFormat="1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168" fontId="0" fillId="0" borderId="49" xfId="0" applyNumberFormat="1" applyBorder="1" applyAlignment="1">
      <alignment horizontal="right" vertical="center"/>
    </xf>
    <xf numFmtId="168" fontId="1" fillId="0" borderId="29" xfId="0" applyNumberFormat="1" applyFont="1" applyBorder="1" applyAlignment="1">
      <alignment horizontal="right" vertical="center"/>
    </xf>
    <xf numFmtId="0" fontId="1" fillId="6" borderId="0" xfId="0" applyFont="1" applyFill="1"/>
    <xf numFmtId="0" fontId="0" fillId="0" borderId="25" xfId="0" applyBorder="1" applyAlignment="1">
      <alignment horizontal="left" vertical="center"/>
    </xf>
    <xf numFmtId="1" fontId="0" fillId="0" borderId="56" xfId="0" applyNumberFormat="1" applyBorder="1" applyAlignment="1">
      <alignment horizontal="center"/>
    </xf>
    <xf numFmtId="166" fontId="1" fillId="8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/>
    </xf>
    <xf numFmtId="2" fontId="0" fillId="4" borderId="14" xfId="0" applyNumberFormat="1" applyFill="1" applyBorder="1" applyAlignment="1">
      <alignment horizontal="center" vertical="center"/>
    </xf>
    <xf numFmtId="0" fontId="0" fillId="6" borderId="16" xfId="0" applyFill="1" applyBorder="1"/>
    <xf numFmtId="0" fontId="0" fillId="6" borderId="33" xfId="0" applyFill="1" applyBorder="1"/>
    <xf numFmtId="167" fontId="0" fillId="4" borderId="0" xfId="0" applyNumberFormat="1" applyFill="1"/>
    <xf numFmtId="0" fontId="55" fillId="4" borderId="33" xfId="0" applyFont="1" applyFill="1" applyBorder="1"/>
    <xf numFmtId="0" fontId="55" fillId="4" borderId="0" xfId="0" applyFont="1" applyFill="1"/>
    <xf numFmtId="0" fontId="0" fillId="0" borderId="33" xfId="0" applyBorder="1"/>
    <xf numFmtId="2" fontId="0" fillId="0" borderId="14" xfId="0" applyNumberFormat="1" applyBorder="1"/>
    <xf numFmtId="2" fontId="0" fillId="0" borderId="29" xfId="0" applyNumberFormat="1" applyBorder="1"/>
    <xf numFmtId="0" fontId="0" fillId="14" borderId="12" xfId="0" applyFill="1" applyBorder="1" applyAlignment="1">
      <alignment horizontal="center"/>
    </xf>
    <xf numFmtId="0" fontId="0" fillId="14" borderId="12" xfId="0" applyFill="1" applyBorder="1" applyAlignment="1">
      <alignment horizontal="justify" vertical="center"/>
    </xf>
    <xf numFmtId="0" fontId="0" fillId="14" borderId="12" xfId="0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/>
    </xf>
    <xf numFmtId="0" fontId="0" fillId="14" borderId="14" xfId="0" applyFill="1" applyBorder="1" applyAlignment="1">
      <alignment horizontal="justify" vertical="center"/>
    </xf>
    <xf numFmtId="0" fontId="0" fillId="14" borderId="14" xfId="0" applyFill="1" applyBorder="1" applyAlignment="1">
      <alignment horizontal="center" vertical="center"/>
    </xf>
    <xf numFmtId="2" fontId="0" fillId="14" borderId="14" xfId="0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0" fillId="4" borderId="0" xfId="0" applyFill="1" applyAlignment="1">
      <alignment horizontal="left" vertical="center" wrapText="1"/>
    </xf>
    <xf numFmtId="0" fontId="15" fillId="0" borderId="33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2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55" fillId="4" borderId="0" xfId="0" applyFont="1" applyFill="1" applyAlignment="1">
      <alignment horizontal="left"/>
    </xf>
    <xf numFmtId="0" fontId="25" fillId="0" borderId="15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32" fillId="11" borderId="0" xfId="0" applyFont="1" applyFill="1" applyAlignment="1">
      <alignment horizontal="center"/>
    </xf>
    <xf numFmtId="0" fontId="60" fillId="4" borderId="1" xfId="0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10" borderId="33" xfId="0" applyFont="1" applyFill="1" applyBorder="1" applyAlignment="1">
      <alignment horizontal="center"/>
    </xf>
    <xf numFmtId="0" fontId="32" fillId="11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38" fillId="10" borderId="1" xfId="0" applyFont="1" applyFill="1" applyBorder="1" applyAlignment="1">
      <alignment horizontal="center"/>
    </xf>
    <xf numFmtId="0" fontId="38" fillId="10" borderId="2" xfId="0" applyFont="1" applyFill="1" applyBorder="1" applyAlignment="1">
      <alignment horizontal="center"/>
    </xf>
    <xf numFmtId="0" fontId="38" fillId="10" borderId="3" xfId="0" applyFont="1" applyFill="1" applyBorder="1" applyAlignment="1">
      <alignment horizontal="center"/>
    </xf>
    <xf numFmtId="0" fontId="55" fillId="4" borderId="34" xfId="0" applyFont="1" applyFill="1" applyBorder="1" applyAlignment="1">
      <alignment horizontal="left"/>
    </xf>
    <xf numFmtId="0" fontId="55" fillId="4" borderId="33" xfId="0" applyFont="1" applyFill="1" applyBorder="1" applyAlignment="1">
      <alignment horizontal="left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63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63" fillId="0" borderId="0" xfId="0" quotePrefix="1" applyFont="1" applyAlignment="1">
      <alignment horizontal="left" vertical="center"/>
    </xf>
    <xf numFmtId="0" fontId="40" fillId="0" borderId="14" xfId="0" applyFont="1" applyBorder="1" applyAlignment="1">
      <alignment horizontal="center" vertical="center" wrapText="1"/>
    </xf>
  </cellXfs>
  <cellStyles count="4">
    <cellStyle name="Hipervínculo" xfId="3" builtinId="8"/>
    <cellStyle name="Millares 2" xfId="2" xr:uid="{3D7D1360-4952-45DB-B6F6-8418A7B8CEF8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Flujo de Caja</a:t>
            </a:r>
          </a:p>
          <a:p>
            <a:pPr>
              <a:defRPr/>
            </a:pPr>
            <a:r>
              <a:rPr lang="es-PE"/>
              <a:t> (Monto</a:t>
            </a:r>
            <a:r>
              <a:rPr lang="es-PE" baseline="0"/>
              <a:t> por Año)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'Viabilidad económica'!$C$237:$F$237</c:f>
              <c:numCache>
                <c:formatCode>_-[$S/-280A]\ * #,##0.00_-;\-[$S/-280A]\ * #,##0.00_-;_-[$S/-280A]\ * "-"??_-;_-@_-</c:formatCode>
                <c:ptCount val="4"/>
                <c:pt idx="0">
                  <c:v>-49081.208329600006</c:v>
                </c:pt>
                <c:pt idx="1">
                  <c:v>26001.31264</c:v>
                </c:pt>
                <c:pt idx="2">
                  <c:v>26001.31264</c:v>
                </c:pt>
                <c:pt idx="3">
                  <c:v>26001.31264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47C2-B6CB-57CD3463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685936"/>
        <c:axId val="850825376"/>
      </c:barChart>
      <c:catAx>
        <c:axId val="78968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0825376"/>
        <c:crosses val="autoZero"/>
        <c:auto val="1"/>
        <c:lblAlgn val="ctr"/>
        <c:lblOffset val="100"/>
        <c:noMultiLvlLbl val="0"/>
      </c:catAx>
      <c:valAx>
        <c:axId val="850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96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 vs</a:t>
            </a:r>
            <a:r>
              <a:rPr lang="en-US" baseline="0"/>
              <a:t> VAN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'Viabilidad económica'!$K$241</c:f>
              <c:strCache>
                <c:ptCount val="1"/>
                <c:pt idx="0">
                  <c:v>VAN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'Viabilidad económica'!$J$242:$J$252</c:f>
              <c:numCache>
                <c:formatCode>0.00%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0.27290163662274924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'Viabilidad económica'!$K$242:$K$252</c:f>
              <c:numCache>
                <c:formatCode>_-[$S/-280A]\ * #,##0.00_-;\-[$S/-280A]\ * #,##0.00_-;_-[$S/-280A]\ * "-"??_-;_-@_-</c:formatCode>
                <c:ptCount val="11"/>
                <c:pt idx="0">
                  <c:v>15580.207777387212</c:v>
                </c:pt>
                <c:pt idx="1">
                  <c:v>5690.0752407703676</c:v>
                </c:pt>
                <c:pt idx="2">
                  <c:v>3.3051037462428212E-9</c:v>
                </c:pt>
                <c:pt idx="3">
                  <c:v>-1859.889515945024</c:v>
                </c:pt>
                <c:pt idx="4">
                  <c:v>-7767.1692951976675</c:v>
                </c:pt>
                <c:pt idx="5">
                  <c:v>-12486.768317748152</c:v>
                </c:pt>
                <c:pt idx="6">
                  <c:v>-16325.648460850012</c:v>
                </c:pt>
                <c:pt idx="7">
                  <c:v>-19496.975140591254</c:v>
                </c:pt>
                <c:pt idx="8">
                  <c:v>-22152.551205868873</c:v>
                </c:pt>
                <c:pt idx="9">
                  <c:v>-24402.895851629451</c:v>
                </c:pt>
                <c:pt idx="10">
                  <c:v>-26330.059769600004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B-4800-A498-2998C97B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3935"/>
        <c:axId val="2129326207"/>
      </c:scatterChart>
      <c:valAx>
        <c:axId val="7636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9326207"/>
        <c:crosses val="autoZero"/>
        <c:crossBetween val="midCat"/>
      </c:valAx>
      <c:valAx>
        <c:axId val="2129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36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249493</xdr:colOff>
      <xdr:row>100</xdr:row>
      <xdr:rowOff>54895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1FA70-F8BD-4D2D-AE41-E0305CF4558E}"/>
                </a:ext>
              </a:extLst>
            </xdr:cNvPr>
            <xdr:cNvSpPr txBox="1"/>
          </xdr:nvSpPr>
          <xdr:spPr>
            <a:xfrm>
              <a:off x="4079977" y="15417798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0.6 + 0.01 ∗ </m:t>
                    </m:r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𝑉𝑎𝑙𝑜𝑟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1FA70-F8BD-4D2D-AE41-E0305CF4558E}"/>
                </a:ext>
              </a:extLst>
            </xdr:cNvPr>
            <xdr:cNvSpPr txBox="1"/>
          </xdr:nvSpPr>
          <xdr:spPr>
            <a:xfrm>
              <a:off x="4079977" y="15417798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0.6 + 0.01 * 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𝑖∗〖𝑉𝑎𝑙𝑜𝑟〗_𝑖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317499</xdr:colOff>
      <xdr:row>122</xdr:row>
      <xdr:rowOff>81936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8B8178-7A11-4FC6-9614-2C14A6F31255}"/>
                </a:ext>
              </a:extLst>
            </xdr:cNvPr>
            <xdr:cNvSpPr txBox="1"/>
          </xdr:nvSpPr>
          <xdr:spPr>
            <a:xfrm>
              <a:off x="4147983" y="2012540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0.0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∗ </m:t>
                    </m:r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𝑉𝑎𝑙𝑜𝑟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8B8178-7A11-4FC6-9614-2C14A6F31255}"/>
                </a:ext>
              </a:extLst>
            </xdr:cNvPr>
            <xdr:cNvSpPr txBox="1"/>
          </xdr:nvSpPr>
          <xdr:spPr>
            <a:xfrm>
              <a:off x="4147983" y="2012540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1</a:t>
              </a:r>
              <a:r>
                <a:rPr lang="el-GR" sz="1100" i="0">
                  <a:latin typeface="Cambria Math" panose="02040503050406030204" pitchFamily="18" charset="0"/>
                </a:rPr>
                <a:t>.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l-GR" sz="110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i="0">
                  <a:latin typeface="Cambria Math" panose="02040503050406030204" pitchFamily="18" charset="0"/>
                </a:rPr>
                <a:t> 0.0</a:t>
              </a:r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l-GR" sz="1100" i="0">
                  <a:latin typeface="Cambria Math" panose="02040503050406030204" pitchFamily="18" charset="0"/>
                </a:rPr>
                <a:t> * 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𝑖∗〖𝑉𝑎𝑙𝑜𝑟〗_𝑖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348226</xdr:colOff>
      <xdr:row>78</xdr:row>
      <xdr:rowOff>51209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1D2747B-5D84-4BC3-9D6E-615F88BD31C7}"/>
                </a:ext>
              </a:extLst>
            </xdr:cNvPr>
            <xdr:cNvSpPr txBox="1"/>
          </xdr:nvSpPr>
          <xdr:spPr>
            <a:xfrm>
              <a:off x="4178710" y="10846209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𝐶𝑈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1D2747B-5D84-4BC3-9D6E-615F88BD31C7}"/>
                </a:ext>
              </a:extLst>
            </xdr:cNvPr>
            <xdr:cNvSpPr txBox="1"/>
          </xdr:nvSpPr>
          <xdr:spPr>
            <a:xfrm>
              <a:off x="4178710" y="10846209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𝐶𝑈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583790</xdr:colOff>
      <xdr:row>16</xdr:row>
      <xdr:rowOff>81935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D07D89A-9E83-4890-B2E2-58C7E98B91D8}"/>
                </a:ext>
              </a:extLst>
            </xdr:cNvPr>
            <xdr:cNvSpPr txBox="1"/>
          </xdr:nvSpPr>
          <xdr:spPr>
            <a:xfrm>
              <a:off x="4414274" y="335935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𝐴𝑐𝑡𝑜𝑟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D07D89A-9E83-4890-B2E2-58C7E98B91D8}"/>
                </a:ext>
              </a:extLst>
            </xdr:cNvPr>
            <xdr:cNvSpPr txBox="1"/>
          </xdr:nvSpPr>
          <xdr:spPr>
            <a:xfrm>
              <a:off x="4414274" y="335935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𝐴𝑐𝑡𝑜𝑟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614516</xdr:colOff>
      <xdr:row>272</xdr:row>
      <xdr:rowOff>81936</xdr:rowOff>
    </xdr:from>
    <xdr:to>
      <xdr:col>1</xdr:col>
      <xdr:colOff>2168802</xdr:colOff>
      <xdr:row>274</xdr:row>
      <xdr:rowOff>118797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A62363D-C05F-4042-A2DC-3139EE9C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419" y="51639839"/>
          <a:ext cx="1552381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450644</xdr:colOff>
      <xdr:row>282</xdr:row>
      <xdr:rowOff>81935</xdr:rowOff>
    </xdr:from>
    <xdr:to>
      <xdr:col>1</xdr:col>
      <xdr:colOff>2328738</xdr:colOff>
      <xdr:row>284</xdr:row>
      <xdr:rowOff>147371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5803FEB-97D5-43B0-8A8F-69A8334D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644" y="53612435"/>
          <a:ext cx="1885714" cy="487044"/>
        </a:xfrm>
        <a:prstGeom prst="rect">
          <a:avLst/>
        </a:prstGeom>
      </xdr:spPr>
    </xdr:pic>
    <xdr:clientData/>
  </xdr:twoCellAnchor>
  <xdr:oneCellAnchor>
    <xdr:from>
      <xdr:col>1</xdr:col>
      <xdr:colOff>176463</xdr:colOff>
      <xdr:row>253</xdr:row>
      <xdr:rowOff>56148</xdr:rowOff>
    </xdr:from>
    <xdr:ext cx="2671010" cy="525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5F0061-4308-46FB-B42F-C8160B8969E1}"/>
                </a:ext>
              </a:extLst>
            </xdr:cNvPr>
            <xdr:cNvSpPr txBox="1"/>
          </xdr:nvSpPr>
          <xdr:spPr>
            <a:xfrm>
              <a:off x="938463" y="48413069"/>
              <a:ext cx="2671010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0=</m:t>
                    </m:r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2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𝐹𝑁</m:t>
                                </m:r>
                              </m:e>
                              <m:sub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𝑇𝐼𝑅</m:t>
                                </m:r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𝐽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5F0061-4308-46FB-B42F-C8160B8969E1}"/>
                </a:ext>
              </a:extLst>
            </xdr:cNvPr>
            <xdr:cNvSpPr txBox="1"/>
          </xdr:nvSpPr>
          <xdr:spPr>
            <a:xfrm>
              <a:off x="938463" y="48413069"/>
              <a:ext cx="2671010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panose="02040503050406030204" pitchFamily="18" charset="0"/>
                </a:rPr>
                <a:t>0=〖−𝐼〗_0+∑24_(𝑗=1)^𝑛▒〖𝐹𝑁〗_𝑗/〖(1+𝑇𝐼𝑅)〗^𝐽 </a:t>
              </a:r>
              <a:endParaRPr lang="es-PE" sz="1200"/>
            </a:p>
          </xdr:txBody>
        </xdr:sp>
      </mc:Fallback>
    </mc:AlternateContent>
    <xdr:clientData/>
  </xdr:oneCellAnchor>
  <xdr:oneCellAnchor>
    <xdr:from>
      <xdr:col>1</xdr:col>
      <xdr:colOff>48126</xdr:colOff>
      <xdr:row>241</xdr:row>
      <xdr:rowOff>38102</xdr:rowOff>
    </xdr:from>
    <xdr:ext cx="2671010" cy="525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9930411-8A94-4EC4-A436-2387D83E0CC1}"/>
                </a:ext>
              </a:extLst>
            </xdr:cNvPr>
            <xdr:cNvSpPr txBox="1"/>
          </xdr:nvSpPr>
          <xdr:spPr>
            <a:xfrm>
              <a:off x="810126" y="46680523"/>
              <a:ext cx="2671010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𝑉𝐴𝑁</m:t>
                    </m:r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−</m:t>
                    </m:r>
                    <m:sSub>
                      <m:sSubPr>
                        <m:ctrlP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limLoc m:val="undOvr"/>
                        <m:ctrlP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PE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b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PE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9930411-8A94-4EC4-A436-2387D83E0CC1}"/>
                </a:ext>
              </a:extLst>
            </xdr:cNvPr>
            <xdr:cNvSpPr txBox="1"/>
          </xdr:nvSpPr>
          <xdr:spPr>
            <a:xfrm>
              <a:off x="810126" y="46680523"/>
              <a:ext cx="2671010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𝑉𝐴𝑁= −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_0+∑1_(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)〗_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/〖(1+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</a:t>
              </a:r>
              <a:endParaRPr lang="es-PE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641684</xdr:colOff>
      <xdr:row>294</xdr:row>
      <xdr:rowOff>80209</xdr:rowOff>
    </xdr:from>
    <xdr:ext cx="1724526" cy="345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30687B9-838A-4AB5-8AC2-F2DF7F748DC5}"/>
                </a:ext>
              </a:extLst>
            </xdr:cNvPr>
            <xdr:cNvSpPr txBox="1"/>
          </xdr:nvSpPr>
          <xdr:spPr>
            <a:xfrm>
              <a:off x="1403684" y="55515709"/>
              <a:ext cx="1724526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𝑇𝑅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30687B9-838A-4AB5-8AC2-F2DF7F748DC5}"/>
                </a:ext>
              </a:extLst>
            </xdr:cNvPr>
            <xdr:cNvSpPr txBox="1"/>
          </xdr:nvSpPr>
          <xdr:spPr>
            <a:xfrm>
              <a:off x="1403684" y="55515709"/>
              <a:ext cx="1724526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panose="02040503050406030204" pitchFamily="18" charset="0"/>
                </a:rPr>
                <a:t>𝑇𝑅=𝐼_0/(𝐵−𝐶)</a:t>
              </a:r>
              <a:endParaRPr lang="es-PE" sz="1200"/>
            </a:p>
          </xdr:txBody>
        </xdr:sp>
      </mc:Fallback>
    </mc:AlternateContent>
    <xdr:clientData/>
  </xdr:oneCellAnchor>
  <xdr:twoCellAnchor>
    <xdr:from>
      <xdr:col>6</xdr:col>
      <xdr:colOff>877660</xdr:colOff>
      <xdr:row>220</xdr:row>
      <xdr:rowOff>40140</xdr:rowOff>
    </xdr:from>
    <xdr:to>
      <xdr:col>11</xdr:col>
      <xdr:colOff>340178</xdr:colOff>
      <xdr:row>236</xdr:row>
      <xdr:rowOff>136070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4DE151-BD54-4B8A-ACB5-882638EBB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452436</xdr:colOff>
      <xdr:row>253</xdr:row>
      <xdr:rowOff>51479</xdr:rowOff>
    </xdr:from>
    <xdr:to>
      <xdr:col>12</xdr:col>
      <xdr:colOff>612321</xdr:colOff>
      <xdr:row>270</xdr:row>
      <xdr:rowOff>11337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64D2CA-034B-4CA8-86E5-0D6A7559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782411</xdr:colOff>
      <xdr:row>298</xdr:row>
      <xdr:rowOff>0</xdr:rowOff>
    </xdr:from>
    <xdr:to>
      <xdr:col>4</xdr:col>
      <xdr:colOff>1428750</xdr:colOff>
      <xdr:row>300</xdr:row>
      <xdr:rowOff>68035</xdr:rowOff>
    </xdr:to>
    <xdr:sp macro="" textlink="">
      <xdr:nvSpPr>
        <xdr:cNvPr id="2" name="Flecha: a la derecha con bandas 1">
          <a:extLst>
            <a:ext uri="{FF2B5EF4-FFF2-40B4-BE49-F238E27FC236}">
              <a16:creationId xmlns:a16="http://schemas.microsoft.com/office/drawing/2014/main" id="{AF353994-47F8-4CB0-9551-BE0EE1F8A905}"/>
            </a:ext>
          </a:extLst>
        </xdr:cNvPr>
        <xdr:cNvSpPr/>
      </xdr:nvSpPr>
      <xdr:spPr>
        <a:xfrm>
          <a:off x="6270625" y="58159196"/>
          <a:ext cx="2007054" cy="510268"/>
        </a:xfrm>
        <a:prstGeom prst="stripedRightArrow">
          <a:avLst>
            <a:gd name="adj1" fmla="val 45556"/>
            <a:gd name="adj2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190501</xdr:colOff>
      <xdr:row>60</xdr:row>
      <xdr:rowOff>179223</xdr:rowOff>
    </xdr:from>
    <xdr:to>
      <xdr:col>16</xdr:col>
      <xdr:colOff>41415</xdr:colOff>
      <xdr:row>71</xdr:row>
      <xdr:rowOff>80922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062C8D-8824-4504-8CE0-3E5ED7B7DB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8545" t="20484" r="4911" b="55507"/>
        <a:stretch/>
      </xdr:blipFill>
      <xdr:spPr>
        <a:xfrm>
          <a:off x="18205175" y="12470614"/>
          <a:ext cx="3147392" cy="2164756"/>
        </a:xfrm>
        <a:prstGeom prst="rect">
          <a:avLst/>
        </a:prstGeom>
      </xdr:spPr>
    </xdr:pic>
    <xdr:clientData/>
  </xdr:twoCellAnchor>
  <xdr:twoCellAnchor>
    <xdr:from>
      <xdr:col>13</xdr:col>
      <xdr:colOff>289890</xdr:colOff>
      <xdr:row>62</xdr:row>
      <xdr:rowOff>190499</xdr:rowOff>
    </xdr:from>
    <xdr:to>
      <xdr:col>15</xdr:col>
      <xdr:colOff>646043</xdr:colOff>
      <xdr:row>64</xdr:row>
      <xdr:rowOff>66261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B6181B8E-D7FE-4ED9-9E38-1FA41517BC65}"/>
            </a:ext>
          </a:extLst>
        </xdr:cNvPr>
        <xdr:cNvSpPr/>
      </xdr:nvSpPr>
      <xdr:spPr>
        <a:xfrm>
          <a:off x="18304564" y="12920869"/>
          <a:ext cx="1880153" cy="28160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website-files.com/60f044dd4d67e20af26a2f60/619d9ff09d6327869556de8a_Tarifario%20Alfin%20Banco.pdf" TargetMode="External"/><Relationship Id="rId2" Type="http://schemas.openxmlformats.org/officeDocument/2006/relationships/hyperlink" Target="https://www.electrocalculator.com/" TargetMode="External"/><Relationship Id="rId1" Type="http://schemas.openxmlformats.org/officeDocument/2006/relationships/hyperlink" Target="https://keepservices.com/2018/09/08/consumo-electrico-de-las-computadoras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bs.gob.pe/app/pp/EstadisticasSAEEPortal/Paginas/TIActivaTipoCreditoEmpresa.aspx?tip=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F50C-B4A7-468F-8F38-DB39B744ED2C}">
  <dimension ref="A1:H173"/>
  <sheetViews>
    <sheetView topLeftCell="A64" zoomScale="85" zoomScaleNormal="85" workbookViewId="0">
      <selection activeCell="C83" sqref="C83"/>
    </sheetView>
  </sheetViews>
  <sheetFormatPr baseColWidth="10" defaultRowHeight="15" x14ac:dyDescent="0.25"/>
  <cols>
    <col min="2" max="2" width="46.140625" customWidth="1"/>
    <col min="3" max="3" width="49.5703125" customWidth="1"/>
    <col min="4" max="4" width="16.28515625" customWidth="1"/>
    <col min="6" max="6" width="16.42578125" customWidth="1"/>
    <col min="7" max="7" width="14" customWidth="1"/>
  </cols>
  <sheetData>
    <row r="1" spans="2:8" ht="24" thickBot="1" x14ac:dyDescent="0.4">
      <c r="B1" s="395" t="s">
        <v>0</v>
      </c>
      <c r="C1" s="395"/>
      <c r="D1" s="395"/>
      <c r="E1" s="395"/>
      <c r="F1" s="395"/>
      <c r="G1" s="395"/>
      <c r="H1" s="395"/>
    </row>
    <row r="2" spans="2:8" ht="18.75" x14ac:dyDescent="0.3">
      <c r="B2" s="386" t="s">
        <v>228</v>
      </c>
      <c r="C2" s="386"/>
      <c r="D2" s="386"/>
      <c r="E2" s="386"/>
      <c r="F2" s="386"/>
      <c r="G2" s="386"/>
      <c r="H2" s="386"/>
    </row>
    <row r="3" spans="2:8" ht="18.75" x14ac:dyDescent="0.25">
      <c r="B3" s="143" t="s">
        <v>67</v>
      </c>
      <c r="C3" s="113"/>
      <c r="D3" s="113"/>
      <c r="E3" s="114" t="s">
        <v>229</v>
      </c>
      <c r="F3" s="113"/>
      <c r="G3" s="113"/>
      <c r="H3" s="113"/>
    </row>
    <row r="4" spans="2:8" ht="18" customHeight="1" x14ac:dyDescent="0.35">
      <c r="B4" s="115"/>
      <c r="C4" s="394" t="s">
        <v>62</v>
      </c>
      <c r="D4" s="394"/>
      <c r="E4" s="113"/>
      <c r="F4" s="113"/>
      <c r="G4" s="113"/>
      <c r="H4" s="113"/>
    </row>
    <row r="5" spans="2:8" ht="18" customHeight="1" x14ac:dyDescent="0.35">
      <c r="B5" s="115"/>
      <c r="C5" s="116" t="s">
        <v>64</v>
      </c>
      <c r="D5" s="116"/>
      <c r="E5" s="113"/>
      <c r="F5" s="113"/>
      <c r="G5" s="113"/>
      <c r="H5" s="113"/>
    </row>
    <row r="6" spans="2:8" ht="19.5" customHeight="1" x14ac:dyDescent="0.35">
      <c r="B6" s="115"/>
      <c r="C6" s="117" t="s">
        <v>63</v>
      </c>
      <c r="D6" s="117"/>
      <c r="E6" s="113"/>
      <c r="F6" s="113"/>
      <c r="G6" s="113"/>
      <c r="H6" s="113"/>
    </row>
    <row r="7" spans="2:8" ht="15.75" thickBot="1" x14ac:dyDescent="0.3">
      <c r="B7" s="113"/>
      <c r="C7" s="113"/>
      <c r="D7" s="113"/>
      <c r="E7" s="113"/>
      <c r="F7" s="113"/>
      <c r="G7" s="113"/>
      <c r="H7" s="113"/>
    </row>
    <row r="8" spans="2:8" ht="15.75" thickBot="1" x14ac:dyDescent="0.3">
      <c r="B8" s="390" t="s">
        <v>66</v>
      </c>
      <c r="C8" s="391"/>
      <c r="D8" s="392"/>
      <c r="E8" s="113"/>
      <c r="F8" s="113"/>
      <c r="G8" s="113"/>
      <c r="H8" s="113"/>
    </row>
    <row r="9" spans="2:8" ht="15.75" thickBot="1" x14ac:dyDescent="0.3">
      <c r="B9" s="113"/>
      <c r="C9" s="113"/>
      <c r="D9" s="113"/>
      <c r="E9" s="113"/>
      <c r="F9" s="113"/>
      <c r="G9" s="113"/>
      <c r="H9" s="113"/>
    </row>
    <row r="10" spans="2:8" ht="16.5" thickBot="1" x14ac:dyDescent="0.3">
      <c r="B10" s="396" t="s">
        <v>65</v>
      </c>
      <c r="C10" s="397"/>
      <c r="D10" s="398"/>
      <c r="E10" s="113"/>
      <c r="F10" s="113"/>
      <c r="G10" s="113"/>
      <c r="H10" s="113"/>
    </row>
    <row r="11" spans="2:8" ht="16.5" thickBot="1" x14ac:dyDescent="0.3">
      <c r="B11" s="125" t="s">
        <v>18</v>
      </c>
      <c r="C11" s="126" t="s">
        <v>17</v>
      </c>
      <c r="D11" s="127" t="s">
        <v>10</v>
      </c>
      <c r="E11" s="113"/>
      <c r="F11" s="113"/>
      <c r="G11" s="113"/>
      <c r="H11" s="113"/>
    </row>
    <row r="12" spans="2:8" ht="15.75" x14ac:dyDescent="0.25">
      <c r="B12" s="246" t="s">
        <v>219</v>
      </c>
      <c r="C12" s="21" t="s">
        <v>2</v>
      </c>
      <c r="D12" s="21">
        <v>2</v>
      </c>
      <c r="E12" s="113"/>
      <c r="F12" s="113"/>
      <c r="G12" s="113"/>
      <c r="H12" s="113"/>
    </row>
    <row r="13" spans="2:8" x14ac:dyDescent="0.25">
      <c r="B13" s="5" t="s">
        <v>339</v>
      </c>
      <c r="C13" s="35" t="s">
        <v>11</v>
      </c>
      <c r="D13" s="5">
        <v>1</v>
      </c>
      <c r="E13" s="113"/>
      <c r="F13" s="113"/>
      <c r="G13" s="113"/>
      <c r="H13" s="113"/>
    </row>
    <row r="14" spans="2:8" x14ac:dyDescent="0.25">
      <c r="B14" s="5" t="s">
        <v>340</v>
      </c>
      <c r="C14" s="35" t="s">
        <v>11</v>
      </c>
      <c r="D14" s="5">
        <v>1</v>
      </c>
      <c r="E14" s="113"/>
      <c r="F14" s="113"/>
      <c r="G14" s="113"/>
      <c r="H14" s="113"/>
    </row>
    <row r="15" spans="2:8" ht="15.75" x14ac:dyDescent="0.25">
      <c r="B15" s="247" t="s">
        <v>338</v>
      </c>
      <c r="C15" s="35" t="s">
        <v>11</v>
      </c>
      <c r="D15" s="5">
        <v>1</v>
      </c>
      <c r="E15" s="113"/>
      <c r="F15" s="113"/>
      <c r="G15" s="113"/>
      <c r="H15" s="113"/>
    </row>
    <row r="16" spans="2:8" ht="15.75" thickBot="1" x14ac:dyDescent="0.3">
      <c r="B16" s="6" t="s">
        <v>311</v>
      </c>
      <c r="C16" s="36" t="s">
        <v>2</v>
      </c>
      <c r="D16" s="6">
        <v>2</v>
      </c>
      <c r="E16" s="113"/>
      <c r="G16" s="113"/>
      <c r="H16" s="113"/>
    </row>
    <row r="17" spans="2:8" x14ac:dyDescent="0.25">
      <c r="B17" s="113"/>
      <c r="C17" s="118"/>
      <c r="D17" s="113"/>
      <c r="E17" s="113"/>
      <c r="F17" s="113"/>
      <c r="G17" s="113"/>
      <c r="H17" s="113"/>
    </row>
    <row r="18" spans="2:8" ht="18.75" x14ac:dyDescent="0.25">
      <c r="B18" s="143" t="s">
        <v>231</v>
      </c>
      <c r="C18" s="113"/>
      <c r="D18" s="113"/>
      <c r="E18" s="114" t="s">
        <v>232</v>
      </c>
      <c r="F18" s="113"/>
      <c r="G18" s="113"/>
      <c r="H18" s="113"/>
    </row>
    <row r="19" spans="2:8" ht="24" customHeight="1" x14ac:dyDescent="0.25">
      <c r="B19" s="131"/>
      <c r="D19" s="113"/>
      <c r="F19" s="113"/>
      <c r="G19" s="113"/>
      <c r="H19" s="113"/>
    </row>
    <row r="20" spans="2:8" x14ac:dyDescent="0.25">
      <c r="B20" s="33" t="s">
        <v>231</v>
      </c>
      <c r="C20" s="146" t="s">
        <v>3</v>
      </c>
      <c r="D20" s="146" t="s">
        <v>230</v>
      </c>
      <c r="E20" s="146" t="s">
        <v>4</v>
      </c>
      <c r="F20" s="146" t="s">
        <v>5</v>
      </c>
      <c r="G20" s="146" t="s">
        <v>6</v>
      </c>
      <c r="H20" s="146" t="s">
        <v>7</v>
      </c>
    </row>
    <row r="21" spans="2:8" ht="15.75" thickBot="1" x14ac:dyDescent="0.3">
      <c r="B21" s="123"/>
      <c r="C21" s="120">
        <f>COUNTIF(D12:D16,1)</f>
        <v>3</v>
      </c>
      <c r="D21" s="120">
        <v>1</v>
      </c>
      <c r="E21" s="120">
        <f>COUNTIF(D12:D16,2)</f>
        <v>2</v>
      </c>
      <c r="F21" s="120">
        <v>2</v>
      </c>
      <c r="G21" s="120">
        <f>COUNTIF(D12:D16,3)</f>
        <v>0</v>
      </c>
      <c r="H21" s="120">
        <v>3</v>
      </c>
    </row>
    <row r="22" spans="2:8" ht="15.75" thickBot="1" x14ac:dyDescent="0.3">
      <c r="B22" s="33" t="s">
        <v>231</v>
      </c>
      <c r="C22" s="31">
        <f>(C21*D21)+(E21*F21)+(G21*H21)</f>
        <v>7</v>
      </c>
      <c r="D22" s="113"/>
      <c r="E22" s="113"/>
      <c r="F22" s="113"/>
      <c r="G22" s="113"/>
      <c r="H22" s="113"/>
    </row>
    <row r="23" spans="2:8" x14ac:dyDescent="0.25">
      <c r="B23" s="113"/>
      <c r="C23" s="113"/>
      <c r="D23" s="113"/>
      <c r="E23" s="113"/>
      <c r="F23" s="113"/>
      <c r="G23" s="113"/>
      <c r="H23" s="113"/>
    </row>
    <row r="24" spans="2:8" ht="15.75" thickBot="1" x14ac:dyDescent="0.3">
      <c r="B24" s="113"/>
      <c r="C24" s="113"/>
      <c r="D24" s="113"/>
      <c r="E24" s="113"/>
      <c r="F24" s="113"/>
      <c r="G24" s="113"/>
      <c r="H24" s="113"/>
    </row>
    <row r="25" spans="2:8" ht="15.75" thickBot="1" x14ac:dyDescent="0.3">
      <c r="B25" s="387" t="s">
        <v>12</v>
      </c>
      <c r="C25" s="388"/>
      <c r="D25" s="389"/>
      <c r="E25" s="113"/>
      <c r="F25" s="113"/>
      <c r="G25" s="113"/>
      <c r="H25" s="113"/>
    </row>
    <row r="26" spans="2:8" ht="15.75" thickBot="1" x14ac:dyDescent="0.3">
      <c r="B26" s="113"/>
      <c r="C26" s="113"/>
      <c r="D26" s="113"/>
      <c r="E26" s="113"/>
      <c r="F26" s="113"/>
      <c r="G26" s="113"/>
      <c r="H26" s="113"/>
    </row>
    <row r="27" spans="2:8" ht="18" customHeight="1" thickBot="1" x14ac:dyDescent="0.3">
      <c r="B27" s="399" t="s">
        <v>68</v>
      </c>
      <c r="C27" s="400"/>
      <c r="D27" s="401"/>
      <c r="E27" s="113"/>
      <c r="F27" s="113"/>
      <c r="G27" s="113"/>
      <c r="H27" s="113"/>
    </row>
    <row r="28" spans="2:8" ht="16.5" thickBot="1" x14ac:dyDescent="0.3">
      <c r="B28" s="23" t="s">
        <v>9</v>
      </c>
      <c r="C28" s="22" t="s">
        <v>13</v>
      </c>
      <c r="D28" s="23" t="s">
        <v>10</v>
      </c>
      <c r="E28" s="113"/>
      <c r="F28" s="113"/>
      <c r="G28" s="113"/>
      <c r="H28" s="113"/>
    </row>
    <row r="29" spans="2:8" x14ac:dyDescent="0.25">
      <c r="B29" s="2" t="s">
        <v>11</v>
      </c>
      <c r="C29" s="8" t="s">
        <v>16</v>
      </c>
      <c r="D29" s="3">
        <v>5</v>
      </c>
      <c r="E29" s="113"/>
      <c r="F29" s="113"/>
      <c r="G29" s="113"/>
      <c r="H29" s="113"/>
    </row>
    <row r="30" spans="2:8" x14ac:dyDescent="0.25">
      <c r="B30" s="4" t="s">
        <v>2</v>
      </c>
      <c r="C30" s="9" t="s">
        <v>15</v>
      </c>
      <c r="D30" s="5">
        <v>10</v>
      </c>
      <c r="E30" s="113"/>
      <c r="F30" s="113"/>
      <c r="G30" s="113"/>
      <c r="H30" s="113"/>
    </row>
    <row r="31" spans="2:8" ht="15.75" thickBot="1" x14ac:dyDescent="0.3">
      <c r="B31" s="24" t="s">
        <v>1</v>
      </c>
      <c r="C31" s="24" t="s">
        <v>14</v>
      </c>
      <c r="D31" s="6">
        <v>15</v>
      </c>
      <c r="E31" s="113"/>
      <c r="F31" s="113"/>
      <c r="G31" s="113"/>
      <c r="H31" s="113"/>
    </row>
    <row r="32" spans="2:8" ht="15.75" thickBot="1" x14ac:dyDescent="0.3">
      <c r="B32" s="113"/>
      <c r="C32" s="113"/>
      <c r="D32" s="113"/>
      <c r="E32" s="113"/>
      <c r="F32" s="113"/>
      <c r="G32" s="113"/>
      <c r="H32" s="113"/>
    </row>
    <row r="33" spans="1:8" ht="16.5" thickBot="1" x14ac:dyDescent="0.3">
      <c r="B33" s="399" t="s">
        <v>69</v>
      </c>
      <c r="C33" s="400"/>
      <c r="D33" s="401"/>
      <c r="E33" s="113"/>
      <c r="F33" s="113"/>
      <c r="G33" s="113"/>
      <c r="H33" s="113"/>
    </row>
    <row r="34" spans="1:8" ht="15.75" thickBot="1" x14ac:dyDescent="0.3">
      <c r="A34" s="7" t="s">
        <v>418</v>
      </c>
      <c r="B34" s="7" t="s">
        <v>8</v>
      </c>
      <c r="C34" s="110" t="s">
        <v>9</v>
      </c>
      <c r="D34" s="7" t="s">
        <v>10</v>
      </c>
      <c r="E34" s="113"/>
      <c r="F34" s="113"/>
      <c r="G34" s="113"/>
      <c r="H34" s="113"/>
    </row>
    <row r="35" spans="1:8" x14ac:dyDescent="0.25">
      <c r="A35" s="3">
        <v>1</v>
      </c>
      <c r="B35" s="290" t="s">
        <v>341</v>
      </c>
      <c r="C35" s="34" t="s">
        <v>11</v>
      </c>
      <c r="D35" s="34">
        <v>5</v>
      </c>
      <c r="E35" s="113"/>
      <c r="F35" s="113"/>
      <c r="G35" s="113"/>
      <c r="H35" s="113"/>
    </row>
    <row r="36" spans="1:8" x14ac:dyDescent="0.25">
      <c r="A36" s="5">
        <f>A35+1</f>
        <v>2</v>
      </c>
      <c r="B36" s="291" t="s">
        <v>346</v>
      </c>
      <c r="C36" s="35" t="s">
        <v>11</v>
      </c>
      <c r="D36" s="35">
        <v>5</v>
      </c>
      <c r="E36" s="113"/>
      <c r="F36" s="113"/>
      <c r="G36" s="113"/>
      <c r="H36" s="113"/>
    </row>
    <row r="37" spans="1:8" x14ac:dyDescent="0.25">
      <c r="A37" s="5">
        <f t="shared" ref="A37:A77" si="0">A36+1</f>
        <v>3</v>
      </c>
      <c r="B37" s="291" t="s">
        <v>358</v>
      </c>
      <c r="C37" s="35" t="s">
        <v>11</v>
      </c>
      <c r="D37" s="35">
        <v>5</v>
      </c>
      <c r="E37" s="113"/>
      <c r="F37" s="113"/>
      <c r="G37" s="113"/>
      <c r="H37" s="113"/>
    </row>
    <row r="38" spans="1:8" x14ac:dyDescent="0.25">
      <c r="A38" s="5">
        <f t="shared" si="0"/>
        <v>4</v>
      </c>
      <c r="B38" s="291" t="s">
        <v>347</v>
      </c>
      <c r="C38" s="35" t="s">
        <v>11</v>
      </c>
      <c r="D38" s="35">
        <v>5</v>
      </c>
      <c r="E38" s="113"/>
      <c r="F38" s="113"/>
      <c r="G38" s="113"/>
      <c r="H38" s="113"/>
    </row>
    <row r="39" spans="1:8" x14ac:dyDescent="0.25">
      <c r="A39" s="5">
        <f t="shared" si="0"/>
        <v>5</v>
      </c>
      <c r="B39" s="291" t="s">
        <v>351</v>
      </c>
      <c r="C39" s="35" t="s">
        <v>11</v>
      </c>
      <c r="D39" s="35">
        <v>5</v>
      </c>
      <c r="E39" s="113"/>
      <c r="F39" s="113"/>
      <c r="G39" s="113"/>
      <c r="H39" s="113"/>
    </row>
    <row r="40" spans="1:8" x14ac:dyDescent="0.25">
      <c r="A40" s="5">
        <f t="shared" si="0"/>
        <v>6</v>
      </c>
      <c r="B40" s="291" t="s">
        <v>359</v>
      </c>
      <c r="C40" s="35" t="s">
        <v>11</v>
      </c>
      <c r="D40" s="35">
        <v>5</v>
      </c>
      <c r="E40" s="113"/>
      <c r="F40" s="113"/>
      <c r="G40" s="113"/>
      <c r="H40" s="113"/>
    </row>
    <row r="41" spans="1:8" x14ac:dyDescent="0.25">
      <c r="A41" s="5">
        <f t="shared" si="0"/>
        <v>7</v>
      </c>
      <c r="B41" s="291" t="s">
        <v>363</v>
      </c>
      <c r="C41" s="35" t="s">
        <v>11</v>
      </c>
      <c r="D41" s="35">
        <v>5</v>
      </c>
      <c r="E41" s="113"/>
      <c r="F41" s="113"/>
      <c r="G41" s="113"/>
      <c r="H41" s="113"/>
    </row>
    <row r="42" spans="1:8" ht="13.5" customHeight="1" x14ac:dyDescent="0.25">
      <c r="A42" s="5">
        <f t="shared" si="0"/>
        <v>8</v>
      </c>
      <c r="B42" s="307" t="s">
        <v>364</v>
      </c>
      <c r="C42" s="308" t="s">
        <v>11</v>
      </c>
      <c r="D42" s="308">
        <v>5</v>
      </c>
      <c r="E42" s="113"/>
      <c r="F42" s="113"/>
      <c r="G42" s="113"/>
      <c r="H42" s="113"/>
    </row>
    <row r="43" spans="1:8" x14ac:dyDescent="0.25">
      <c r="A43" s="5">
        <f t="shared" si="0"/>
        <v>9</v>
      </c>
      <c r="B43" s="307" t="s">
        <v>352</v>
      </c>
      <c r="C43" s="308" t="s">
        <v>11</v>
      </c>
      <c r="D43" s="308">
        <v>5</v>
      </c>
      <c r="E43" s="113"/>
      <c r="F43" s="113"/>
      <c r="G43" s="113"/>
      <c r="H43" s="113"/>
    </row>
    <row r="44" spans="1:8" x14ac:dyDescent="0.25">
      <c r="A44" s="5">
        <f t="shared" si="0"/>
        <v>10</v>
      </c>
      <c r="B44" s="307" t="s">
        <v>371</v>
      </c>
      <c r="C44" s="308" t="s">
        <v>11</v>
      </c>
      <c r="D44" s="308">
        <v>5</v>
      </c>
      <c r="E44" s="113"/>
      <c r="F44" s="113"/>
      <c r="G44" s="113"/>
      <c r="H44" s="113"/>
    </row>
    <row r="45" spans="1:8" x14ac:dyDescent="0.25">
      <c r="A45" s="5">
        <f t="shared" si="0"/>
        <v>11</v>
      </c>
      <c r="B45" s="307" t="s">
        <v>353</v>
      </c>
      <c r="C45" s="308" t="s">
        <v>11</v>
      </c>
      <c r="D45" s="308">
        <v>5</v>
      </c>
      <c r="E45" s="113"/>
      <c r="F45" s="113"/>
      <c r="G45" s="113"/>
      <c r="H45" s="113"/>
    </row>
    <row r="46" spans="1:8" ht="15.75" customHeight="1" x14ac:dyDescent="0.25">
      <c r="A46" s="5">
        <f t="shared" si="0"/>
        <v>12</v>
      </c>
      <c r="B46" s="307" t="s">
        <v>342</v>
      </c>
      <c r="C46" s="308" t="s">
        <v>11</v>
      </c>
      <c r="D46" s="308">
        <v>5</v>
      </c>
      <c r="E46" s="113"/>
      <c r="F46" s="113"/>
      <c r="G46" s="113"/>
      <c r="H46" s="113"/>
    </row>
    <row r="47" spans="1:8" x14ac:dyDescent="0.25">
      <c r="A47" s="5">
        <f t="shared" si="0"/>
        <v>13</v>
      </c>
      <c r="B47" s="307" t="s">
        <v>348</v>
      </c>
      <c r="C47" s="308" t="s">
        <v>11</v>
      </c>
      <c r="D47" s="308">
        <v>5</v>
      </c>
      <c r="E47" s="113"/>
      <c r="F47" s="113"/>
      <c r="G47" s="113"/>
      <c r="H47" s="113"/>
    </row>
    <row r="48" spans="1:8" x14ac:dyDescent="0.25">
      <c r="A48" s="5">
        <f t="shared" si="0"/>
        <v>14</v>
      </c>
      <c r="B48" s="307" t="s">
        <v>354</v>
      </c>
      <c r="C48" s="308" t="s">
        <v>11</v>
      </c>
      <c r="D48" s="308">
        <v>5</v>
      </c>
      <c r="E48" s="113"/>
      <c r="F48" s="113"/>
      <c r="G48" s="113"/>
      <c r="H48" s="113"/>
    </row>
    <row r="49" spans="1:8" x14ac:dyDescent="0.25">
      <c r="A49" s="5">
        <f t="shared" si="0"/>
        <v>15</v>
      </c>
      <c r="B49" s="307" t="s">
        <v>360</v>
      </c>
      <c r="C49" s="308" t="s">
        <v>11</v>
      </c>
      <c r="D49" s="308">
        <v>5</v>
      </c>
      <c r="E49" s="113"/>
      <c r="F49" s="113"/>
      <c r="G49" s="113"/>
      <c r="H49" s="113"/>
    </row>
    <row r="50" spans="1:8" x14ac:dyDescent="0.25">
      <c r="A50" s="5">
        <f t="shared" si="0"/>
        <v>16</v>
      </c>
      <c r="B50" s="307" t="s">
        <v>372</v>
      </c>
      <c r="C50" s="308" t="s">
        <v>11</v>
      </c>
      <c r="D50" s="308">
        <v>5</v>
      </c>
      <c r="E50" s="113"/>
      <c r="F50" s="113"/>
      <c r="G50" s="113"/>
      <c r="H50" s="113"/>
    </row>
    <row r="51" spans="1:8" x14ac:dyDescent="0.25">
      <c r="A51" s="5">
        <f t="shared" si="0"/>
        <v>17</v>
      </c>
      <c r="B51" s="307" t="s">
        <v>343</v>
      </c>
      <c r="C51" s="308" t="s">
        <v>2</v>
      </c>
      <c r="D51" s="308">
        <v>10</v>
      </c>
      <c r="E51" s="113"/>
      <c r="F51" s="113"/>
      <c r="G51" s="113"/>
      <c r="H51" s="113"/>
    </row>
    <row r="52" spans="1:8" x14ac:dyDescent="0.25">
      <c r="A52" s="5">
        <f t="shared" si="0"/>
        <v>18</v>
      </c>
      <c r="B52" s="307" t="s">
        <v>349</v>
      </c>
      <c r="C52" s="308" t="s">
        <v>2</v>
      </c>
      <c r="D52" s="308">
        <v>10</v>
      </c>
      <c r="E52" s="113"/>
      <c r="F52" s="113"/>
      <c r="G52" s="113"/>
      <c r="H52" s="113"/>
    </row>
    <row r="53" spans="1:8" x14ac:dyDescent="0.25">
      <c r="A53" s="5">
        <f t="shared" si="0"/>
        <v>19</v>
      </c>
      <c r="B53" s="307" t="s">
        <v>355</v>
      </c>
      <c r="C53" s="308" t="s">
        <v>2</v>
      </c>
      <c r="D53" s="308">
        <v>10</v>
      </c>
      <c r="E53" s="113"/>
      <c r="F53" s="113"/>
      <c r="G53" s="113"/>
      <c r="H53" s="113"/>
    </row>
    <row r="54" spans="1:8" x14ac:dyDescent="0.25">
      <c r="A54" s="5">
        <f t="shared" si="0"/>
        <v>20</v>
      </c>
      <c r="B54" s="307" t="s">
        <v>361</v>
      </c>
      <c r="C54" s="308" t="s">
        <v>2</v>
      </c>
      <c r="D54" s="308">
        <v>10</v>
      </c>
      <c r="E54" s="113"/>
      <c r="F54" s="113"/>
      <c r="G54" s="113"/>
      <c r="H54" s="113"/>
    </row>
    <row r="55" spans="1:8" x14ac:dyDescent="0.25">
      <c r="A55" s="376">
        <f t="shared" si="0"/>
        <v>21</v>
      </c>
      <c r="B55" s="377" t="s">
        <v>467</v>
      </c>
      <c r="C55" s="378" t="s">
        <v>11</v>
      </c>
      <c r="D55" s="378">
        <v>5</v>
      </c>
      <c r="E55" s="113"/>
      <c r="F55" s="113"/>
      <c r="G55" s="113"/>
      <c r="H55" s="113"/>
    </row>
    <row r="56" spans="1:8" x14ac:dyDescent="0.25">
      <c r="A56" s="5">
        <f t="shared" si="0"/>
        <v>22</v>
      </c>
      <c r="B56" s="307" t="s">
        <v>433</v>
      </c>
      <c r="C56" s="308" t="s">
        <v>11</v>
      </c>
      <c r="D56" s="308">
        <v>5</v>
      </c>
      <c r="E56" s="113"/>
      <c r="F56" s="113"/>
      <c r="G56" s="113"/>
      <c r="H56" s="113"/>
    </row>
    <row r="57" spans="1:8" x14ac:dyDescent="0.25">
      <c r="A57" s="5">
        <f t="shared" si="0"/>
        <v>23</v>
      </c>
      <c r="B57" s="307" t="s">
        <v>413</v>
      </c>
      <c r="C57" s="308" t="s">
        <v>11</v>
      </c>
      <c r="D57" s="308">
        <v>5</v>
      </c>
      <c r="E57" s="113"/>
      <c r="F57" s="113"/>
      <c r="G57" s="113"/>
      <c r="H57" s="113"/>
    </row>
    <row r="58" spans="1:8" x14ac:dyDescent="0.25">
      <c r="A58" s="5">
        <f t="shared" si="0"/>
        <v>24</v>
      </c>
      <c r="B58" s="307" t="s">
        <v>220</v>
      </c>
      <c r="C58" s="308" t="s">
        <v>11</v>
      </c>
      <c r="D58" s="308">
        <v>5</v>
      </c>
      <c r="E58" s="113"/>
      <c r="F58" s="113"/>
      <c r="G58" s="113"/>
      <c r="H58" s="113"/>
    </row>
    <row r="59" spans="1:8" x14ac:dyDescent="0.25">
      <c r="A59" s="5">
        <f t="shared" si="0"/>
        <v>25</v>
      </c>
      <c r="B59" s="307" t="s">
        <v>356</v>
      </c>
      <c r="C59" s="308" t="s">
        <v>11</v>
      </c>
      <c r="D59" s="308">
        <v>5</v>
      </c>
      <c r="E59" s="113"/>
      <c r="F59" s="113"/>
      <c r="G59" s="113"/>
      <c r="H59" s="113"/>
    </row>
    <row r="60" spans="1:8" x14ac:dyDescent="0.25">
      <c r="A60" s="5">
        <f t="shared" si="0"/>
        <v>26</v>
      </c>
      <c r="B60" s="307" t="s">
        <v>365</v>
      </c>
      <c r="C60" s="308" t="s">
        <v>11</v>
      </c>
      <c r="D60" s="308">
        <v>5</v>
      </c>
      <c r="E60" s="113"/>
      <c r="F60" s="113"/>
      <c r="G60" s="113"/>
      <c r="H60" s="113"/>
    </row>
    <row r="61" spans="1:8" x14ac:dyDescent="0.25">
      <c r="A61" s="5">
        <f t="shared" si="0"/>
        <v>27</v>
      </c>
      <c r="B61" s="307" t="s">
        <v>366</v>
      </c>
      <c r="C61" s="308" t="s">
        <v>11</v>
      </c>
      <c r="D61" s="308">
        <v>5</v>
      </c>
      <c r="E61" s="113"/>
      <c r="F61" s="113"/>
      <c r="G61" s="113"/>
      <c r="H61" s="113"/>
    </row>
    <row r="62" spans="1:8" x14ac:dyDescent="0.25">
      <c r="A62" s="5">
        <f t="shared" si="0"/>
        <v>28</v>
      </c>
      <c r="B62" s="291" t="s">
        <v>432</v>
      </c>
      <c r="C62" s="35" t="s">
        <v>11</v>
      </c>
      <c r="D62" s="35">
        <v>5</v>
      </c>
      <c r="E62" s="113"/>
      <c r="F62" s="113"/>
      <c r="G62" s="113"/>
      <c r="H62" s="113"/>
    </row>
    <row r="63" spans="1:8" x14ac:dyDescent="0.25">
      <c r="A63" s="5">
        <f t="shared" si="0"/>
        <v>29</v>
      </c>
      <c r="B63" s="291" t="s">
        <v>446</v>
      </c>
      <c r="C63" s="35" t="s">
        <v>11</v>
      </c>
      <c r="D63" s="35">
        <v>5</v>
      </c>
      <c r="E63" s="113"/>
      <c r="F63" s="113"/>
      <c r="G63" s="113"/>
      <c r="H63" s="113"/>
    </row>
    <row r="64" spans="1:8" x14ac:dyDescent="0.25">
      <c r="A64" s="5">
        <f t="shared" si="0"/>
        <v>30</v>
      </c>
      <c r="B64" s="291" t="s">
        <v>345</v>
      </c>
      <c r="C64" s="35" t="s">
        <v>11</v>
      </c>
      <c r="D64" s="35">
        <v>5</v>
      </c>
      <c r="E64" s="113"/>
      <c r="F64" s="113"/>
      <c r="G64" s="113"/>
      <c r="H64" s="113"/>
    </row>
    <row r="65" spans="1:8" x14ac:dyDescent="0.25">
      <c r="A65" s="5">
        <f t="shared" si="0"/>
        <v>31</v>
      </c>
      <c r="B65" s="291" t="s">
        <v>310</v>
      </c>
      <c r="C65" s="35" t="s">
        <v>11</v>
      </c>
      <c r="D65" s="35">
        <v>5</v>
      </c>
      <c r="E65" s="113"/>
      <c r="F65" s="113"/>
      <c r="G65" s="113"/>
      <c r="H65" s="113"/>
    </row>
    <row r="66" spans="1:8" x14ac:dyDescent="0.25">
      <c r="A66" s="5">
        <f t="shared" si="0"/>
        <v>32</v>
      </c>
      <c r="B66" s="291" t="s">
        <v>367</v>
      </c>
      <c r="C66" s="35" t="s">
        <v>11</v>
      </c>
      <c r="D66" s="35">
        <v>5</v>
      </c>
      <c r="E66" s="113"/>
      <c r="F66" s="113"/>
      <c r="G66" s="113"/>
      <c r="H66" s="113"/>
    </row>
    <row r="67" spans="1:8" x14ac:dyDescent="0.25">
      <c r="A67" s="5">
        <f t="shared" si="0"/>
        <v>33</v>
      </c>
      <c r="B67" s="291" t="s">
        <v>344</v>
      </c>
      <c r="C67" s="35" t="s">
        <v>2</v>
      </c>
      <c r="D67" s="35">
        <v>10</v>
      </c>
      <c r="E67" s="113"/>
      <c r="F67" s="113"/>
      <c r="G67" s="113"/>
      <c r="H67" s="113"/>
    </row>
    <row r="68" spans="1:8" x14ac:dyDescent="0.25">
      <c r="A68" s="5">
        <f t="shared" si="0"/>
        <v>34</v>
      </c>
      <c r="B68" s="291" t="s">
        <v>350</v>
      </c>
      <c r="C68" s="35" t="s">
        <v>2</v>
      </c>
      <c r="D68" s="35">
        <v>10</v>
      </c>
      <c r="E68" s="113"/>
      <c r="F68" s="113"/>
      <c r="G68" s="113"/>
      <c r="H68" s="113"/>
    </row>
    <row r="69" spans="1:8" x14ac:dyDescent="0.25">
      <c r="A69" s="5">
        <f t="shared" si="0"/>
        <v>35</v>
      </c>
      <c r="B69" s="291" t="s">
        <v>357</v>
      </c>
      <c r="C69" s="35" t="s">
        <v>2</v>
      </c>
      <c r="D69" s="35">
        <v>10</v>
      </c>
      <c r="E69" s="113"/>
      <c r="F69" s="113"/>
      <c r="G69" s="113"/>
      <c r="H69" s="113"/>
    </row>
    <row r="70" spans="1:8" x14ac:dyDescent="0.25">
      <c r="A70" s="5">
        <f t="shared" si="0"/>
        <v>36</v>
      </c>
      <c r="B70" s="291" t="s">
        <v>362</v>
      </c>
      <c r="C70" s="35" t="s">
        <v>2</v>
      </c>
      <c r="D70" s="35">
        <v>10</v>
      </c>
      <c r="E70" s="113"/>
      <c r="F70" s="113"/>
      <c r="G70" s="113"/>
      <c r="H70" s="113"/>
    </row>
    <row r="71" spans="1:8" x14ac:dyDescent="0.25">
      <c r="A71" s="5">
        <f t="shared" si="0"/>
        <v>37</v>
      </c>
      <c r="B71" s="291" t="s">
        <v>437</v>
      </c>
      <c r="C71" s="35" t="s">
        <v>11</v>
      </c>
      <c r="D71" s="35">
        <v>5</v>
      </c>
      <c r="E71" s="113"/>
      <c r="F71" s="113"/>
      <c r="G71" s="113"/>
      <c r="H71" s="113"/>
    </row>
    <row r="72" spans="1:8" x14ac:dyDescent="0.25">
      <c r="A72" s="5">
        <f t="shared" si="0"/>
        <v>38</v>
      </c>
      <c r="B72" s="291" t="s">
        <v>436</v>
      </c>
      <c r="C72" s="35" t="s">
        <v>11</v>
      </c>
      <c r="D72" s="35">
        <v>5</v>
      </c>
      <c r="E72" s="113"/>
      <c r="F72" s="113"/>
      <c r="G72" s="113"/>
      <c r="H72" s="113"/>
    </row>
    <row r="73" spans="1:8" x14ac:dyDescent="0.25">
      <c r="A73" s="5">
        <f t="shared" si="0"/>
        <v>39</v>
      </c>
      <c r="B73" s="291" t="s">
        <v>435</v>
      </c>
      <c r="C73" s="35" t="s">
        <v>11</v>
      </c>
      <c r="D73" s="35">
        <v>5</v>
      </c>
      <c r="E73" s="113"/>
      <c r="F73" s="113"/>
      <c r="G73" s="113"/>
      <c r="H73" s="113"/>
    </row>
    <row r="74" spans="1:8" x14ac:dyDescent="0.25">
      <c r="A74" s="5">
        <f t="shared" si="0"/>
        <v>40</v>
      </c>
      <c r="B74" s="291" t="s">
        <v>434</v>
      </c>
      <c r="C74" s="35" t="s">
        <v>11</v>
      </c>
      <c r="D74" s="35">
        <v>5</v>
      </c>
      <c r="E74" s="113"/>
      <c r="F74" s="113"/>
      <c r="G74" s="113"/>
      <c r="H74" s="113"/>
    </row>
    <row r="75" spans="1:8" x14ac:dyDescent="0.25">
      <c r="A75" s="5">
        <f t="shared" si="0"/>
        <v>41</v>
      </c>
      <c r="B75" s="291" t="s">
        <v>368</v>
      </c>
      <c r="C75" s="35" t="s">
        <v>11</v>
      </c>
      <c r="D75" s="35">
        <v>5</v>
      </c>
      <c r="E75" s="113"/>
      <c r="F75" s="113"/>
      <c r="G75" s="113"/>
      <c r="H75" s="113"/>
    </row>
    <row r="76" spans="1:8" x14ac:dyDescent="0.25">
      <c r="A76" s="5">
        <f t="shared" si="0"/>
        <v>42</v>
      </c>
      <c r="B76" s="291" t="s">
        <v>369</v>
      </c>
      <c r="C76" s="35" t="s">
        <v>11</v>
      </c>
      <c r="D76" s="35">
        <v>5</v>
      </c>
      <c r="E76" s="113"/>
      <c r="F76" s="113"/>
      <c r="G76" s="113"/>
      <c r="H76" s="113"/>
    </row>
    <row r="77" spans="1:8" x14ac:dyDescent="0.25">
      <c r="A77" s="5">
        <f t="shared" si="0"/>
        <v>43</v>
      </c>
      <c r="B77" s="291" t="s">
        <v>370</v>
      </c>
      <c r="C77" s="35" t="s">
        <v>11</v>
      </c>
      <c r="D77" s="35">
        <v>5</v>
      </c>
      <c r="E77" s="113"/>
      <c r="F77" s="113"/>
      <c r="G77" s="113"/>
      <c r="H77" s="113"/>
    </row>
    <row r="78" spans="1:8" x14ac:dyDescent="0.25">
      <c r="A78" s="312"/>
      <c r="B78" s="311"/>
      <c r="C78" s="313"/>
      <c r="D78" s="313"/>
      <c r="E78" s="113"/>
      <c r="F78" s="113"/>
      <c r="G78" s="113"/>
      <c r="H78" s="113"/>
    </row>
    <row r="79" spans="1:8" x14ac:dyDescent="0.25">
      <c r="C79" s="113"/>
      <c r="D79" s="113"/>
      <c r="F79" s="113"/>
      <c r="G79" s="113"/>
      <c r="H79" s="113"/>
    </row>
    <row r="80" spans="1:8" ht="18.75" x14ac:dyDescent="0.25">
      <c r="B80" s="143" t="s">
        <v>19</v>
      </c>
      <c r="C80" s="113"/>
      <c r="D80" s="113"/>
      <c r="E80" s="114" t="s">
        <v>235</v>
      </c>
      <c r="F80" s="113"/>
      <c r="G80" s="113"/>
      <c r="H80" s="113"/>
    </row>
    <row r="81" spans="2:8" x14ac:dyDescent="0.25">
      <c r="B81" s="113"/>
      <c r="D81" s="113"/>
      <c r="E81" s="113"/>
      <c r="F81" s="113"/>
      <c r="G81" s="113"/>
      <c r="H81" s="113"/>
    </row>
    <row r="82" spans="2:8" x14ac:dyDescent="0.25">
      <c r="B82" s="33" t="s">
        <v>236</v>
      </c>
      <c r="C82" s="145" t="s">
        <v>3</v>
      </c>
      <c r="D82" s="146" t="s">
        <v>230</v>
      </c>
      <c r="E82" s="146" t="s">
        <v>4</v>
      </c>
      <c r="F82" s="146" t="s">
        <v>238</v>
      </c>
      <c r="G82" s="146" t="s">
        <v>237</v>
      </c>
      <c r="H82" s="146" t="s">
        <v>7</v>
      </c>
    </row>
    <row r="83" spans="2:8" ht="15.75" thickBot="1" x14ac:dyDescent="0.3">
      <c r="B83" s="131"/>
      <c r="C83" s="144">
        <f>COUNTIF(D35:D77,5)</f>
        <v>35</v>
      </c>
      <c r="D83" s="120">
        <v>5</v>
      </c>
      <c r="E83" s="120">
        <f>COUNTIF(D35:D77,10)</f>
        <v>8</v>
      </c>
      <c r="F83" s="120">
        <v>10</v>
      </c>
      <c r="G83" s="120">
        <f>COUNTIF(D35:D77,15)</f>
        <v>0</v>
      </c>
      <c r="H83" s="120">
        <v>15</v>
      </c>
    </row>
    <row r="84" spans="2:8" ht="15.75" thickBot="1" x14ac:dyDescent="0.3">
      <c r="B84" s="33" t="s">
        <v>236</v>
      </c>
      <c r="C84" s="30">
        <f>C83*D83+E83*F83+G83*H83</f>
        <v>255</v>
      </c>
      <c r="D84" s="113"/>
      <c r="E84" s="113"/>
      <c r="F84" s="113"/>
      <c r="G84" s="113"/>
      <c r="H84" s="113"/>
    </row>
    <row r="85" spans="2:8" x14ac:dyDescent="0.25">
      <c r="B85" s="131"/>
      <c r="C85" s="113"/>
      <c r="D85" s="113"/>
      <c r="E85" s="113"/>
      <c r="F85" s="113"/>
      <c r="G85" s="113"/>
      <c r="H85" s="113"/>
    </row>
    <row r="86" spans="2:8" x14ac:dyDescent="0.25">
      <c r="B86" s="113"/>
      <c r="C86" s="113"/>
      <c r="D86" s="113"/>
      <c r="E86" s="113"/>
      <c r="F86" s="113"/>
      <c r="G86" s="113"/>
      <c r="H86" s="113"/>
    </row>
    <row r="87" spans="2:8" ht="19.5" thickBot="1" x14ac:dyDescent="0.3">
      <c r="B87" s="112" t="s">
        <v>20</v>
      </c>
      <c r="C87" s="113"/>
      <c r="D87" s="113"/>
      <c r="F87" s="113"/>
      <c r="G87" s="113"/>
      <c r="H87" s="113"/>
    </row>
    <row r="88" spans="2:8" ht="21.75" thickBot="1" x14ac:dyDescent="0.4">
      <c r="B88" s="124" t="s">
        <v>78</v>
      </c>
      <c r="C88" s="32">
        <f>C22+C84</f>
        <v>262</v>
      </c>
      <c r="D88" s="113"/>
      <c r="E88" s="113"/>
      <c r="F88" s="113"/>
      <c r="G88" s="113"/>
      <c r="H88" s="113"/>
    </row>
    <row r="89" spans="2:8" ht="15.75" thickBot="1" x14ac:dyDescent="0.3">
      <c r="B89" s="113"/>
      <c r="D89" s="113"/>
      <c r="E89" s="113"/>
      <c r="F89" s="113"/>
      <c r="G89" s="113"/>
      <c r="H89" s="113"/>
    </row>
    <row r="90" spans="2:8" ht="18.75" x14ac:dyDescent="0.3">
      <c r="B90" s="386" t="s">
        <v>233</v>
      </c>
      <c r="C90" s="386"/>
      <c r="D90" s="386"/>
      <c r="E90" s="386"/>
      <c r="F90" s="386"/>
      <c r="G90" s="386"/>
      <c r="H90" s="386"/>
    </row>
    <row r="91" spans="2:8" x14ac:dyDescent="0.25">
      <c r="B91" s="113"/>
      <c r="C91" s="113"/>
      <c r="D91" s="113"/>
      <c r="E91" s="113"/>
      <c r="F91" s="113"/>
      <c r="G91" s="113"/>
      <c r="H91" s="113"/>
    </row>
    <row r="92" spans="2:8" ht="21" x14ac:dyDescent="0.35">
      <c r="B92" s="143" t="s">
        <v>70</v>
      </c>
      <c r="C92" s="113"/>
      <c r="D92" s="113"/>
      <c r="E92" s="114" t="s">
        <v>239</v>
      </c>
      <c r="F92" s="122"/>
      <c r="G92" s="122"/>
      <c r="H92" s="122"/>
    </row>
    <row r="93" spans="2:8" x14ac:dyDescent="0.25">
      <c r="B93" s="113"/>
      <c r="C93" s="113"/>
      <c r="D93" s="113"/>
      <c r="E93" s="113"/>
      <c r="F93" s="113"/>
      <c r="G93" s="113"/>
      <c r="H93" s="113"/>
    </row>
    <row r="94" spans="2:8" x14ac:dyDescent="0.25">
      <c r="B94" s="123" t="s">
        <v>21</v>
      </c>
      <c r="C94" s="113" t="s">
        <v>53</v>
      </c>
      <c r="D94" s="113"/>
      <c r="E94" s="113"/>
      <c r="F94" s="113"/>
      <c r="G94" s="113"/>
      <c r="H94" s="113"/>
    </row>
    <row r="95" spans="2:8" x14ac:dyDescent="0.25">
      <c r="B95" s="123" t="s">
        <v>22</v>
      </c>
      <c r="C95" s="113" t="s">
        <v>54</v>
      </c>
      <c r="D95" s="113"/>
      <c r="E95" s="113"/>
      <c r="F95" s="113"/>
      <c r="G95" s="113"/>
      <c r="H95" s="113"/>
    </row>
    <row r="96" spans="2:8" x14ac:dyDescent="0.25">
      <c r="B96" s="123" t="s">
        <v>52</v>
      </c>
      <c r="C96" s="113" t="s">
        <v>55</v>
      </c>
      <c r="D96" s="113"/>
      <c r="E96" s="113"/>
      <c r="F96" s="113"/>
      <c r="G96" s="113"/>
      <c r="H96" s="113"/>
    </row>
    <row r="97" spans="2:8" x14ac:dyDescent="0.25">
      <c r="B97" s="123" t="s">
        <v>71</v>
      </c>
      <c r="C97" s="113" t="s">
        <v>56</v>
      </c>
      <c r="D97" s="113"/>
      <c r="E97" s="113"/>
      <c r="F97" s="113"/>
      <c r="G97" s="113"/>
      <c r="H97" s="113"/>
    </row>
    <row r="98" spans="2:8" x14ac:dyDescent="0.25">
      <c r="B98" s="113"/>
      <c r="C98" s="113"/>
      <c r="D98" s="113"/>
      <c r="E98" s="113"/>
      <c r="F98" s="113"/>
      <c r="G98" s="113"/>
      <c r="H98" s="113"/>
    </row>
    <row r="99" spans="2:8" ht="12" customHeight="1" thickBot="1" x14ac:dyDescent="0.4">
      <c r="B99" s="393"/>
      <c r="C99" s="393"/>
      <c r="D99" s="393"/>
      <c r="E99" s="113"/>
      <c r="F99" s="113"/>
      <c r="G99" s="113"/>
      <c r="H99" s="113"/>
    </row>
    <row r="100" spans="2:8" ht="15.75" thickBot="1" x14ac:dyDescent="0.3">
      <c r="B100" s="387" t="s">
        <v>243</v>
      </c>
      <c r="C100" s="388"/>
      <c r="D100" s="388"/>
      <c r="E100" s="388"/>
      <c r="F100" s="389"/>
      <c r="G100" s="113"/>
      <c r="H100" s="113"/>
    </row>
    <row r="101" spans="2:8" ht="36" customHeight="1" x14ac:dyDescent="0.25">
      <c r="B101" s="144" t="s">
        <v>52</v>
      </c>
      <c r="C101" s="113"/>
      <c r="D101" s="113"/>
      <c r="E101" s="114" t="s">
        <v>240</v>
      </c>
      <c r="F101" s="113"/>
      <c r="G101" s="113"/>
      <c r="H101" s="113"/>
    </row>
    <row r="102" spans="2:8" ht="15.75" thickBot="1" x14ac:dyDescent="0.3">
      <c r="B102" s="113"/>
      <c r="C102" s="113"/>
      <c r="D102" s="113"/>
      <c r="E102" s="113"/>
      <c r="F102" s="113"/>
      <c r="G102" s="113"/>
      <c r="H102" s="113"/>
    </row>
    <row r="103" spans="2:8" ht="16.5" thickBot="1" x14ac:dyDescent="0.3">
      <c r="B103" s="383" t="s">
        <v>72</v>
      </c>
      <c r="C103" s="384"/>
      <c r="D103" s="384"/>
      <c r="E103" s="384"/>
      <c r="F103" s="385"/>
      <c r="G103" s="113"/>
      <c r="H103" s="113"/>
    </row>
    <row r="104" spans="2:8" ht="15.75" thickBot="1" x14ac:dyDescent="0.3">
      <c r="B104" s="1" t="s">
        <v>10</v>
      </c>
      <c r="C104" s="13" t="s">
        <v>23</v>
      </c>
      <c r="D104" s="14" t="s">
        <v>24</v>
      </c>
      <c r="E104" s="249" t="s">
        <v>25</v>
      </c>
      <c r="F104" s="1" t="s">
        <v>57</v>
      </c>
      <c r="G104" s="113"/>
      <c r="H104" s="113"/>
    </row>
    <row r="105" spans="2:8" x14ac:dyDescent="0.25">
      <c r="B105" s="3" t="s">
        <v>27</v>
      </c>
      <c r="C105" s="15" t="s">
        <v>26</v>
      </c>
      <c r="D105" s="16">
        <v>2</v>
      </c>
      <c r="E105" s="251">
        <v>3</v>
      </c>
      <c r="F105" s="34">
        <f>D105*E105</f>
        <v>6</v>
      </c>
      <c r="G105" s="113"/>
      <c r="H105" s="113"/>
    </row>
    <row r="106" spans="2:8" x14ac:dyDescent="0.25">
      <c r="B106" s="5" t="s">
        <v>29</v>
      </c>
      <c r="C106" s="17" t="s">
        <v>28</v>
      </c>
      <c r="D106" s="18">
        <v>1</v>
      </c>
      <c r="E106" s="248">
        <v>3</v>
      </c>
      <c r="F106" s="35">
        <f t="shared" ref="F106:F117" si="1">D106*E106</f>
        <v>3</v>
      </c>
      <c r="G106" s="113"/>
      <c r="H106" s="113"/>
    </row>
    <row r="107" spans="2:8" x14ac:dyDescent="0.25">
      <c r="B107" s="5" t="s">
        <v>31</v>
      </c>
      <c r="C107" s="17" t="s">
        <v>30</v>
      </c>
      <c r="D107" s="18">
        <v>1</v>
      </c>
      <c r="E107" s="248">
        <v>3</v>
      </c>
      <c r="F107" s="35">
        <f t="shared" si="1"/>
        <v>3</v>
      </c>
      <c r="G107" s="113"/>
      <c r="H107" s="113"/>
    </row>
    <row r="108" spans="2:8" x14ac:dyDescent="0.25">
      <c r="B108" s="5" t="s">
        <v>33</v>
      </c>
      <c r="C108" s="17" t="s">
        <v>32</v>
      </c>
      <c r="D108" s="18">
        <v>1</v>
      </c>
      <c r="E108" s="248">
        <v>2</v>
      </c>
      <c r="F108" s="35">
        <f t="shared" si="1"/>
        <v>2</v>
      </c>
      <c r="G108" s="113"/>
      <c r="H108" s="113"/>
    </row>
    <row r="109" spans="2:8" x14ac:dyDescent="0.25">
      <c r="B109" s="5" t="s">
        <v>35</v>
      </c>
      <c r="C109" s="17" t="s">
        <v>34</v>
      </c>
      <c r="D109" s="18">
        <v>1</v>
      </c>
      <c r="E109" s="248">
        <v>4</v>
      </c>
      <c r="F109" s="35">
        <f t="shared" si="1"/>
        <v>4</v>
      </c>
      <c r="G109" s="113"/>
      <c r="H109" s="113"/>
    </row>
    <row r="110" spans="2:8" x14ac:dyDescent="0.25">
      <c r="B110" s="5" t="s">
        <v>37</v>
      </c>
      <c r="C110" s="17" t="s">
        <v>36</v>
      </c>
      <c r="D110" s="18">
        <v>0.5</v>
      </c>
      <c r="E110" s="248">
        <v>2</v>
      </c>
      <c r="F110" s="35">
        <f t="shared" si="1"/>
        <v>1</v>
      </c>
      <c r="G110" s="113"/>
      <c r="H110" s="113"/>
    </row>
    <row r="111" spans="2:8" x14ac:dyDescent="0.25">
      <c r="B111" s="5" t="s">
        <v>39</v>
      </c>
      <c r="C111" s="17" t="s">
        <v>38</v>
      </c>
      <c r="D111" s="18">
        <v>0.5</v>
      </c>
      <c r="E111" s="248">
        <v>3</v>
      </c>
      <c r="F111" s="35">
        <f t="shared" si="1"/>
        <v>1.5</v>
      </c>
      <c r="G111" s="113"/>
      <c r="H111" s="113"/>
    </row>
    <row r="112" spans="2:8" x14ac:dyDescent="0.25">
      <c r="B112" s="5" t="s">
        <v>41</v>
      </c>
      <c r="C112" s="17" t="s">
        <v>40</v>
      </c>
      <c r="D112" s="18">
        <v>2</v>
      </c>
      <c r="E112" s="248">
        <v>3</v>
      </c>
      <c r="F112" s="35">
        <f t="shared" si="1"/>
        <v>6</v>
      </c>
      <c r="G112" s="113"/>
      <c r="H112" s="113"/>
    </row>
    <row r="113" spans="2:8" x14ac:dyDescent="0.25">
      <c r="B113" s="5" t="s">
        <v>43</v>
      </c>
      <c r="C113" s="17" t="s">
        <v>42</v>
      </c>
      <c r="D113" s="18">
        <v>1</v>
      </c>
      <c r="E113" s="248">
        <v>3</v>
      </c>
      <c r="F113" s="35">
        <f t="shared" si="1"/>
        <v>3</v>
      </c>
      <c r="G113" s="113"/>
      <c r="H113" s="113"/>
    </row>
    <row r="114" spans="2:8" x14ac:dyDescent="0.25">
      <c r="B114" s="5" t="s">
        <v>45</v>
      </c>
      <c r="C114" s="17" t="s">
        <v>44</v>
      </c>
      <c r="D114" s="18">
        <v>1</v>
      </c>
      <c r="E114" s="248">
        <v>2</v>
      </c>
      <c r="F114" s="35">
        <f t="shared" si="1"/>
        <v>2</v>
      </c>
      <c r="G114" s="113"/>
      <c r="H114" s="113"/>
    </row>
    <row r="115" spans="2:8" x14ac:dyDescent="0.25">
      <c r="B115" s="5" t="s">
        <v>47</v>
      </c>
      <c r="C115" s="17" t="s">
        <v>46</v>
      </c>
      <c r="D115" s="18">
        <v>1</v>
      </c>
      <c r="E115" s="248">
        <v>3</v>
      </c>
      <c r="F115" s="35">
        <f t="shared" si="1"/>
        <v>3</v>
      </c>
      <c r="G115" s="113"/>
      <c r="H115" s="113"/>
    </row>
    <row r="116" spans="2:8" x14ac:dyDescent="0.25">
      <c r="B116" s="5" t="s">
        <v>49</v>
      </c>
      <c r="C116" s="17" t="s">
        <v>48</v>
      </c>
      <c r="D116" s="18">
        <v>1</v>
      </c>
      <c r="E116" s="248">
        <v>2</v>
      </c>
      <c r="F116" s="35">
        <f t="shared" si="1"/>
        <v>2</v>
      </c>
      <c r="G116" s="113"/>
      <c r="H116" s="113"/>
    </row>
    <row r="117" spans="2:8" ht="15.75" thickBot="1" x14ac:dyDescent="0.3">
      <c r="B117" s="6" t="s">
        <v>51</v>
      </c>
      <c r="C117" s="19" t="s">
        <v>50</v>
      </c>
      <c r="D117" s="20">
        <v>1</v>
      </c>
      <c r="E117" s="250">
        <v>3</v>
      </c>
      <c r="F117" s="36">
        <f t="shared" si="1"/>
        <v>3</v>
      </c>
      <c r="G117" s="113"/>
      <c r="H117" s="113"/>
    </row>
    <row r="118" spans="2:8" ht="16.5" thickBot="1" x14ac:dyDescent="0.3">
      <c r="B118" s="302" t="s">
        <v>97</v>
      </c>
      <c r="C118" s="113"/>
      <c r="D118" s="113"/>
      <c r="E118" s="113"/>
      <c r="F118" s="37">
        <f>SUM(F105:F117)</f>
        <v>39.5</v>
      </c>
      <c r="G118" s="113"/>
      <c r="H118" s="113"/>
    </row>
    <row r="119" spans="2:8" ht="15.75" thickBot="1" x14ac:dyDescent="0.3">
      <c r="B119" s="113"/>
      <c r="C119" s="113"/>
      <c r="D119" s="113"/>
      <c r="E119" s="113"/>
      <c r="F119" s="113"/>
      <c r="G119" s="113"/>
      <c r="H119" s="113"/>
    </row>
    <row r="120" spans="2:8" ht="19.5" thickBot="1" x14ac:dyDescent="0.35">
      <c r="B120" s="111" t="s">
        <v>52</v>
      </c>
      <c r="C120" s="38">
        <f>0.6+0.01*F118</f>
        <v>0.995</v>
      </c>
      <c r="D120" s="113"/>
      <c r="E120" s="113"/>
      <c r="F120" s="113"/>
      <c r="G120" s="113"/>
      <c r="H120" s="113"/>
    </row>
    <row r="121" spans="2:8" ht="15.75" thickBot="1" x14ac:dyDescent="0.3">
      <c r="B121" s="113"/>
      <c r="C121" s="113"/>
      <c r="D121" s="113"/>
      <c r="E121" s="113"/>
      <c r="F121" s="113"/>
      <c r="G121" s="113"/>
      <c r="H121" s="113"/>
    </row>
    <row r="122" spans="2:8" ht="15.75" thickBot="1" x14ac:dyDescent="0.3">
      <c r="B122" s="390" t="s">
        <v>242</v>
      </c>
      <c r="C122" s="391"/>
      <c r="D122" s="391"/>
      <c r="E122" s="391"/>
      <c r="F122" s="392"/>
      <c r="G122" s="113"/>
      <c r="H122" s="113"/>
    </row>
    <row r="123" spans="2:8" ht="37.5" customHeight="1" x14ac:dyDescent="0.25">
      <c r="B123" s="144" t="s">
        <v>71</v>
      </c>
      <c r="C123" s="142"/>
      <c r="D123" s="113"/>
      <c r="E123" s="114" t="s">
        <v>241</v>
      </c>
      <c r="F123" s="113"/>
      <c r="G123" s="113"/>
      <c r="H123" s="113"/>
    </row>
    <row r="124" spans="2:8" ht="15.75" thickBot="1" x14ac:dyDescent="0.3">
      <c r="B124" s="113"/>
      <c r="C124" s="113"/>
      <c r="D124" s="113"/>
      <c r="E124" s="113"/>
      <c r="F124" s="113"/>
      <c r="G124" s="113"/>
      <c r="H124" s="113"/>
    </row>
    <row r="125" spans="2:8" ht="16.5" thickBot="1" x14ac:dyDescent="0.3">
      <c r="B125" s="383" t="s">
        <v>73</v>
      </c>
      <c r="C125" s="384"/>
      <c r="D125" s="384"/>
      <c r="E125" s="384"/>
      <c r="F125" s="385"/>
      <c r="G125" s="113"/>
      <c r="H125" s="113"/>
    </row>
    <row r="126" spans="2:8" ht="18.75" thickBot="1" x14ac:dyDescent="0.4">
      <c r="B126" s="1" t="s">
        <v>10</v>
      </c>
      <c r="C126" s="13" t="s">
        <v>23</v>
      </c>
      <c r="D126" s="14" t="s">
        <v>24</v>
      </c>
      <c r="E126" s="1" t="s">
        <v>25</v>
      </c>
      <c r="F126" s="1" t="s">
        <v>244</v>
      </c>
      <c r="H126" s="113"/>
    </row>
    <row r="127" spans="2:8" x14ac:dyDescent="0.25">
      <c r="B127" s="34" t="s">
        <v>419</v>
      </c>
      <c r="C127" s="15" t="s">
        <v>58</v>
      </c>
      <c r="D127" s="34">
        <v>1.5</v>
      </c>
      <c r="E127" s="34">
        <v>5</v>
      </c>
      <c r="F127" s="128">
        <f>D127*E127</f>
        <v>7.5</v>
      </c>
      <c r="H127" s="113"/>
    </row>
    <row r="128" spans="2:8" x14ac:dyDescent="0.25">
      <c r="B128" s="35" t="s">
        <v>420</v>
      </c>
      <c r="C128" s="17" t="s">
        <v>59</v>
      </c>
      <c r="D128" s="35">
        <v>0.5</v>
      </c>
      <c r="E128" s="35">
        <v>5</v>
      </c>
      <c r="F128" s="129">
        <f t="shared" ref="F128:F134" si="2">D128*E128</f>
        <v>2.5</v>
      </c>
      <c r="H128" s="113"/>
    </row>
    <row r="129" spans="2:8" x14ac:dyDescent="0.25">
      <c r="B129" s="35" t="s">
        <v>421</v>
      </c>
      <c r="C129" s="17" t="s">
        <v>60</v>
      </c>
      <c r="D129" s="35">
        <v>1</v>
      </c>
      <c r="E129" s="35">
        <v>4</v>
      </c>
      <c r="F129" s="129">
        <f t="shared" si="2"/>
        <v>4</v>
      </c>
      <c r="H129" s="113"/>
    </row>
    <row r="130" spans="2:8" x14ac:dyDescent="0.25">
      <c r="B130" s="35" t="s">
        <v>422</v>
      </c>
      <c r="C130" s="17" t="s">
        <v>61</v>
      </c>
      <c r="D130" s="35">
        <v>1</v>
      </c>
      <c r="E130" s="35">
        <v>4</v>
      </c>
      <c r="F130" s="129">
        <f t="shared" si="2"/>
        <v>4</v>
      </c>
      <c r="H130" s="113"/>
    </row>
    <row r="131" spans="2:8" x14ac:dyDescent="0.25">
      <c r="B131" s="35" t="s">
        <v>423</v>
      </c>
      <c r="C131" s="17" t="s">
        <v>74</v>
      </c>
      <c r="D131" s="35">
        <v>1</v>
      </c>
      <c r="E131" s="35">
        <v>5</v>
      </c>
      <c r="F131" s="129">
        <f t="shared" si="2"/>
        <v>5</v>
      </c>
      <c r="H131" s="113"/>
    </row>
    <row r="132" spans="2:8" x14ac:dyDescent="0.25">
      <c r="B132" s="35" t="s">
        <v>424</v>
      </c>
      <c r="C132" s="17" t="s">
        <v>75</v>
      </c>
      <c r="D132" s="35">
        <v>2</v>
      </c>
      <c r="E132" s="35">
        <v>5</v>
      </c>
      <c r="F132" s="129">
        <f t="shared" si="2"/>
        <v>10</v>
      </c>
      <c r="H132" s="113"/>
    </row>
    <row r="133" spans="2:8" x14ac:dyDescent="0.25">
      <c r="B133" s="35" t="s">
        <v>425</v>
      </c>
      <c r="C133" s="17" t="s">
        <v>76</v>
      </c>
      <c r="D133" s="35">
        <v>-1</v>
      </c>
      <c r="E133" s="35">
        <v>1</v>
      </c>
      <c r="F133" s="129">
        <f t="shared" si="2"/>
        <v>-1</v>
      </c>
      <c r="H133" s="113"/>
    </row>
    <row r="134" spans="2:8" ht="15.75" thickBot="1" x14ac:dyDescent="0.3">
      <c r="B134" s="36" t="s">
        <v>426</v>
      </c>
      <c r="C134" s="19" t="s">
        <v>77</v>
      </c>
      <c r="D134" s="36">
        <v>-1</v>
      </c>
      <c r="E134" s="36">
        <v>4</v>
      </c>
      <c r="F134" s="130">
        <f t="shared" si="2"/>
        <v>-4</v>
      </c>
      <c r="H134" s="113"/>
    </row>
    <row r="135" spans="2:8" ht="16.5" thickBot="1" x14ac:dyDescent="0.3">
      <c r="B135" s="302" t="s">
        <v>97</v>
      </c>
      <c r="C135" s="148"/>
      <c r="D135" s="148"/>
      <c r="E135" s="148"/>
      <c r="F135" s="37">
        <f>SUM(F127:F134)</f>
        <v>28</v>
      </c>
      <c r="G135" s="113"/>
      <c r="H135" s="113"/>
    </row>
    <row r="136" spans="2:8" ht="19.5" thickBot="1" x14ac:dyDescent="0.35">
      <c r="B136" s="133" t="s">
        <v>71</v>
      </c>
      <c r="C136" s="310">
        <f>1.4-0.03*F135</f>
        <v>0.55999999999999994</v>
      </c>
      <c r="D136" s="113"/>
      <c r="E136" s="113"/>
      <c r="F136" s="113"/>
      <c r="G136" s="113"/>
      <c r="H136" s="113"/>
    </row>
    <row r="137" spans="2:8" x14ac:dyDescent="0.25">
      <c r="B137" s="113"/>
      <c r="C137" s="113"/>
      <c r="D137" s="113"/>
      <c r="E137" s="113"/>
      <c r="F137" s="113"/>
      <c r="G137" s="113"/>
      <c r="H137" s="113"/>
    </row>
    <row r="138" spans="2:8" x14ac:dyDescent="0.25">
      <c r="B138" s="113"/>
      <c r="C138" s="134"/>
      <c r="D138" s="113"/>
      <c r="E138" s="113"/>
      <c r="F138" s="113"/>
      <c r="G138" s="113"/>
      <c r="H138" s="113"/>
    </row>
    <row r="139" spans="2:8" ht="19.5" thickBot="1" x14ac:dyDescent="0.3">
      <c r="B139" s="112" t="s">
        <v>70</v>
      </c>
      <c r="C139" s="132"/>
      <c r="D139" s="113"/>
      <c r="E139" s="113"/>
      <c r="F139" s="113"/>
      <c r="G139" s="113"/>
      <c r="H139" s="113"/>
    </row>
    <row r="140" spans="2:8" ht="21.75" thickBot="1" x14ac:dyDescent="0.4">
      <c r="B140" s="112" t="s">
        <v>21</v>
      </c>
      <c r="C140" s="147">
        <f>C88*C120*C136</f>
        <v>145.98639999999997</v>
      </c>
      <c r="D140" s="113"/>
      <c r="E140" s="113"/>
      <c r="F140" s="113"/>
      <c r="G140" s="113"/>
      <c r="H140" s="113"/>
    </row>
    <row r="141" spans="2:8" x14ac:dyDescent="0.25">
      <c r="B141" s="113"/>
      <c r="C141" s="113"/>
      <c r="D141" s="113"/>
      <c r="E141" s="113"/>
      <c r="F141" s="113"/>
      <c r="G141" s="113"/>
      <c r="H141" s="113"/>
    </row>
    <row r="142" spans="2:8" ht="15.75" thickBot="1" x14ac:dyDescent="0.3">
      <c r="B142" s="113"/>
      <c r="C142" s="113"/>
      <c r="D142" s="113"/>
      <c r="E142" s="113"/>
      <c r="F142" s="113"/>
      <c r="G142" s="113"/>
      <c r="H142" s="113"/>
    </row>
    <row r="143" spans="2:8" ht="18.75" x14ac:dyDescent="0.3">
      <c r="B143" s="386" t="s">
        <v>234</v>
      </c>
      <c r="C143" s="386"/>
      <c r="D143" s="386"/>
      <c r="E143" s="386"/>
      <c r="F143" s="386"/>
      <c r="G143" s="386"/>
      <c r="H143" s="386"/>
    </row>
    <row r="144" spans="2:8" ht="18.75" x14ac:dyDescent="0.25">
      <c r="B144" s="143" t="s">
        <v>79</v>
      </c>
      <c r="D144" s="141"/>
      <c r="E144" s="114" t="s">
        <v>245</v>
      </c>
      <c r="F144" s="141"/>
      <c r="H144" s="113"/>
    </row>
    <row r="145" spans="2:8" ht="14.25" customHeight="1" x14ac:dyDescent="0.35">
      <c r="B145" s="115"/>
      <c r="C145" s="140" t="s">
        <v>81</v>
      </c>
      <c r="D145" s="140"/>
      <c r="E145" s="140"/>
      <c r="F145" s="140"/>
      <c r="G145" s="113"/>
      <c r="H145" s="113"/>
    </row>
    <row r="146" spans="2:8" ht="16.5" customHeight="1" x14ac:dyDescent="0.35">
      <c r="B146" s="115"/>
      <c r="C146" s="140" t="s">
        <v>82</v>
      </c>
      <c r="D146" s="141"/>
      <c r="E146" s="141"/>
      <c r="F146" s="141"/>
      <c r="G146" s="113"/>
      <c r="H146" s="113"/>
    </row>
    <row r="147" spans="2:8" ht="16.5" customHeight="1" x14ac:dyDescent="0.35">
      <c r="B147" s="115"/>
      <c r="C147" s="141" t="s">
        <v>80</v>
      </c>
      <c r="D147" s="117"/>
      <c r="E147" s="117"/>
      <c r="F147" s="117"/>
      <c r="G147" s="113"/>
      <c r="H147" s="113"/>
    </row>
    <row r="148" spans="2:8" ht="15.75" thickBot="1" x14ac:dyDescent="0.3">
      <c r="B148" s="113"/>
      <c r="C148" s="113"/>
      <c r="D148" s="113"/>
      <c r="E148" s="113"/>
      <c r="F148" s="113"/>
      <c r="G148" s="113"/>
      <c r="H148" s="113"/>
    </row>
    <row r="149" spans="2:8" ht="19.5" thickBot="1" x14ac:dyDescent="0.3">
      <c r="B149" s="112" t="s">
        <v>83</v>
      </c>
      <c r="C149" s="38">
        <f>C140*20</f>
        <v>2919.7279999999996</v>
      </c>
      <c r="D149" s="135"/>
      <c r="E149" s="113"/>
      <c r="F149" s="113"/>
      <c r="G149" s="113"/>
      <c r="H149" s="113"/>
    </row>
    <row r="150" spans="2:8" x14ac:dyDescent="0.25">
      <c r="B150" s="113"/>
      <c r="C150" s="113"/>
      <c r="D150" s="113"/>
      <c r="E150" s="113"/>
      <c r="F150" s="113"/>
      <c r="G150" s="113"/>
      <c r="H150" s="113"/>
    </row>
    <row r="151" spans="2:8" ht="15.75" thickBot="1" x14ac:dyDescent="0.3">
      <c r="B151" s="113"/>
      <c r="C151" s="113"/>
      <c r="D151" s="113"/>
      <c r="E151" s="113"/>
      <c r="F151" s="113"/>
      <c r="G151" s="113"/>
      <c r="H151" s="113"/>
    </row>
    <row r="152" spans="2:8" ht="18.75" x14ac:dyDescent="0.3">
      <c r="B152" s="386" t="s">
        <v>250</v>
      </c>
      <c r="C152" s="386"/>
      <c r="D152" s="386"/>
      <c r="E152" s="386"/>
      <c r="F152" s="386"/>
      <c r="G152" s="386"/>
      <c r="H152" s="386"/>
    </row>
    <row r="153" spans="2:8" ht="24" x14ac:dyDescent="0.25">
      <c r="B153" s="149" t="s">
        <v>247</v>
      </c>
      <c r="C153" s="113"/>
      <c r="D153" s="113"/>
      <c r="E153" s="114" t="s">
        <v>246</v>
      </c>
      <c r="G153" s="113"/>
      <c r="H153" s="113"/>
    </row>
    <row r="154" spans="2:8" ht="18.75" x14ac:dyDescent="0.25">
      <c r="B154" s="112"/>
      <c r="C154" s="150" t="s">
        <v>248</v>
      </c>
      <c r="D154" s="136"/>
      <c r="E154" s="113"/>
      <c r="F154" s="114"/>
      <c r="G154" s="113"/>
      <c r="H154" s="113"/>
    </row>
    <row r="155" spans="2:8" ht="18.75" x14ac:dyDescent="0.25">
      <c r="B155" s="113"/>
      <c r="C155" s="151" t="s">
        <v>249</v>
      </c>
      <c r="D155" s="136"/>
      <c r="E155" s="113"/>
      <c r="F155" s="113"/>
      <c r="G155" s="113"/>
      <c r="H155" s="113"/>
    </row>
    <row r="156" spans="2:8" ht="17.25" customHeight="1" thickBot="1" x14ac:dyDescent="0.3">
      <c r="B156" s="113"/>
      <c r="C156" s="113"/>
      <c r="D156" s="113"/>
      <c r="E156" s="113"/>
      <c r="F156" s="113"/>
      <c r="G156" s="113"/>
      <c r="H156" s="113"/>
    </row>
    <row r="157" spans="2:8" ht="18" customHeight="1" thickBot="1" x14ac:dyDescent="0.3">
      <c r="B157" s="383" t="s">
        <v>84</v>
      </c>
      <c r="C157" s="384"/>
      <c r="D157" s="385"/>
      <c r="E157" s="113"/>
      <c r="F157" s="113"/>
      <c r="G157" s="113"/>
      <c r="H157" s="113"/>
    </row>
    <row r="158" spans="2:8" ht="15.75" thickBot="1" x14ac:dyDescent="0.3">
      <c r="B158" s="13" t="s">
        <v>85</v>
      </c>
      <c r="C158" s="1" t="s">
        <v>86</v>
      </c>
      <c r="D158" s="1" t="s">
        <v>88</v>
      </c>
      <c r="E158" s="113"/>
      <c r="F158" s="113"/>
      <c r="G158" s="113"/>
      <c r="H158" s="113"/>
    </row>
    <row r="159" spans="2:8" x14ac:dyDescent="0.25">
      <c r="B159" s="15" t="s">
        <v>427</v>
      </c>
      <c r="C159" s="45">
        <v>0.1</v>
      </c>
      <c r="D159" s="303">
        <f>C159*$C$149/$C$161</f>
        <v>729.93199999999979</v>
      </c>
      <c r="E159" s="113"/>
      <c r="F159" s="113"/>
      <c r="G159" s="113"/>
      <c r="H159" s="113"/>
    </row>
    <row r="160" spans="2:8" x14ac:dyDescent="0.25">
      <c r="B160" s="17" t="s">
        <v>428</v>
      </c>
      <c r="C160" s="46">
        <v>0.2</v>
      </c>
      <c r="D160" s="304">
        <f>C160*$C$149/$C$161</f>
        <v>1459.8639999999996</v>
      </c>
      <c r="E160" s="113"/>
      <c r="F160" s="113"/>
      <c r="G160" s="113"/>
      <c r="H160" s="113"/>
    </row>
    <row r="161" spans="2:8" ht="18.75" x14ac:dyDescent="0.25">
      <c r="B161" s="17" t="s">
        <v>429</v>
      </c>
      <c r="C161" s="139">
        <v>0.4</v>
      </c>
      <c r="D161" s="304">
        <f>C161*$C$149/$C$161</f>
        <v>2919.7279999999992</v>
      </c>
      <c r="E161" s="113"/>
      <c r="F161" s="113"/>
      <c r="G161" s="113"/>
      <c r="H161" s="113"/>
    </row>
    <row r="162" spans="2:8" x14ac:dyDescent="0.25">
      <c r="B162" s="17" t="s">
        <v>430</v>
      </c>
      <c r="C162" s="46">
        <v>0.15</v>
      </c>
      <c r="D162" s="304">
        <f>C162*$C$149/$C$161</f>
        <v>1094.8979999999999</v>
      </c>
      <c r="E162" s="113"/>
      <c r="F162" s="113"/>
      <c r="G162" s="113"/>
      <c r="H162" s="113"/>
    </row>
    <row r="163" spans="2:8" ht="15.75" thickBot="1" x14ac:dyDescent="0.3">
      <c r="B163" s="44" t="s">
        <v>431</v>
      </c>
      <c r="C163" s="47">
        <v>0.15</v>
      </c>
      <c r="D163" s="305">
        <f>C163*$C$149/$C$161</f>
        <v>1094.8979999999999</v>
      </c>
      <c r="E163" s="113"/>
      <c r="F163" s="113"/>
      <c r="G163" s="113"/>
      <c r="H163" s="113"/>
    </row>
    <row r="164" spans="2:8" ht="19.5" thickBot="1" x14ac:dyDescent="0.3">
      <c r="B164" s="43" t="s">
        <v>87</v>
      </c>
      <c r="C164" s="75">
        <f>SUM(C159:C163)</f>
        <v>1</v>
      </c>
      <c r="D164" s="306">
        <f>SUM(D159:D163)</f>
        <v>7299.3199999999988</v>
      </c>
      <c r="E164" s="113"/>
      <c r="F164" s="113"/>
      <c r="G164" s="113"/>
      <c r="H164" s="113"/>
    </row>
    <row r="165" spans="2:8" x14ac:dyDescent="0.25">
      <c r="B165" s="113"/>
      <c r="C165" s="113"/>
      <c r="D165" s="113"/>
      <c r="E165" s="113"/>
      <c r="F165" s="113"/>
      <c r="G165" s="113"/>
      <c r="H165" s="113"/>
    </row>
    <row r="166" spans="2:8" ht="20.25" x14ac:dyDescent="0.25">
      <c r="B166" s="112" t="s">
        <v>89</v>
      </c>
      <c r="C166" s="137">
        <v>2</v>
      </c>
      <c r="D166" s="113"/>
      <c r="E166" s="113"/>
      <c r="F166" s="113"/>
      <c r="G166" s="113"/>
      <c r="H166" s="113"/>
    </row>
    <row r="167" spans="2:8" ht="15.75" thickBot="1" x14ac:dyDescent="0.3">
      <c r="B167" s="113"/>
      <c r="C167" s="113"/>
      <c r="D167" s="113"/>
      <c r="E167" s="113"/>
      <c r="F167" s="113"/>
      <c r="G167" s="113"/>
      <c r="H167" s="113"/>
    </row>
    <row r="168" spans="2:8" ht="21" thickBot="1" x14ac:dyDescent="0.3">
      <c r="B168" s="112" t="s">
        <v>91</v>
      </c>
      <c r="C168" s="38">
        <f>D164/C166</f>
        <v>3649.6599999999994</v>
      </c>
      <c r="D168" s="12" t="s">
        <v>90</v>
      </c>
      <c r="E168" s="118"/>
      <c r="F168" s="113"/>
      <c r="G168" s="113"/>
      <c r="H168" s="113"/>
    </row>
    <row r="169" spans="2:8" ht="15.75" thickBot="1" x14ac:dyDescent="0.3">
      <c r="B169" s="113"/>
      <c r="C169" s="113"/>
      <c r="D169" s="113"/>
      <c r="E169" s="200" t="s">
        <v>316</v>
      </c>
      <c r="F169" s="201" t="s">
        <v>317</v>
      </c>
      <c r="G169" s="202" t="s">
        <v>318</v>
      </c>
      <c r="H169" s="113"/>
    </row>
    <row r="170" spans="2:8" x14ac:dyDescent="0.25">
      <c r="B170" s="113"/>
      <c r="C170" s="113"/>
      <c r="D170" s="113"/>
      <c r="E170" s="195">
        <v>1</v>
      </c>
      <c r="F170" s="118">
        <v>1</v>
      </c>
      <c r="G170" s="196">
        <v>1</v>
      </c>
      <c r="H170" s="113"/>
    </row>
    <row r="171" spans="2:8" ht="15" customHeight="1" thickBot="1" x14ac:dyDescent="0.3">
      <c r="B171" s="113"/>
      <c r="C171" s="113"/>
      <c r="D171" s="113"/>
      <c r="E171" s="197">
        <v>8</v>
      </c>
      <c r="F171" s="198">
        <v>6</v>
      </c>
      <c r="G171" s="199">
        <v>4</v>
      </c>
      <c r="H171" s="113"/>
    </row>
    <row r="172" spans="2:8" ht="19.5" customHeight="1" thickBot="1" x14ac:dyDescent="0.3">
      <c r="B172" s="112" t="s">
        <v>91</v>
      </c>
      <c r="C172" s="138">
        <f>C168*(1/E171)*(1/F171)*(1/G171)</f>
        <v>19.008645833333329</v>
      </c>
      <c r="D172" s="120" t="s">
        <v>92</v>
      </c>
      <c r="E172" s="113"/>
      <c r="F172" s="113"/>
      <c r="G172" s="113"/>
      <c r="H172" s="113"/>
    </row>
    <row r="173" spans="2:8" x14ac:dyDescent="0.25">
      <c r="B173" s="113"/>
      <c r="C173" s="113"/>
      <c r="D173" s="113"/>
      <c r="E173" s="113"/>
      <c r="F173" s="113"/>
      <c r="G173" s="113"/>
      <c r="H173" s="113"/>
    </row>
  </sheetData>
  <sortState xmlns:xlrd2="http://schemas.microsoft.com/office/spreadsheetml/2017/richdata2" ref="B36:B77">
    <sortCondition ref="B35:B77"/>
  </sortState>
  <mergeCells count="17">
    <mergeCell ref="B99:D99"/>
    <mergeCell ref="B90:H90"/>
    <mergeCell ref="C4:D4"/>
    <mergeCell ref="B1:H1"/>
    <mergeCell ref="B2:H2"/>
    <mergeCell ref="B10:D10"/>
    <mergeCell ref="B27:D27"/>
    <mergeCell ref="B25:D25"/>
    <mergeCell ref="B33:D33"/>
    <mergeCell ref="B8:D8"/>
    <mergeCell ref="B157:D157"/>
    <mergeCell ref="B143:H143"/>
    <mergeCell ref="B152:H152"/>
    <mergeCell ref="B103:F103"/>
    <mergeCell ref="B100:F100"/>
    <mergeCell ref="B125:F125"/>
    <mergeCell ref="B122:F122"/>
  </mergeCells>
  <phoneticPr fontId="2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9488-AFAA-46F8-8A69-8219B6D584E1}">
  <dimension ref="B1:P315"/>
  <sheetViews>
    <sheetView showGridLines="0" tabSelected="1" topLeftCell="A137" zoomScaleNormal="100" workbookViewId="0">
      <selection activeCell="H152" sqref="H152"/>
    </sheetView>
  </sheetViews>
  <sheetFormatPr baseColWidth="10" defaultRowHeight="15" x14ac:dyDescent="0.25"/>
  <cols>
    <col min="2" max="2" width="49.42578125" bestFit="1" customWidth="1"/>
    <col min="3" max="3" width="27" customWidth="1"/>
    <col min="4" max="4" width="25" customWidth="1"/>
    <col min="5" max="5" width="23.140625" bestFit="1" customWidth="1"/>
    <col min="6" max="6" width="17.5703125" bestFit="1" customWidth="1"/>
    <col min="7" max="7" width="19.140625" customWidth="1"/>
    <col min="8" max="8" width="15.85546875" customWidth="1"/>
    <col min="9" max="9" width="11.42578125" customWidth="1"/>
    <col min="10" max="10" width="29.85546875" customWidth="1"/>
    <col min="11" max="11" width="13.5703125" customWidth="1"/>
    <col min="12" max="12" width="13.42578125" customWidth="1"/>
    <col min="13" max="13" width="13.5703125" customWidth="1"/>
    <col min="16" max="16" width="26.5703125" customWidth="1"/>
  </cols>
  <sheetData>
    <row r="1" spans="2:8" ht="24" thickBot="1" x14ac:dyDescent="0.4">
      <c r="B1" s="395" t="s">
        <v>93</v>
      </c>
      <c r="C1" s="395"/>
      <c r="D1" s="395"/>
      <c r="E1" s="395"/>
      <c r="F1" s="395"/>
      <c r="G1" s="395"/>
      <c r="H1" s="395"/>
    </row>
    <row r="2" spans="2:8" ht="15.75" x14ac:dyDescent="0.25">
      <c r="B2" s="428" t="s">
        <v>251</v>
      </c>
      <c r="C2" s="428"/>
      <c r="D2" s="428"/>
      <c r="E2" s="428"/>
      <c r="F2" s="428"/>
      <c r="G2" s="428"/>
      <c r="H2" s="428"/>
    </row>
    <row r="3" spans="2:8" ht="21" x14ac:dyDescent="0.25">
      <c r="B3" s="158" t="s">
        <v>100</v>
      </c>
      <c r="C3" s="159"/>
      <c r="D3" s="159"/>
      <c r="E3" s="113"/>
      <c r="F3" s="160" t="s">
        <v>259</v>
      </c>
      <c r="G3" s="159"/>
      <c r="H3" s="159"/>
    </row>
    <row r="4" spans="2:8" ht="15.75" x14ac:dyDescent="0.25">
      <c r="B4" s="159"/>
      <c r="C4" s="113" t="s">
        <v>257</v>
      </c>
      <c r="D4" s="159"/>
      <c r="F4" s="159"/>
      <c r="G4" s="159"/>
      <c r="H4" s="159"/>
    </row>
    <row r="5" spans="2:8" ht="15.75" x14ac:dyDescent="0.25">
      <c r="B5" s="159"/>
      <c r="C5" s="113" t="s">
        <v>256</v>
      </c>
      <c r="D5" s="159"/>
      <c r="E5" s="159"/>
      <c r="F5" s="159"/>
      <c r="G5" s="159"/>
      <c r="H5" s="159"/>
    </row>
    <row r="6" spans="2:8" ht="15.75" x14ac:dyDescent="0.25">
      <c r="B6" s="159"/>
      <c r="C6" s="113" t="s">
        <v>258</v>
      </c>
      <c r="D6" s="159"/>
      <c r="E6" s="159"/>
      <c r="F6" s="159"/>
      <c r="G6" s="159"/>
      <c r="H6" s="159"/>
    </row>
    <row r="7" spans="2:8" ht="18" customHeight="1" x14ac:dyDescent="0.25">
      <c r="B7" s="113"/>
      <c r="C7" s="113"/>
      <c r="D7" s="113"/>
      <c r="E7" s="113"/>
      <c r="F7" s="113"/>
      <c r="G7" s="113"/>
      <c r="H7" s="113"/>
    </row>
    <row r="8" spans="2:8" ht="16.5" customHeight="1" thickBot="1" x14ac:dyDescent="0.3">
      <c r="B8" s="405" t="s">
        <v>252</v>
      </c>
      <c r="C8" s="405"/>
      <c r="D8" s="405"/>
      <c r="E8" s="405"/>
      <c r="F8" s="405"/>
      <c r="G8" s="405"/>
      <c r="H8" s="405"/>
    </row>
    <row r="9" spans="2:8" ht="17.25" customHeight="1" thickBot="1" x14ac:dyDescent="0.3">
      <c r="B9" s="402" t="s">
        <v>94</v>
      </c>
      <c r="C9" s="403"/>
      <c r="D9" s="403"/>
      <c r="E9" s="403"/>
      <c r="F9" s="403"/>
      <c r="G9" s="404"/>
      <c r="H9" s="113"/>
    </row>
    <row r="10" spans="2:8" ht="15.75" thickBot="1" x14ac:dyDescent="0.3">
      <c r="B10" s="48" t="s">
        <v>106</v>
      </c>
      <c r="C10" s="49" t="s">
        <v>373</v>
      </c>
      <c r="D10" s="49" t="s">
        <v>377</v>
      </c>
      <c r="E10" s="49" t="s">
        <v>95</v>
      </c>
      <c r="F10" s="49" t="s">
        <v>304</v>
      </c>
      <c r="G10" s="50" t="s">
        <v>96</v>
      </c>
      <c r="H10" s="113"/>
    </row>
    <row r="11" spans="2:8" x14ac:dyDescent="0.25">
      <c r="B11" s="25" t="s">
        <v>374</v>
      </c>
      <c r="C11" s="296" t="s">
        <v>378</v>
      </c>
      <c r="D11" s="297" t="s">
        <v>382</v>
      </c>
      <c r="E11" s="273">
        <v>1</v>
      </c>
      <c r="F11" s="345">
        <v>3500</v>
      </c>
      <c r="G11" s="342">
        <f>F11*E11</f>
        <v>3500</v>
      </c>
      <c r="H11" s="113"/>
    </row>
    <row r="12" spans="2:8" x14ac:dyDescent="0.25">
      <c r="B12" s="27" t="s">
        <v>374</v>
      </c>
      <c r="C12" s="298" t="s">
        <v>379</v>
      </c>
      <c r="D12" s="299" t="s">
        <v>382</v>
      </c>
      <c r="E12" s="271">
        <v>1</v>
      </c>
      <c r="F12" s="346">
        <v>5000</v>
      </c>
      <c r="G12" s="343">
        <f>F12*E12</f>
        <v>5000</v>
      </c>
      <c r="H12" s="113"/>
    </row>
    <row r="13" spans="2:8" x14ac:dyDescent="0.25">
      <c r="B13" s="27" t="s">
        <v>375</v>
      </c>
      <c r="C13" s="298" t="s">
        <v>380</v>
      </c>
      <c r="D13" s="299" t="s">
        <v>383</v>
      </c>
      <c r="E13" s="271">
        <v>1</v>
      </c>
      <c r="F13" s="346">
        <v>0</v>
      </c>
      <c r="G13" s="343">
        <f>F13*E13</f>
        <v>0</v>
      </c>
      <c r="H13" s="113"/>
    </row>
    <row r="14" spans="2:8" ht="15.75" thickBot="1" x14ac:dyDescent="0.3">
      <c r="B14" s="28" t="s">
        <v>376</v>
      </c>
      <c r="C14" s="67" t="s">
        <v>381</v>
      </c>
      <c r="D14" s="80" t="s">
        <v>383</v>
      </c>
      <c r="E14" s="29">
        <v>1</v>
      </c>
      <c r="F14" s="347">
        <v>0</v>
      </c>
      <c r="G14" s="344">
        <f>F14*E14</f>
        <v>0</v>
      </c>
      <c r="H14" s="113"/>
    </row>
    <row r="15" spans="2:8" ht="16.5" thickBot="1" x14ac:dyDescent="0.3">
      <c r="B15" s="73" t="s">
        <v>97</v>
      </c>
      <c r="E15" s="113"/>
      <c r="F15" s="113"/>
      <c r="G15" s="157">
        <f>SUM(G11:G14)</f>
        <v>8500</v>
      </c>
      <c r="H15" s="113"/>
    </row>
    <row r="16" spans="2:8" x14ac:dyDescent="0.25">
      <c r="B16" s="113"/>
      <c r="C16" s="113"/>
      <c r="D16" s="113"/>
      <c r="E16" s="113"/>
      <c r="F16" s="113"/>
      <c r="G16" s="113"/>
      <c r="H16" s="113"/>
    </row>
    <row r="17" spans="2:8" x14ac:dyDescent="0.25">
      <c r="B17" s="113"/>
      <c r="C17" s="113"/>
      <c r="D17" s="113"/>
      <c r="E17" s="113"/>
      <c r="F17" s="113"/>
      <c r="G17" s="113"/>
      <c r="H17" s="113"/>
    </row>
    <row r="18" spans="2:8" ht="15.75" thickBot="1" x14ac:dyDescent="0.3">
      <c r="B18" s="405" t="s">
        <v>253</v>
      </c>
      <c r="C18" s="405"/>
      <c r="D18" s="405"/>
      <c r="E18" s="405"/>
      <c r="F18" s="405"/>
      <c r="G18" s="405"/>
      <c r="H18" s="405"/>
    </row>
    <row r="19" spans="2:8" ht="16.5" thickBot="1" x14ac:dyDescent="0.3">
      <c r="B19" s="402" t="s">
        <v>98</v>
      </c>
      <c r="C19" s="403"/>
      <c r="D19" s="403"/>
      <c r="E19" s="403"/>
      <c r="F19" s="404"/>
      <c r="G19" s="113"/>
      <c r="H19" s="113"/>
    </row>
    <row r="20" spans="2:8" ht="15.75" thickBot="1" x14ac:dyDescent="0.3">
      <c r="B20" s="48" t="s">
        <v>107</v>
      </c>
      <c r="C20" s="49" t="s">
        <v>377</v>
      </c>
      <c r="D20" s="49" t="s">
        <v>95</v>
      </c>
      <c r="E20" s="49" t="s">
        <v>304</v>
      </c>
      <c r="F20" s="50" t="s">
        <v>96</v>
      </c>
      <c r="G20" s="113"/>
      <c r="H20" s="113"/>
    </row>
    <row r="21" spans="2:8" x14ac:dyDescent="0.25">
      <c r="B21" s="58" t="s">
        <v>463</v>
      </c>
      <c r="C21" s="57" t="s">
        <v>383</v>
      </c>
      <c r="D21" s="26">
        <v>1</v>
      </c>
      <c r="E21" s="352">
        <v>0</v>
      </c>
      <c r="F21" s="348">
        <f t="shared" ref="F21:F27" si="0">E21*D21</f>
        <v>0</v>
      </c>
      <c r="G21" s="113"/>
      <c r="H21" s="113"/>
    </row>
    <row r="22" spans="2:8" x14ac:dyDescent="0.25">
      <c r="B22" s="59" t="s">
        <v>464</v>
      </c>
      <c r="C22" s="79" t="s">
        <v>383</v>
      </c>
      <c r="D22" s="11">
        <v>1</v>
      </c>
      <c r="E22" s="353">
        <v>0</v>
      </c>
      <c r="F22" s="349">
        <f t="shared" si="0"/>
        <v>0</v>
      </c>
      <c r="G22" s="113"/>
      <c r="H22" s="113"/>
    </row>
    <row r="23" spans="2:8" x14ac:dyDescent="0.25">
      <c r="B23" s="59" t="s">
        <v>462</v>
      </c>
      <c r="C23" s="79" t="s">
        <v>383</v>
      </c>
      <c r="D23" s="11">
        <v>1</v>
      </c>
      <c r="E23" s="353">
        <v>0</v>
      </c>
      <c r="F23" s="349">
        <f t="shared" si="0"/>
        <v>0</v>
      </c>
      <c r="G23" s="113"/>
      <c r="H23" s="113"/>
    </row>
    <row r="24" spans="2:8" x14ac:dyDescent="0.25">
      <c r="B24" s="59" t="s">
        <v>384</v>
      </c>
      <c r="C24" s="79" t="s">
        <v>383</v>
      </c>
      <c r="D24" s="11">
        <v>1</v>
      </c>
      <c r="E24" s="353">
        <v>0</v>
      </c>
      <c r="F24" s="349">
        <f t="shared" si="0"/>
        <v>0</v>
      </c>
      <c r="G24" s="113"/>
      <c r="H24" s="113"/>
    </row>
    <row r="25" spans="2:8" x14ac:dyDescent="0.25">
      <c r="B25" s="59" t="s">
        <v>385</v>
      </c>
      <c r="C25" s="79" t="s">
        <v>383</v>
      </c>
      <c r="D25" s="11">
        <v>1</v>
      </c>
      <c r="E25" s="353">
        <v>0</v>
      </c>
      <c r="F25" s="349">
        <f t="shared" si="0"/>
        <v>0</v>
      </c>
      <c r="G25" s="113"/>
      <c r="H25" s="113"/>
    </row>
    <row r="26" spans="2:8" x14ac:dyDescent="0.25">
      <c r="B26" s="300" t="s">
        <v>414</v>
      </c>
      <c r="C26" s="299" t="s">
        <v>382</v>
      </c>
      <c r="D26" s="271">
        <v>1</v>
      </c>
      <c r="E26" s="353">
        <v>104</v>
      </c>
      <c r="F26" s="350">
        <f t="shared" si="0"/>
        <v>104</v>
      </c>
      <c r="G26" s="113"/>
      <c r="H26" s="113"/>
    </row>
    <row r="27" spans="2:8" ht="15.75" thickBot="1" x14ac:dyDescent="0.3">
      <c r="B27" s="60" t="s">
        <v>386</v>
      </c>
      <c r="C27" s="80" t="s">
        <v>383</v>
      </c>
      <c r="D27" s="29">
        <v>1</v>
      </c>
      <c r="E27" s="347">
        <v>0</v>
      </c>
      <c r="F27" s="351">
        <f t="shared" si="0"/>
        <v>0</v>
      </c>
      <c r="G27" s="113"/>
      <c r="H27" s="113"/>
    </row>
    <row r="28" spans="2:8" ht="16.5" thickBot="1" x14ac:dyDescent="0.3">
      <c r="B28" s="73" t="s">
        <v>97</v>
      </c>
      <c r="D28" s="113"/>
      <c r="E28" s="113"/>
      <c r="F28" s="157">
        <f>SUM(F21:F27)</f>
        <v>104</v>
      </c>
      <c r="G28" s="113"/>
      <c r="H28" s="113"/>
    </row>
    <row r="29" spans="2:8" ht="15.75" x14ac:dyDescent="0.25">
      <c r="B29" s="118"/>
      <c r="C29" s="113"/>
      <c r="D29" s="113"/>
      <c r="E29" s="153"/>
      <c r="F29" s="152"/>
      <c r="G29" s="113"/>
      <c r="H29" s="113"/>
    </row>
    <row r="30" spans="2:8" x14ac:dyDescent="0.25">
      <c r="B30" s="113"/>
      <c r="C30" s="113"/>
      <c r="D30" s="113"/>
      <c r="E30" s="113"/>
      <c r="F30" s="113"/>
      <c r="G30" s="113"/>
      <c r="H30" s="113"/>
    </row>
    <row r="31" spans="2:8" ht="15.75" thickBot="1" x14ac:dyDescent="0.3">
      <c r="B31" s="405" t="s">
        <v>254</v>
      </c>
      <c r="C31" s="405"/>
      <c r="D31" s="405"/>
      <c r="E31" s="405"/>
      <c r="F31" s="405"/>
      <c r="G31" s="405"/>
      <c r="H31" s="405"/>
    </row>
    <row r="32" spans="2:8" ht="16.5" thickBot="1" x14ac:dyDescent="0.3">
      <c r="B32" s="402" t="s">
        <v>99</v>
      </c>
      <c r="C32" s="403"/>
      <c r="D32" s="403"/>
      <c r="E32" s="404"/>
      <c r="F32" s="113"/>
      <c r="G32" s="113"/>
      <c r="H32" s="113"/>
    </row>
    <row r="33" spans="2:8" ht="15.75" thickBot="1" x14ac:dyDescent="0.3">
      <c r="B33" s="70" t="s">
        <v>108</v>
      </c>
      <c r="C33" s="71" t="s">
        <v>95</v>
      </c>
      <c r="D33" s="71" t="s">
        <v>304</v>
      </c>
      <c r="E33" s="72" t="s">
        <v>96</v>
      </c>
      <c r="G33" s="113"/>
      <c r="H33" s="113"/>
    </row>
    <row r="34" spans="2:8" ht="15.75" thickBot="1" x14ac:dyDescent="0.3">
      <c r="B34" s="62" t="s">
        <v>387</v>
      </c>
      <c r="C34" s="63">
        <v>2</v>
      </c>
      <c r="D34" s="355">
        <v>0</v>
      </c>
      <c r="E34" s="354">
        <f>C34*D34</f>
        <v>0</v>
      </c>
      <c r="G34" s="113"/>
      <c r="H34" s="113"/>
    </row>
    <row r="35" spans="2:8" ht="16.5" thickBot="1" x14ac:dyDescent="0.3">
      <c r="B35" s="73" t="s">
        <v>97</v>
      </c>
      <c r="C35" s="118"/>
      <c r="D35" s="118"/>
      <c r="E35" s="157">
        <f>SUM(E34)</f>
        <v>0</v>
      </c>
      <c r="F35" s="113"/>
      <c r="G35" s="113"/>
      <c r="H35" s="113"/>
    </row>
    <row r="36" spans="2:8" x14ac:dyDescent="0.25">
      <c r="B36" s="113"/>
      <c r="C36" s="113"/>
      <c r="D36" s="113"/>
      <c r="E36" s="113"/>
      <c r="F36" s="113"/>
      <c r="G36" s="113"/>
      <c r="H36" s="113"/>
    </row>
    <row r="37" spans="2:8" x14ac:dyDescent="0.25">
      <c r="B37" s="113"/>
      <c r="C37" s="113"/>
      <c r="D37" s="113"/>
      <c r="E37" s="113"/>
      <c r="F37" s="113"/>
      <c r="G37" s="113"/>
      <c r="H37" s="113"/>
    </row>
    <row r="38" spans="2:8" ht="21.75" thickBot="1" x14ac:dyDescent="0.3">
      <c r="B38" s="158" t="s">
        <v>100</v>
      </c>
      <c r="C38" s="113"/>
      <c r="D38" s="113"/>
      <c r="E38" s="113"/>
      <c r="F38" s="113"/>
      <c r="G38" s="113"/>
      <c r="H38" s="113"/>
    </row>
    <row r="39" spans="2:8" ht="21.75" thickBot="1" x14ac:dyDescent="0.35">
      <c r="B39" s="158" t="s">
        <v>101</v>
      </c>
      <c r="C39" s="74">
        <f>G15+E35+F28</f>
        <v>8604</v>
      </c>
      <c r="D39" s="113"/>
      <c r="E39" s="113"/>
      <c r="F39" s="113"/>
      <c r="G39" s="113"/>
      <c r="H39" s="113"/>
    </row>
    <row r="40" spans="2:8" ht="15.75" thickBot="1" x14ac:dyDescent="0.3">
      <c r="B40" s="113"/>
      <c r="C40" s="113"/>
      <c r="D40" s="113"/>
      <c r="E40" s="113"/>
      <c r="F40" s="113"/>
      <c r="G40" s="113"/>
      <c r="H40" s="113"/>
    </row>
    <row r="41" spans="2:8" ht="16.5" thickBot="1" x14ac:dyDescent="0.3">
      <c r="B41" s="429" t="s">
        <v>102</v>
      </c>
      <c r="C41" s="430"/>
      <c r="D41" s="431"/>
      <c r="E41" s="113"/>
      <c r="F41" s="113"/>
      <c r="G41" s="113"/>
      <c r="H41" s="113"/>
    </row>
    <row r="42" spans="2:8" ht="15.75" thickBot="1" x14ac:dyDescent="0.3">
      <c r="B42" s="70" t="s">
        <v>103</v>
      </c>
      <c r="C42" s="71" t="s">
        <v>389</v>
      </c>
      <c r="D42" s="72" t="s">
        <v>96</v>
      </c>
      <c r="E42" s="113"/>
      <c r="F42" s="113"/>
      <c r="G42" s="113"/>
      <c r="H42" s="113"/>
    </row>
    <row r="43" spans="2:8" x14ac:dyDescent="0.25">
      <c r="B43" s="68">
        <v>1</v>
      </c>
      <c r="C43" s="69" t="s">
        <v>106</v>
      </c>
      <c r="D43" s="356">
        <f>G15</f>
        <v>8500</v>
      </c>
      <c r="E43" s="113"/>
      <c r="F43" s="113"/>
      <c r="G43" s="113"/>
      <c r="H43" s="113"/>
    </row>
    <row r="44" spans="2:8" x14ac:dyDescent="0.25">
      <c r="B44" s="53">
        <v>2</v>
      </c>
      <c r="C44" s="65" t="s">
        <v>107</v>
      </c>
      <c r="D44" s="349">
        <f>F28</f>
        <v>104</v>
      </c>
      <c r="E44" s="113"/>
      <c r="F44" s="113"/>
      <c r="G44" s="113"/>
      <c r="H44" s="113"/>
    </row>
    <row r="45" spans="2:8" ht="15.75" thickBot="1" x14ac:dyDescent="0.3">
      <c r="B45" s="52">
        <v>3</v>
      </c>
      <c r="C45" s="67" t="s">
        <v>108</v>
      </c>
      <c r="D45" s="351">
        <f>E35</f>
        <v>0</v>
      </c>
      <c r="E45" s="113"/>
      <c r="F45" s="113"/>
      <c r="G45" s="113"/>
      <c r="H45" s="113"/>
    </row>
    <row r="46" spans="2:8" ht="19.5" thickBot="1" x14ac:dyDescent="0.35">
      <c r="B46" s="73" t="s">
        <v>97</v>
      </c>
      <c r="D46" s="74">
        <f>SUM(D43:D45)</f>
        <v>8604</v>
      </c>
      <c r="E46" s="113"/>
      <c r="F46" s="113"/>
      <c r="G46" s="113"/>
      <c r="H46" s="113"/>
    </row>
    <row r="47" spans="2:8" x14ac:dyDescent="0.25">
      <c r="B47" s="113"/>
      <c r="C47" s="113"/>
      <c r="D47" s="113"/>
      <c r="E47" s="113"/>
      <c r="F47" s="113"/>
      <c r="G47" s="113"/>
      <c r="H47" s="113"/>
    </row>
    <row r="48" spans="2:8" ht="15.75" thickBot="1" x14ac:dyDescent="0.3">
      <c r="B48" s="113"/>
      <c r="C48" s="113"/>
      <c r="D48" s="113"/>
      <c r="E48" s="113"/>
      <c r="F48" s="113"/>
      <c r="G48" s="113"/>
      <c r="H48" s="113"/>
    </row>
    <row r="49" spans="2:8" x14ac:dyDescent="0.25">
      <c r="B49" s="409" t="s">
        <v>255</v>
      </c>
      <c r="C49" s="409"/>
      <c r="D49" s="409"/>
      <c r="E49" s="409"/>
      <c r="F49" s="409"/>
      <c r="G49" s="409"/>
      <c r="H49" s="409"/>
    </row>
    <row r="50" spans="2:8" ht="21" x14ac:dyDescent="0.25">
      <c r="B50" s="158" t="s">
        <v>109</v>
      </c>
      <c r="C50" s="113"/>
      <c r="D50" s="113"/>
      <c r="E50" s="113"/>
      <c r="F50" s="160" t="s">
        <v>260</v>
      </c>
      <c r="G50" s="113"/>
      <c r="H50" s="113"/>
    </row>
    <row r="51" spans="2:8" x14ac:dyDescent="0.25">
      <c r="B51" s="113"/>
      <c r="C51" s="113" t="s">
        <v>110</v>
      </c>
      <c r="D51" s="113"/>
      <c r="E51" s="113"/>
      <c r="F51" s="113"/>
      <c r="G51" s="113"/>
      <c r="H51" s="113"/>
    </row>
    <row r="52" spans="2:8" x14ac:dyDescent="0.25">
      <c r="B52" s="113"/>
      <c r="C52" s="113" t="s">
        <v>111</v>
      </c>
      <c r="D52" s="113"/>
      <c r="E52" s="113"/>
      <c r="F52" s="170" t="s">
        <v>284</v>
      </c>
      <c r="G52" s="155">
        <v>930</v>
      </c>
      <c r="H52" s="113"/>
    </row>
    <row r="53" spans="2:8" x14ac:dyDescent="0.25">
      <c r="B53" s="113"/>
      <c r="C53" s="113" t="s">
        <v>112</v>
      </c>
      <c r="D53" s="113"/>
      <c r="E53" s="113"/>
      <c r="F53" s="194" t="s">
        <v>115</v>
      </c>
      <c r="G53" s="309">
        <f>ROUNDUP('Tiempo de desarrollo'!C172,2)</f>
        <v>19.010000000000002</v>
      </c>
      <c r="H53" s="113"/>
    </row>
    <row r="54" spans="2:8" x14ac:dyDescent="0.25">
      <c r="B54" s="113"/>
      <c r="C54" s="113" t="s">
        <v>113</v>
      </c>
      <c r="D54" s="113"/>
      <c r="E54" s="113"/>
      <c r="F54" s="113"/>
      <c r="G54" s="113"/>
      <c r="H54" s="113"/>
    </row>
    <row r="55" spans="2:8" x14ac:dyDescent="0.25">
      <c r="B55" s="113"/>
      <c r="C55" s="113"/>
      <c r="D55" s="113"/>
      <c r="E55" s="113"/>
      <c r="F55" s="113"/>
      <c r="G55" s="113"/>
      <c r="H55" s="113"/>
    </row>
    <row r="56" spans="2:8" ht="15.75" thickBot="1" x14ac:dyDescent="0.3">
      <c r="B56" s="405" t="s">
        <v>261</v>
      </c>
      <c r="C56" s="405"/>
      <c r="D56" s="405"/>
      <c r="E56" s="405"/>
      <c r="F56" s="405"/>
      <c r="G56" s="405"/>
      <c r="H56" s="405"/>
    </row>
    <row r="57" spans="2:8" ht="16.5" thickBot="1" x14ac:dyDescent="0.3">
      <c r="B57" s="402" t="s">
        <v>114</v>
      </c>
      <c r="C57" s="403"/>
      <c r="D57" s="403"/>
      <c r="E57" s="403"/>
      <c r="F57" s="404"/>
      <c r="G57" s="113"/>
      <c r="H57" s="113"/>
    </row>
    <row r="58" spans="2:8" ht="16.5" thickBot="1" x14ac:dyDescent="0.3">
      <c r="B58" s="234" t="s">
        <v>388</v>
      </c>
      <c r="C58" s="235" t="s">
        <v>449</v>
      </c>
      <c r="D58" s="235" t="s">
        <v>95</v>
      </c>
      <c r="E58" s="235" t="s">
        <v>115</v>
      </c>
      <c r="F58" s="236" t="s">
        <v>96</v>
      </c>
      <c r="G58" s="113"/>
      <c r="H58" s="113"/>
    </row>
    <row r="59" spans="2:8" x14ac:dyDescent="0.25">
      <c r="B59" s="25" t="s">
        <v>390</v>
      </c>
      <c r="C59" s="358">
        <f>G52</f>
        <v>930</v>
      </c>
      <c r="D59" s="57">
        <v>1</v>
      </c>
      <c r="E59" s="57">
        <f>G53</f>
        <v>19.010000000000002</v>
      </c>
      <c r="F59" s="342">
        <f>C59*D59*E59</f>
        <v>17679.300000000003</v>
      </c>
      <c r="G59" s="113"/>
      <c r="H59" s="113"/>
    </row>
    <row r="60" spans="2:8" ht="15.75" thickBot="1" x14ac:dyDescent="0.3">
      <c r="B60" s="77" t="s">
        <v>391</v>
      </c>
      <c r="C60" s="359">
        <f>G52</f>
        <v>930</v>
      </c>
      <c r="D60" s="81">
        <v>1</v>
      </c>
      <c r="E60" s="81">
        <f>G53</f>
        <v>19.010000000000002</v>
      </c>
      <c r="F60" s="357">
        <f>C60*D60*E60</f>
        <v>17679.300000000003</v>
      </c>
      <c r="G60" s="113"/>
      <c r="H60" s="113"/>
    </row>
    <row r="61" spans="2:8" ht="19.5" thickBot="1" x14ac:dyDescent="0.35">
      <c r="B61" s="61" t="s">
        <v>97</v>
      </c>
      <c r="C61" s="113"/>
      <c r="D61" s="113"/>
      <c r="E61" s="113"/>
      <c r="F61" s="74">
        <f>SUM(F59:F60)</f>
        <v>35358.600000000006</v>
      </c>
      <c r="G61" s="113"/>
      <c r="H61" s="113"/>
    </row>
    <row r="62" spans="2:8" x14ac:dyDescent="0.25">
      <c r="C62" s="113"/>
      <c r="D62" s="113"/>
      <c r="E62" s="113"/>
      <c r="G62" s="113"/>
      <c r="H62" s="113"/>
    </row>
    <row r="63" spans="2:8" ht="15.75" thickBot="1" x14ac:dyDescent="0.3">
      <c r="B63" s="405" t="s">
        <v>262</v>
      </c>
      <c r="C63" s="405"/>
      <c r="D63" s="405"/>
      <c r="E63" s="405"/>
      <c r="F63" s="405"/>
      <c r="G63" s="405"/>
      <c r="H63" s="405"/>
    </row>
    <row r="64" spans="2:8" ht="16.5" thickBot="1" x14ac:dyDescent="0.3">
      <c r="B64" s="402" t="s">
        <v>126</v>
      </c>
      <c r="C64" s="403"/>
      <c r="D64" s="403"/>
      <c r="E64" s="403"/>
      <c r="F64" s="404"/>
      <c r="G64" s="113"/>
      <c r="H64" s="113"/>
    </row>
    <row r="65" spans="2:16" ht="16.5" thickBot="1" x14ac:dyDescent="0.3">
      <c r="B65" s="239" t="s">
        <v>392</v>
      </c>
      <c r="C65" s="237" t="s">
        <v>95</v>
      </c>
      <c r="D65" s="237" t="s">
        <v>332</v>
      </c>
      <c r="E65" s="237" t="s">
        <v>304</v>
      </c>
      <c r="F65" s="238" t="s">
        <v>96</v>
      </c>
      <c r="H65" s="113"/>
    </row>
    <row r="66" spans="2:16" x14ac:dyDescent="0.25">
      <c r="B66" s="25" t="s">
        <v>393</v>
      </c>
      <c r="C66" s="57">
        <v>4</v>
      </c>
      <c r="D66" s="57" t="s">
        <v>333</v>
      </c>
      <c r="E66" s="324">
        <v>10</v>
      </c>
      <c r="F66" s="342">
        <f>E66*C66</f>
        <v>40</v>
      </c>
      <c r="H66" s="113"/>
    </row>
    <row r="67" spans="2:16" x14ac:dyDescent="0.25">
      <c r="B67" s="161" t="s">
        <v>394</v>
      </c>
      <c r="C67" s="79">
        <v>8</v>
      </c>
      <c r="D67" s="79" t="s">
        <v>334</v>
      </c>
      <c r="E67" s="325">
        <v>0.5</v>
      </c>
      <c r="F67" s="343">
        <f>E67*C67</f>
        <v>4</v>
      </c>
      <c r="H67" s="113"/>
    </row>
    <row r="68" spans="2:16" x14ac:dyDescent="0.25">
      <c r="B68" s="27"/>
      <c r="C68" s="79"/>
      <c r="D68" s="79"/>
      <c r="E68" s="325"/>
      <c r="F68" s="343"/>
      <c r="H68" s="113"/>
    </row>
    <row r="69" spans="2:16" x14ac:dyDescent="0.25">
      <c r="B69" s="259" t="s">
        <v>395</v>
      </c>
      <c r="C69" s="79">
        <v>4</v>
      </c>
      <c r="D69" s="79" t="s">
        <v>334</v>
      </c>
      <c r="E69" s="325">
        <v>13.5</v>
      </c>
      <c r="F69" s="343">
        <f>E69*C69</f>
        <v>54</v>
      </c>
      <c r="H69" s="113"/>
    </row>
    <row r="70" spans="2:16" ht="15.75" thickBot="1" x14ac:dyDescent="0.3">
      <c r="B70" s="28" t="s">
        <v>396</v>
      </c>
      <c r="C70" s="80">
        <v>8</v>
      </c>
      <c r="D70" s="80" t="s">
        <v>334</v>
      </c>
      <c r="E70" s="326">
        <v>0.7</v>
      </c>
      <c r="F70" s="344">
        <f>E70*C70</f>
        <v>5.6</v>
      </c>
      <c r="H70" s="113"/>
    </row>
    <row r="71" spans="2:16" ht="19.5" thickBot="1" x14ac:dyDescent="0.35">
      <c r="B71" s="61" t="s">
        <v>97</v>
      </c>
      <c r="C71" s="113"/>
      <c r="D71" s="113"/>
      <c r="F71" s="78">
        <f>SUM(F66:F70)</f>
        <v>103.6</v>
      </c>
      <c r="G71" s="113"/>
      <c r="H71" s="113"/>
      <c r="J71" s="433" t="s">
        <v>285</v>
      </c>
      <c r="K71" s="433"/>
      <c r="L71" s="433"/>
      <c r="M71" s="168">
        <f>'Tiempo de desarrollo'!F171*'Tiempo de desarrollo'!G171</f>
        <v>24</v>
      </c>
    </row>
    <row r="72" spans="2:16" x14ac:dyDescent="0.25">
      <c r="B72" s="113"/>
      <c r="C72" s="113"/>
      <c r="D72" s="113"/>
      <c r="E72" s="113"/>
      <c r="F72" s="113"/>
      <c r="G72" s="113"/>
      <c r="H72" s="113"/>
      <c r="J72" s="410" t="s">
        <v>445</v>
      </c>
      <c r="K72" s="410"/>
      <c r="L72" s="410"/>
      <c r="M72" s="132">
        <v>0.73519999999999996</v>
      </c>
    </row>
    <row r="73" spans="2:16" ht="15.75" thickBot="1" x14ac:dyDescent="0.3">
      <c r="B73" s="405" t="s">
        <v>263</v>
      </c>
      <c r="C73" s="405"/>
      <c r="D73" s="405"/>
      <c r="E73" s="405"/>
      <c r="F73" s="405"/>
      <c r="G73" s="405"/>
      <c r="H73" s="405"/>
    </row>
    <row r="74" spans="2:16" ht="16.5" thickBot="1" x14ac:dyDescent="0.3">
      <c r="B74" s="411" t="s">
        <v>125</v>
      </c>
      <c r="C74" s="412"/>
      <c r="D74" s="412"/>
      <c r="E74" s="412"/>
      <c r="F74" s="412"/>
      <c r="G74" s="413"/>
      <c r="H74" s="113"/>
      <c r="J74" s="265" t="s">
        <v>210</v>
      </c>
      <c r="K74" s="368">
        <v>0.4</v>
      </c>
      <c r="L74" s="172"/>
      <c r="M74" s="173" t="s">
        <v>211</v>
      </c>
      <c r="N74" s="432" t="s">
        <v>459</v>
      </c>
      <c r="O74" s="433"/>
      <c r="P74" s="433"/>
    </row>
    <row r="75" spans="2:16" ht="19.5" customHeight="1" thickBot="1" x14ac:dyDescent="0.3">
      <c r="B75" s="163" t="s">
        <v>23</v>
      </c>
      <c r="C75" s="164" t="s">
        <v>118</v>
      </c>
      <c r="D75" s="164" t="s">
        <v>95</v>
      </c>
      <c r="E75" s="164" t="s">
        <v>117</v>
      </c>
      <c r="F75" s="164" t="s">
        <v>115</v>
      </c>
      <c r="G75" s="294" t="s">
        <v>96</v>
      </c>
      <c r="H75" s="113"/>
      <c r="J75" s="266" t="s">
        <v>212</v>
      </c>
      <c r="K75" s="267">
        <v>8</v>
      </c>
      <c r="L75" s="113"/>
      <c r="M75" s="175" t="s">
        <v>213</v>
      </c>
      <c r="N75" s="339" t="s">
        <v>443</v>
      </c>
    </row>
    <row r="76" spans="2:16" x14ac:dyDescent="0.25">
      <c r="B76" s="293" t="s">
        <v>398</v>
      </c>
      <c r="C76" s="327">
        <f>K78</f>
        <v>0.73519999999999996</v>
      </c>
      <c r="D76" s="162">
        <v>1</v>
      </c>
      <c r="E76" s="162">
        <f>K79</f>
        <v>76.800000000000011</v>
      </c>
      <c r="F76" s="162">
        <f>G53</f>
        <v>19.010000000000002</v>
      </c>
      <c r="G76" s="356">
        <f>C76*D76*E76*F76</f>
        <v>1073.3684736000002</v>
      </c>
      <c r="H76" s="113"/>
      <c r="J76" s="266" t="s">
        <v>214</v>
      </c>
      <c r="K76" s="267">
        <f>K75*L76</f>
        <v>192</v>
      </c>
      <c r="L76" s="113">
        <f>M71</f>
        <v>24</v>
      </c>
      <c r="M76" s="175" t="s">
        <v>270</v>
      </c>
    </row>
    <row r="77" spans="2:16" x14ac:dyDescent="0.25">
      <c r="B77" s="292" t="s">
        <v>399</v>
      </c>
      <c r="C77" s="328">
        <f>K78</f>
        <v>0.73519999999999996</v>
      </c>
      <c r="D77" s="11">
        <v>1</v>
      </c>
      <c r="E77" s="11">
        <f>K79</f>
        <v>76.800000000000011</v>
      </c>
      <c r="F77" s="11">
        <f>G53</f>
        <v>19.010000000000002</v>
      </c>
      <c r="G77" s="349">
        <f>C77*D77*E77*F77</f>
        <v>1073.3684736000002</v>
      </c>
      <c r="H77" s="113"/>
      <c r="J77" s="266"/>
      <c r="K77" s="362"/>
      <c r="L77" s="113"/>
      <c r="M77" s="175"/>
    </row>
    <row r="78" spans="2:16" ht="15.75" thickBot="1" x14ac:dyDescent="0.3">
      <c r="B78" s="28" t="s">
        <v>400</v>
      </c>
      <c r="C78" s="329">
        <f>K78</f>
        <v>0.73519999999999996</v>
      </c>
      <c r="D78" s="29">
        <v>1</v>
      </c>
      <c r="E78" s="29">
        <f>K86</f>
        <v>1.2000000000000002</v>
      </c>
      <c r="F78" s="29">
        <f>G53</f>
        <v>19.010000000000002</v>
      </c>
      <c r="G78" s="351">
        <f>C78*D78*E78*F78</f>
        <v>16.771382400000004</v>
      </c>
      <c r="H78" s="113"/>
      <c r="J78" s="266" t="s">
        <v>215</v>
      </c>
      <c r="K78" s="267">
        <f>M72</f>
        <v>0.73519999999999996</v>
      </c>
      <c r="L78" s="113"/>
      <c r="M78" s="175"/>
    </row>
    <row r="79" spans="2:16" ht="19.5" thickBot="1" x14ac:dyDescent="0.35">
      <c r="B79" s="61" t="s">
        <v>97</v>
      </c>
      <c r="G79" s="78">
        <f>SUM(G76:G78)</f>
        <v>2163.5083296000007</v>
      </c>
      <c r="H79" s="113"/>
      <c r="J79" s="266" t="s">
        <v>216</v>
      </c>
      <c r="K79" s="267">
        <f>K74*K76</f>
        <v>76.800000000000011</v>
      </c>
      <c r="L79" s="113"/>
      <c r="M79" s="175"/>
    </row>
    <row r="80" spans="2:16" x14ac:dyDescent="0.25">
      <c r="H80" s="113"/>
      <c r="J80" s="174"/>
      <c r="L80" s="113"/>
      <c r="M80" s="175"/>
    </row>
    <row r="81" spans="2:16" ht="15.75" thickBot="1" x14ac:dyDescent="0.3">
      <c r="B81" s="405" t="s">
        <v>264</v>
      </c>
      <c r="C81" s="405"/>
      <c r="D81" s="405"/>
      <c r="E81" s="405"/>
      <c r="F81" s="405"/>
      <c r="G81" s="405"/>
      <c r="H81" s="405"/>
      <c r="J81" s="266" t="s">
        <v>217</v>
      </c>
      <c r="K81" s="267">
        <v>0.1</v>
      </c>
      <c r="L81" s="113"/>
      <c r="M81" s="175" t="s">
        <v>211</v>
      </c>
      <c r="N81" s="432" t="s">
        <v>460</v>
      </c>
      <c r="O81" s="433"/>
      <c r="P81" s="433"/>
    </row>
    <row r="82" spans="2:16" ht="16.5" thickBot="1" x14ac:dyDescent="0.3">
      <c r="B82" s="402" t="s">
        <v>124</v>
      </c>
      <c r="C82" s="403"/>
      <c r="D82" s="403"/>
      <c r="E82" s="403"/>
      <c r="F82" s="404"/>
      <c r="G82" s="113"/>
      <c r="H82" s="113"/>
      <c r="J82" s="266" t="s">
        <v>212</v>
      </c>
      <c r="K82" s="267">
        <v>0.5</v>
      </c>
      <c r="L82" s="113"/>
      <c r="M82" s="175" t="s">
        <v>213</v>
      </c>
      <c r="N82" s="339" t="s">
        <v>444</v>
      </c>
    </row>
    <row r="83" spans="2:16" ht="15.75" thickBot="1" x14ac:dyDescent="0.3">
      <c r="B83" s="163" t="s">
        <v>23</v>
      </c>
      <c r="C83" s="262" t="s">
        <v>95</v>
      </c>
      <c r="D83" s="164" t="s">
        <v>120</v>
      </c>
      <c r="E83" s="164" t="s">
        <v>115</v>
      </c>
      <c r="F83" s="165" t="s">
        <v>96</v>
      </c>
      <c r="G83" s="113"/>
      <c r="H83" s="113"/>
      <c r="J83" s="266" t="s">
        <v>214</v>
      </c>
      <c r="K83" s="267">
        <f>K82*L83</f>
        <v>12</v>
      </c>
      <c r="L83" s="113">
        <f>M71</f>
        <v>24</v>
      </c>
      <c r="M83" s="175" t="s">
        <v>271</v>
      </c>
    </row>
    <row r="84" spans="2:16" x14ac:dyDescent="0.25">
      <c r="B84" s="25" t="s">
        <v>401</v>
      </c>
      <c r="C84" s="26">
        <v>1</v>
      </c>
      <c r="D84" s="352">
        <v>30</v>
      </c>
      <c r="E84" s="26">
        <f>G53</f>
        <v>19.010000000000002</v>
      </c>
      <c r="F84" s="348">
        <f>E84*D84*C84</f>
        <v>570.30000000000007</v>
      </c>
      <c r="G84" s="113"/>
      <c r="H84" s="113"/>
      <c r="J84" s="266"/>
      <c r="K84" s="267"/>
      <c r="L84" s="113"/>
      <c r="M84" s="175"/>
    </row>
    <row r="85" spans="2:16" ht="15.75" thickBot="1" x14ac:dyDescent="0.3">
      <c r="B85" s="28" t="s">
        <v>402</v>
      </c>
      <c r="C85" s="261">
        <v>1</v>
      </c>
      <c r="D85" s="347">
        <v>90</v>
      </c>
      <c r="E85" s="261">
        <f>G53</f>
        <v>19.010000000000002</v>
      </c>
      <c r="F85" s="360">
        <f>E85*D85*C85</f>
        <v>1710.9</v>
      </c>
      <c r="G85" s="113"/>
      <c r="H85" s="113"/>
      <c r="J85" s="266" t="s">
        <v>218</v>
      </c>
      <c r="K85" s="267">
        <f>M72</f>
        <v>0.73519999999999996</v>
      </c>
      <c r="L85" s="113"/>
      <c r="M85" s="175"/>
    </row>
    <row r="86" spans="2:16" ht="19.5" thickBot="1" x14ac:dyDescent="0.35">
      <c r="B86" s="61" t="s">
        <v>97</v>
      </c>
      <c r="C86" s="113"/>
      <c r="D86" s="113"/>
      <c r="E86" s="113"/>
      <c r="F86" s="78">
        <f>SUM(F84:F85)</f>
        <v>2281.2000000000003</v>
      </c>
      <c r="G86" s="113"/>
      <c r="H86" s="113"/>
      <c r="J86" s="268" t="s">
        <v>216</v>
      </c>
      <c r="K86" s="369">
        <f>K81*K83</f>
        <v>1.2000000000000002</v>
      </c>
      <c r="L86" s="176"/>
      <c r="M86" s="177"/>
    </row>
    <row r="87" spans="2:16" ht="18.75" x14ac:dyDescent="0.3">
      <c r="B87" s="113"/>
      <c r="C87" s="113"/>
      <c r="D87" s="113"/>
      <c r="E87" s="113"/>
      <c r="F87" s="166"/>
      <c r="G87" s="113"/>
      <c r="H87" s="113"/>
      <c r="I87" s="113"/>
    </row>
    <row r="88" spans="2:16" ht="15.75" thickBot="1" x14ac:dyDescent="0.3">
      <c r="B88" s="405" t="s">
        <v>331</v>
      </c>
      <c r="C88" s="405"/>
      <c r="D88" s="405"/>
      <c r="E88" s="405"/>
      <c r="F88" s="405"/>
      <c r="G88" s="405"/>
      <c r="H88" s="405"/>
      <c r="I88" s="113"/>
    </row>
    <row r="89" spans="2:16" ht="16.5" thickBot="1" x14ac:dyDescent="0.3">
      <c r="B89" s="402" t="s">
        <v>325</v>
      </c>
      <c r="C89" s="403"/>
      <c r="D89" s="403"/>
      <c r="E89" s="403"/>
      <c r="F89" s="404"/>
      <c r="G89" s="113"/>
      <c r="H89" s="113"/>
      <c r="I89" s="113"/>
    </row>
    <row r="90" spans="2:16" ht="15.75" thickBot="1" x14ac:dyDescent="0.3">
      <c r="B90" s="163" t="s">
        <v>319</v>
      </c>
      <c r="C90" s="262" t="s">
        <v>95</v>
      </c>
      <c r="D90" s="164" t="s">
        <v>320</v>
      </c>
      <c r="E90" s="164" t="s">
        <v>115</v>
      </c>
      <c r="F90" s="165" t="s">
        <v>96</v>
      </c>
      <c r="G90" s="113"/>
      <c r="H90" s="113"/>
      <c r="I90" s="113"/>
    </row>
    <row r="91" spans="2:16" x14ac:dyDescent="0.25">
      <c r="B91" s="25" t="s">
        <v>390</v>
      </c>
      <c r="C91" s="26">
        <v>1</v>
      </c>
      <c r="D91" s="323">
        <v>15</v>
      </c>
      <c r="E91" s="26">
        <f>G53</f>
        <v>19.010000000000002</v>
      </c>
      <c r="F91" s="348">
        <f>E91*D91*C91</f>
        <v>285.15000000000003</v>
      </c>
      <c r="G91" s="113"/>
      <c r="H91" s="113"/>
      <c r="I91" s="113"/>
    </row>
    <row r="92" spans="2:16" ht="15.75" thickBot="1" x14ac:dyDescent="0.3">
      <c r="B92" s="77" t="s">
        <v>391</v>
      </c>
      <c r="C92" s="261">
        <v>1</v>
      </c>
      <c r="D92" s="322">
        <v>15</v>
      </c>
      <c r="E92" s="261">
        <f>G53</f>
        <v>19.010000000000002</v>
      </c>
      <c r="F92" s="360">
        <f>E92*D92*C92</f>
        <v>285.15000000000003</v>
      </c>
      <c r="G92" s="113"/>
      <c r="H92" s="113"/>
      <c r="I92" s="113"/>
    </row>
    <row r="93" spans="2:16" ht="19.5" thickBot="1" x14ac:dyDescent="0.35">
      <c r="B93" s="61" t="s">
        <v>97</v>
      </c>
      <c r="C93" s="113"/>
      <c r="D93" s="113"/>
      <c r="E93" s="113"/>
      <c r="F93" s="78">
        <f>SUM(F91:F92)</f>
        <v>570.30000000000007</v>
      </c>
      <c r="G93" s="113"/>
      <c r="H93" s="113"/>
      <c r="I93" s="113"/>
    </row>
    <row r="94" spans="2:16" ht="18.75" x14ac:dyDescent="0.3">
      <c r="B94" s="113"/>
      <c r="C94" s="113"/>
      <c r="D94" s="113"/>
      <c r="E94" s="113"/>
      <c r="F94" s="166"/>
      <c r="G94" s="113"/>
      <c r="H94" s="113"/>
      <c r="I94" s="113"/>
    </row>
    <row r="95" spans="2:16" ht="18.75" x14ac:dyDescent="0.3">
      <c r="B95" s="113"/>
      <c r="C95" s="113"/>
      <c r="D95" s="113"/>
      <c r="E95" s="113"/>
      <c r="F95" s="166"/>
      <c r="G95" s="113"/>
      <c r="H95" s="113"/>
      <c r="I95" s="113"/>
    </row>
    <row r="96" spans="2:16" ht="21.75" thickBot="1" x14ac:dyDescent="0.35">
      <c r="B96" s="154" t="s">
        <v>324</v>
      </c>
      <c r="C96" s="113"/>
      <c r="D96" s="113"/>
      <c r="E96" s="113"/>
      <c r="F96" s="166"/>
      <c r="G96" s="113"/>
      <c r="H96" s="113"/>
      <c r="I96" s="113"/>
    </row>
    <row r="97" spans="2:8" ht="21.75" thickBot="1" x14ac:dyDescent="0.35">
      <c r="B97" s="64" t="s">
        <v>123</v>
      </c>
      <c r="C97" s="74">
        <f>F61+F71+G79+F86+F93</f>
        <v>40477.208329600006</v>
      </c>
      <c r="E97" s="113"/>
      <c r="F97" s="166"/>
      <c r="G97" s="113"/>
      <c r="H97" s="113"/>
    </row>
    <row r="98" spans="2:8" ht="19.5" thickBot="1" x14ac:dyDescent="0.35">
      <c r="B98" s="113"/>
      <c r="C98" s="113"/>
      <c r="D98" s="113"/>
      <c r="E98" s="113"/>
      <c r="F98" s="166"/>
      <c r="G98" s="113"/>
      <c r="H98" s="113"/>
    </row>
    <row r="99" spans="2:8" ht="19.5" thickBot="1" x14ac:dyDescent="0.35">
      <c r="B99" s="406" t="s">
        <v>326</v>
      </c>
      <c r="C99" s="407"/>
      <c r="D99" s="408"/>
      <c r="E99" s="113"/>
      <c r="F99" s="166"/>
      <c r="G99" s="113"/>
      <c r="H99" s="113"/>
    </row>
    <row r="100" spans="2:8" ht="19.5" thickBot="1" x14ac:dyDescent="0.35">
      <c r="B100" s="70" t="s">
        <v>103</v>
      </c>
      <c r="C100" s="71" t="s">
        <v>403</v>
      </c>
      <c r="D100" s="72" t="s">
        <v>105</v>
      </c>
      <c r="E100" s="113"/>
      <c r="F100" s="166"/>
      <c r="G100" s="113"/>
      <c r="H100" s="113"/>
    </row>
    <row r="101" spans="2:8" ht="18.75" x14ac:dyDescent="0.3">
      <c r="B101" s="68">
        <v>1</v>
      </c>
      <c r="C101" s="69" t="s">
        <v>322</v>
      </c>
      <c r="D101" s="356">
        <f>F61</f>
        <v>35358.600000000006</v>
      </c>
      <c r="E101" s="113"/>
      <c r="F101" s="166"/>
      <c r="G101" s="113"/>
      <c r="H101" s="113"/>
    </row>
    <row r="102" spans="2:8" ht="18.75" x14ac:dyDescent="0.3">
      <c r="B102" s="68">
        <v>2</v>
      </c>
      <c r="C102" s="69" t="s">
        <v>323</v>
      </c>
      <c r="D102" s="356">
        <f>F71</f>
        <v>103.6</v>
      </c>
      <c r="E102" s="113"/>
      <c r="F102" s="166"/>
      <c r="G102" s="113"/>
      <c r="H102" s="113"/>
    </row>
    <row r="103" spans="2:8" ht="18.75" x14ac:dyDescent="0.3">
      <c r="B103" s="53">
        <v>3</v>
      </c>
      <c r="C103" s="65" t="s">
        <v>116</v>
      </c>
      <c r="D103" s="349">
        <f>G79</f>
        <v>2163.5083296000007</v>
      </c>
      <c r="E103" s="113"/>
      <c r="F103" s="166"/>
      <c r="G103" s="113"/>
      <c r="H103" s="113"/>
    </row>
    <row r="104" spans="2:8" ht="18.75" x14ac:dyDescent="0.3">
      <c r="B104" s="53">
        <v>4</v>
      </c>
      <c r="C104" s="65" t="s">
        <v>129</v>
      </c>
      <c r="D104" s="349">
        <f>F86</f>
        <v>2281.2000000000003</v>
      </c>
      <c r="E104" s="113"/>
      <c r="F104" s="166"/>
      <c r="G104" s="113"/>
      <c r="H104" s="113"/>
    </row>
    <row r="105" spans="2:8" ht="19.5" thickBot="1" x14ac:dyDescent="0.35">
      <c r="B105" s="263">
        <v>5</v>
      </c>
      <c r="C105" s="264" t="s">
        <v>321</v>
      </c>
      <c r="D105" s="360">
        <f>F93</f>
        <v>570.30000000000007</v>
      </c>
      <c r="E105" s="113"/>
      <c r="F105" s="166"/>
      <c r="G105" s="113"/>
      <c r="H105" s="113"/>
    </row>
    <row r="106" spans="2:8" ht="19.5" thickBot="1" x14ac:dyDescent="0.35">
      <c r="B106" s="73" t="s">
        <v>97</v>
      </c>
      <c r="D106" s="74">
        <f>SUM(D101:D105)</f>
        <v>40477.208329600006</v>
      </c>
      <c r="E106" s="113"/>
      <c r="F106" s="166"/>
      <c r="G106" s="113"/>
      <c r="H106" s="113"/>
    </row>
    <row r="107" spans="2:8" ht="18.75" x14ac:dyDescent="0.3">
      <c r="B107" s="120"/>
      <c r="C107" s="113"/>
      <c r="D107" s="166"/>
      <c r="E107" s="113"/>
      <c r="F107" s="166"/>
      <c r="G107" s="113"/>
      <c r="H107" s="113"/>
    </row>
    <row r="108" spans="2:8" ht="19.5" thickBot="1" x14ac:dyDescent="0.35">
      <c r="B108" s="120"/>
      <c r="C108" s="113"/>
      <c r="D108" s="166"/>
      <c r="E108" s="113"/>
      <c r="F108" s="166"/>
      <c r="G108" s="113"/>
      <c r="H108" s="113"/>
    </row>
    <row r="109" spans="2:8" ht="19.5" thickBot="1" x14ac:dyDescent="0.35">
      <c r="B109" s="85" t="s">
        <v>130</v>
      </c>
      <c r="C109" s="74">
        <f>D106+D46</f>
        <v>49081.208329600006</v>
      </c>
      <c r="D109" s="166"/>
      <c r="E109" s="113"/>
      <c r="F109" s="166"/>
      <c r="G109" s="113"/>
      <c r="H109" s="113"/>
    </row>
    <row r="110" spans="2:8" ht="18.75" x14ac:dyDescent="0.3">
      <c r="B110" s="120"/>
      <c r="C110" s="113"/>
      <c r="D110" s="166"/>
      <c r="E110" s="113"/>
      <c r="F110" s="166"/>
      <c r="G110" s="113"/>
      <c r="H110" s="113"/>
    </row>
    <row r="111" spans="2:8" ht="15.75" thickBot="1" x14ac:dyDescent="0.3">
      <c r="B111" s="113"/>
      <c r="C111" s="113"/>
      <c r="D111" s="113"/>
      <c r="E111" s="113"/>
      <c r="F111" s="113"/>
      <c r="G111" s="113"/>
      <c r="H111" s="113"/>
    </row>
    <row r="112" spans="2:8" x14ac:dyDescent="0.25">
      <c r="B112" s="409" t="s">
        <v>265</v>
      </c>
      <c r="C112" s="409"/>
      <c r="D112" s="409"/>
      <c r="E112" s="409"/>
      <c r="F112" s="409"/>
      <c r="G112" s="409"/>
      <c r="H112" s="409"/>
    </row>
    <row r="113" spans="2:8" x14ac:dyDescent="0.25">
      <c r="B113" s="113"/>
      <c r="C113" s="113"/>
      <c r="D113" s="113"/>
      <c r="E113" s="113"/>
      <c r="F113" s="113"/>
      <c r="G113" s="113"/>
      <c r="H113" s="113"/>
    </row>
    <row r="114" spans="2:8" ht="15.75" thickBot="1" x14ac:dyDescent="0.3">
      <c r="B114" s="405" t="s">
        <v>132</v>
      </c>
      <c r="C114" s="405"/>
      <c r="D114" s="405"/>
      <c r="E114" s="405"/>
      <c r="F114" s="405"/>
      <c r="G114" s="405"/>
      <c r="H114" s="405"/>
    </row>
    <row r="115" spans="2:8" ht="16.5" thickBot="1" x14ac:dyDescent="0.3">
      <c r="B115" s="402" t="s">
        <v>327</v>
      </c>
      <c r="C115" s="403"/>
      <c r="D115" s="403"/>
      <c r="E115" s="403"/>
      <c r="F115" s="403"/>
      <c r="G115" s="404"/>
      <c r="H115" s="113"/>
    </row>
    <row r="116" spans="2:8" ht="30" x14ac:dyDescent="0.25">
      <c r="B116" s="192" t="s">
        <v>23</v>
      </c>
      <c r="C116" s="193" t="s">
        <v>335</v>
      </c>
      <c r="D116" s="193" t="s">
        <v>95</v>
      </c>
      <c r="E116" s="83" t="s">
        <v>115</v>
      </c>
      <c r="F116" s="193" t="s">
        <v>417</v>
      </c>
      <c r="G116" s="277" t="s">
        <v>96</v>
      </c>
    </row>
    <row r="117" spans="2:8" ht="15.75" thickBot="1" x14ac:dyDescent="0.3">
      <c r="B117" s="28" t="s">
        <v>411</v>
      </c>
      <c r="C117" s="29" t="s">
        <v>412</v>
      </c>
      <c r="D117" s="29">
        <f>4*4*40</f>
        <v>640</v>
      </c>
      <c r="E117" s="80">
        <v>12</v>
      </c>
      <c r="F117" s="322">
        <v>4</v>
      </c>
      <c r="G117" s="351">
        <f>F117*E117*D117</f>
        <v>30720</v>
      </c>
    </row>
    <row r="118" spans="2:8" ht="15.75" thickBot="1" x14ac:dyDescent="0.3">
      <c r="B118" s="73" t="s">
        <v>97</v>
      </c>
      <c r="D118" s="113"/>
      <c r="E118" s="113"/>
      <c r="F118" s="113"/>
      <c r="G118" s="365">
        <f>SUM(G117:G117)</f>
        <v>30720</v>
      </c>
      <c r="H118" s="113"/>
    </row>
    <row r="119" spans="2:8" ht="15.75" thickBot="1" x14ac:dyDescent="0.3">
      <c r="B119" s="113"/>
      <c r="C119" s="113"/>
      <c r="D119" s="113"/>
      <c r="E119" s="113"/>
      <c r="F119" s="113"/>
      <c r="G119" s="113"/>
      <c r="H119" s="113"/>
    </row>
    <row r="120" spans="2:8" ht="16.5" thickBot="1" x14ac:dyDescent="0.3">
      <c r="B120" s="402" t="s">
        <v>328</v>
      </c>
      <c r="C120" s="403"/>
      <c r="D120" s="403"/>
      <c r="E120" s="403"/>
      <c r="F120" s="403"/>
      <c r="G120" s="404"/>
      <c r="H120" s="113"/>
    </row>
    <row r="121" spans="2:8" ht="30" x14ac:dyDescent="0.25">
      <c r="B121" s="280" t="s">
        <v>23</v>
      </c>
      <c r="C121" s="193" t="s">
        <v>335</v>
      </c>
      <c r="D121" s="281" t="s">
        <v>95</v>
      </c>
      <c r="E121" s="187" t="s">
        <v>115</v>
      </c>
      <c r="F121" s="193" t="s">
        <v>417</v>
      </c>
      <c r="G121" s="282" t="s">
        <v>96</v>
      </c>
    </row>
    <row r="122" spans="2:8" x14ac:dyDescent="0.25">
      <c r="B122" s="284" t="s">
        <v>135</v>
      </c>
      <c r="C122" s="11" t="s">
        <v>333</v>
      </c>
      <c r="D122" s="79">
        <v>1</v>
      </c>
      <c r="E122" s="79">
        <v>12</v>
      </c>
      <c r="F122" s="330">
        <v>15</v>
      </c>
      <c r="G122" s="361">
        <f>E122*F122*D122</f>
        <v>180</v>
      </c>
    </row>
    <row r="123" spans="2:8" x14ac:dyDescent="0.25">
      <c r="B123" s="274" t="s">
        <v>406</v>
      </c>
      <c r="C123" s="271" t="s">
        <v>336</v>
      </c>
      <c r="D123" s="271">
        <v>2</v>
      </c>
      <c r="E123" s="295">
        <v>12</v>
      </c>
      <c r="F123" s="331">
        <v>10</v>
      </c>
      <c r="G123" s="361">
        <f>E123*F123*D123</f>
        <v>240</v>
      </c>
    </row>
    <row r="124" spans="2:8" ht="15.75" thickBot="1" x14ac:dyDescent="0.3">
      <c r="B124" s="275" t="s">
        <v>407</v>
      </c>
      <c r="C124" s="221" t="s">
        <v>336</v>
      </c>
      <c r="D124" s="221">
        <v>2</v>
      </c>
      <c r="E124" s="80">
        <v>12</v>
      </c>
      <c r="F124" s="332">
        <v>10</v>
      </c>
      <c r="G124" s="361">
        <f>E124*F124*D124</f>
        <v>240</v>
      </c>
    </row>
    <row r="125" spans="2:8" ht="15.75" thickBot="1" x14ac:dyDescent="0.3">
      <c r="B125" s="73" t="s">
        <v>97</v>
      </c>
      <c r="D125" s="132"/>
      <c r="E125" s="132"/>
      <c r="F125" s="113"/>
      <c r="G125" s="283">
        <f>SUM(G122:G124)</f>
        <v>660</v>
      </c>
      <c r="H125" s="113"/>
    </row>
    <row r="126" spans="2:8" ht="15.75" thickBot="1" x14ac:dyDescent="0.3">
      <c r="C126" s="113"/>
      <c r="D126" s="113"/>
      <c r="E126" s="113"/>
      <c r="G126" s="113"/>
      <c r="H126" s="113"/>
    </row>
    <row r="127" spans="2:8" ht="16.5" thickBot="1" x14ac:dyDescent="0.3">
      <c r="B127" s="406" t="s">
        <v>329</v>
      </c>
      <c r="C127" s="407"/>
      <c r="D127" s="408"/>
      <c r="E127" s="167"/>
      <c r="F127" s="167"/>
      <c r="G127" s="113"/>
      <c r="H127" s="113"/>
    </row>
    <row r="128" spans="2:8" ht="15.75" thickBot="1" x14ac:dyDescent="0.3">
      <c r="B128" s="82" t="s">
        <v>103</v>
      </c>
      <c r="C128" s="191" t="s">
        <v>133</v>
      </c>
      <c r="D128" s="285" t="s">
        <v>96</v>
      </c>
      <c r="E128" s="113"/>
      <c r="F128" s="113"/>
      <c r="G128" s="113"/>
      <c r="H128" s="113"/>
    </row>
    <row r="129" spans="2:8" x14ac:dyDescent="0.25">
      <c r="B129" s="286">
        <v>1</v>
      </c>
      <c r="C129" s="39" t="s">
        <v>134</v>
      </c>
      <c r="D129" s="342">
        <f>G118</f>
        <v>30720</v>
      </c>
      <c r="E129" s="113"/>
      <c r="F129" s="113"/>
      <c r="G129" s="113"/>
      <c r="H129" s="113"/>
    </row>
    <row r="130" spans="2:8" ht="15.75" thickBot="1" x14ac:dyDescent="0.3">
      <c r="B130" s="287">
        <v>2</v>
      </c>
      <c r="C130" s="42" t="s">
        <v>135</v>
      </c>
      <c r="D130" s="344">
        <f>G125</f>
        <v>660</v>
      </c>
      <c r="E130" s="113"/>
      <c r="F130" s="113"/>
      <c r="G130" s="113"/>
      <c r="H130" s="113"/>
    </row>
    <row r="131" spans="2:8" ht="19.5" thickBot="1" x14ac:dyDescent="0.35">
      <c r="B131" s="73" t="s">
        <v>97</v>
      </c>
      <c r="C131" s="113"/>
      <c r="D131" s="78">
        <f>SUM(D129:D130)</f>
        <v>31380</v>
      </c>
      <c r="E131" s="113"/>
      <c r="F131" s="160"/>
      <c r="G131" s="113"/>
      <c r="H131" s="113"/>
    </row>
    <row r="132" spans="2:8" ht="15.75" thickBot="1" x14ac:dyDescent="0.3">
      <c r="B132" s="113"/>
      <c r="C132" s="113"/>
      <c r="D132" s="113"/>
      <c r="E132" s="113"/>
      <c r="F132" s="113"/>
      <c r="G132" s="113"/>
      <c r="H132" s="113"/>
    </row>
    <row r="133" spans="2:8" x14ac:dyDescent="0.25">
      <c r="B133" s="409" t="s">
        <v>266</v>
      </c>
      <c r="C133" s="409"/>
      <c r="D133" s="409"/>
      <c r="E133" s="409"/>
      <c r="F133" s="409"/>
      <c r="G133" s="409"/>
      <c r="H133" s="409"/>
    </row>
    <row r="134" spans="2:8" x14ac:dyDescent="0.25">
      <c r="B134" s="113"/>
      <c r="C134" s="113"/>
      <c r="D134" s="113"/>
      <c r="E134" s="113"/>
      <c r="F134" s="113"/>
      <c r="G134" s="113"/>
      <c r="H134" s="113"/>
    </row>
    <row r="135" spans="2:8" ht="21" x14ac:dyDescent="0.25">
      <c r="B135" s="154" t="s">
        <v>136</v>
      </c>
      <c r="C135" s="113" t="s">
        <v>110</v>
      </c>
      <c r="D135" s="113"/>
      <c r="E135" s="113"/>
      <c r="F135" s="160" t="s">
        <v>267</v>
      </c>
      <c r="G135" s="113"/>
      <c r="H135" s="113"/>
    </row>
    <row r="136" spans="2:8" x14ac:dyDescent="0.25">
      <c r="B136" s="113"/>
      <c r="C136" s="113" t="s">
        <v>111</v>
      </c>
      <c r="D136" s="113"/>
      <c r="E136" s="113"/>
      <c r="F136" s="113"/>
      <c r="G136" s="113"/>
      <c r="H136" s="113"/>
    </row>
    <row r="137" spans="2:8" x14ac:dyDescent="0.25">
      <c r="B137" s="113"/>
      <c r="C137" s="113" t="s">
        <v>112</v>
      </c>
      <c r="D137" s="113"/>
      <c r="E137" s="113"/>
      <c r="F137" s="113"/>
      <c r="G137" s="113"/>
      <c r="H137" s="113"/>
    </row>
    <row r="138" spans="2:8" x14ac:dyDescent="0.25">
      <c r="B138" s="113"/>
      <c r="C138" s="113" t="s">
        <v>113</v>
      </c>
      <c r="D138" s="113"/>
      <c r="E138" s="113"/>
      <c r="F138" s="113"/>
      <c r="G138" s="113"/>
      <c r="H138" s="113"/>
    </row>
    <row r="139" spans="2:8" x14ac:dyDescent="0.25">
      <c r="B139" s="113"/>
      <c r="C139" s="113" t="s">
        <v>137</v>
      </c>
      <c r="D139" s="113"/>
      <c r="E139" s="113"/>
      <c r="F139" s="113"/>
      <c r="G139" s="113"/>
      <c r="H139" s="113"/>
    </row>
    <row r="140" spans="2:8" x14ac:dyDescent="0.25">
      <c r="B140" s="113"/>
      <c r="C140" s="113" t="s">
        <v>221</v>
      </c>
      <c r="D140" s="113"/>
      <c r="E140" s="113"/>
      <c r="F140" s="113"/>
      <c r="G140" s="113"/>
      <c r="H140" s="113"/>
    </row>
    <row r="141" spans="2:8" x14ac:dyDescent="0.25">
      <c r="B141" s="113"/>
      <c r="C141" s="113"/>
      <c r="D141" s="113"/>
      <c r="E141" s="113"/>
      <c r="F141" s="113"/>
      <c r="G141" s="113"/>
      <c r="H141" s="113"/>
    </row>
    <row r="142" spans="2:8" ht="15.75" thickBot="1" x14ac:dyDescent="0.3">
      <c r="B142" s="405" t="s">
        <v>261</v>
      </c>
      <c r="C142" s="405"/>
      <c r="D142" s="405"/>
      <c r="E142" s="405"/>
      <c r="F142" s="405"/>
      <c r="G142" s="405"/>
      <c r="H142" s="405"/>
    </row>
    <row r="143" spans="2:8" ht="16.5" thickBot="1" x14ac:dyDescent="0.3">
      <c r="B143" s="402" t="s">
        <v>222</v>
      </c>
      <c r="C143" s="403"/>
      <c r="D143" s="403"/>
      <c r="E143" s="403"/>
      <c r="F143" s="404"/>
      <c r="G143" s="167"/>
      <c r="H143" s="113"/>
    </row>
    <row r="144" spans="2:8" ht="15.75" thickBot="1" x14ac:dyDescent="0.3">
      <c r="B144" s="82" t="s">
        <v>23</v>
      </c>
      <c r="C144" s="204" t="s">
        <v>95</v>
      </c>
      <c r="D144" s="49" t="s">
        <v>122</v>
      </c>
      <c r="E144" s="204" t="s">
        <v>138</v>
      </c>
      <c r="F144" s="87" t="s">
        <v>96</v>
      </c>
    </row>
    <row r="145" spans="2:13" x14ac:dyDescent="0.25">
      <c r="B145" s="270" t="s">
        <v>404</v>
      </c>
      <c r="C145" s="57">
        <v>1</v>
      </c>
      <c r="D145" s="57">
        <v>5</v>
      </c>
      <c r="E145" s="324">
        <v>100</v>
      </c>
      <c r="F145" s="342">
        <f>E145*C145*D145</f>
        <v>500</v>
      </c>
    </row>
    <row r="146" spans="2:13" ht="15.75" thickBot="1" x14ac:dyDescent="0.3">
      <c r="B146" s="269" t="s">
        <v>145</v>
      </c>
      <c r="C146" s="80">
        <v>1</v>
      </c>
      <c r="D146" s="80">
        <v>12</v>
      </c>
      <c r="E146" s="326">
        <v>100</v>
      </c>
      <c r="F146" s="344">
        <f>E146*C146*D146</f>
        <v>1200</v>
      </c>
    </row>
    <row r="147" spans="2:13" ht="19.5" thickBot="1" x14ac:dyDescent="0.35">
      <c r="B147" s="156" t="s">
        <v>97</v>
      </c>
      <c r="C147" s="276"/>
      <c r="D147" s="276"/>
      <c r="E147" s="276"/>
      <c r="F147" s="74">
        <f>SUM(F145:F146)</f>
        <v>1700</v>
      </c>
      <c r="G147" s="113"/>
      <c r="H147" s="113"/>
    </row>
    <row r="148" spans="2:13" x14ac:dyDescent="0.25">
      <c r="B148" s="120"/>
      <c r="C148" s="113"/>
      <c r="D148" s="113"/>
      <c r="E148" s="113"/>
      <c r="F148" s="113"/>
      <c r="G148" s="113"/>
      <c r="H148" s="113"/>
    </row>
    <row r="149" spans="2:13" ht="15.75" thickBot="1" x14ac:dyDescent="0.3">
      <c r="B149" s="405" t="s">
        <v>262</v>
      </c>
      <c r="C149" s="405"/>
      <c r="D149" s="405"/>
      <c r="E149" s="405"/>
      <c r="F149" s="405"/>
      <c r="G149" s="405"/>
      <c r="H149" s="405"/>
    </row>
    <row r="150" spans="2:13" ht="16.5" thickBot="1" x14ac:dyDescent="0.3">
      <c r="B150" s="411" t="s">
        <v>223</v>
      </c>
      <c r="C150" s="412"/>
      <c r="D150" s="412"/>
      <c r="E150" s="412"/>
      <c r="F150" s="413"/>
      <c r="G150" s="252"/>
      <c r="H150" s="113"/>
    </row>
    <row r="151" spans="2:13" ht="15.75" thickBot="1" x14ac:dyDescent="0.3">
      <c r="B151" s="163" t="s">
        <v>23</v>
      </c>
      <c r="C151" s="190" t="s">
        <v>335</v>
      </c>
      <c r="D151" s="190" t="s">
        <v>95</v>
      </c>
      <c r="E151" s="190" t="s">
        <v>304</v>
      </c>
      <c r="F151" s="279" t="s">
        <v>96</v>
      </c>
      <c r="G151" s="113"/>
      <c r="H151" s="113"/>
    </row>
    <row r="152" spans="2:13" x14ac:dyDescent="0.25">
      <c r="B152" s="272"/>
      <c r="C152" s="273"/>
      <c r="D152" s="273"/>
      <c r="E152" s="333"/>
      <c r="F152" s="342"/>
      <c r="G152" s="113"/>
      <c r="H152" s="113"/>
    </row>
    <row r="153" spans="2:13" x14ac:dyDescent="0.25">
      <c r="B153" s="274" t="s">
        <v>405</v>
      </c>
      <c r="C153" s="271" t="s">
        <v>333</v>
      </c>
      <c r="D153" s="271">
        <v>2</v>
      </c>
      <c r="E153" s="331">
        <v>12</v>
      </c>
      <c r="F153" s="343">
        <f>E153*D153</f>
        <v>24</v>
      </c>
      <c r="G153" s="113"/>
      <c r="H153" s="113"/>
    </row>
    <row r="154" spans="2:13" x14ac:dyDescent="0.25">
      <c r="B154" s="274" t="s">
        <v>406</v>
      </c>
      <c r="C154" s="271" t="s">
        <v>336</v>
      </c>
      <c r="D154" s="271">
        <v>4</v>
      </c>
      <c r="E154" s="331">
        <v>10</v>
      </c>
      <c r="F154" s="343">
        <f>E154*D154</f>
        <v>40</v>
      </c>
      <c r="G154" s="113"/>
      <c r="H154" s="113"/>
    </row>
    <row r="155" spans="2:13" ht="15.75" thickBot="1" x14ac:dyDescent="0.3">
      <c r="B155" s="275" t="s">
        <v>407</v>
      </c>
      <c r="C155" s="221" t="s">
        <v>336</v>
      </c>
      <c r="D155" s="221">
        <v>5</v>
      </c>
      <c r="E155" s="332">
        <v>10</v>
      </c>
      <c r="F155" s="344">
        <f>E155*D155</f>
        <v>50</v>
      </c>
      <c r="G155" s="113"/>
      <c r="H155" s="113"/>
    </row>
    <row r="156" spans="2:13" ht="19.5" thickBot="1" x14ac:dyDescent="0.35">
      <c r="B156" s="169" t="s">
        <v>97</v>
      </c>
      <c r="C156" s="113"/>
      <c r="D156" s="113"/>
      <c r="F156" s="78">
        <f>SUM(F152:F155)</f>
        <v>114</v>
      </c>
      <c r="G156" s="113"/>
      <c r="H156" s="113"/>
    </row>
    <row r="157" spans="2:13" x14ac:dyDescent="0.25">
      <c r="B157" s="113"/>
      <c r="C157" s="113"/>
      <c r="D157" s="113"/>
      <c r="E157" s="113"/>
      <c r="F157" s="113"/>
      <c r="G157" s="113"/>
      <c r="H157" s="113"/>
      <c r="J157" s="320"/>
      <c r="K157" s="320"/>
      <c r="L157" s="320"/>
      <c r="M157" s="313"/>
    </row>
    <row r="158" spans="2:13" ht="15.75" thickBot="1" x14ac:dyDescent="0.3">
      <c r="B158" s="405" t="s">
        <v>269</v>
      </c>
      <c r="C158" s="405"/>
      <c r="D158" s="405"/>
      <c r="E158" s="405"/>
      <c r="F158" s="405"/>
      <c r="G158" s="405"/>
      <c r="H158" s="405"/>
      <c r="J158" s="320"/>
      <c r="K158" s="320"/>
      <c r="L158" s="320"/>
      <c r="M158" s="312"/>
    </row>
    <row r="159" spans="2:13" ht="16.5" thickBot="1" x14ac:dyDescent="0.3">
      <c r="B159" s="425" t="s">
        <v>139</v>
      </c>
      <c r="C159" s="426"/>
      <c r="D159" s="426"/>
      <c r="E159" s="426"/>
      <c r="F159" s="426"/>
      <c r="G159" s="426"/>
      <c r="H159" s="427"/>
    </row>
    <row r="160" spans="2:13" ht="15.75" thickBot="1" x14ac:dyDescent="0.3">
      <c r="B160" s="191" t="s">
        <v>23</v>
      </c>
      <c r="C160" s="193" t="s">
        <v>95</v>
      </c>
      <c r="D160" s="83" t="s">
        <v>409</v>
      </c>
      <c r="E160" s="193" t="s">
        <v>410</v>
      </c>
      <c r="F160" s="193" t="s">
        <v>397</v>
      </c>
      <c r="G160" s="204" t="s">
        <v>304</v>
      </c>
      <c r="H160" s="277" t="s">
        <v>96</v>
      </c>
      <c r="J160" s="321"/>
    </row>
    <row r="161" spans="2:10" x14ac:dyDescent="0.25">
      <c r="B161" s="25" t="s">
        <v>408</v>
      </c>
      <c r="C161" s="26">
        <f>SUM(E11:E12)</f>
        <v>2</v>
      </c>
      <c r="D161" s="273">
        <f>5*4*12</f>
        <v>240</v>
      </c>
      <c r="E161" s="273">
        <f>K74</f>
        <v>0.4</v>
      </c>
      <c r="F161" s="57">
        <f>C161*D161*E161</f>
        <v>192</v>
      </c>
      <c r="G161" s="334">
        <f>K78</f>
        <v>0.73519999999999996</v>
      </c>
      <c r="H161" s="348">
        <f>F161*G161</f>
        <v>141.1584</v>
      </c>
      <c r="J161" s="321"/>
    </row>
    <row r="162" spans="2:10" ht="15.75" thickBot="1" x14ac:dyDescent="0.3">
      <c r="B162" s="28" t="s">
        <v>375</v>
      </c>
      <c r="C162" s="29">
        <f>E13</f>
        <v>1</v>
      </c>
      <c r="D162" s="221">
        <f>1*4*12</f>
        <v>48</v>
      </c>
      <c r="E162" s="221">
        <f>K81</f>
        <v>0.1</v>
      </c>
      <c r="F162" s="80">
        <f>C162*D162*E162</f>
        <v>4.8000000000000007</v>
      </c>
      <c r="G162" s="335">
        <f>K78</f>
        <v>0.73519999999999996</v>
      </c>
      <c r="H162" s="351">
        <f>F162*G162</f>
        <v>3.5289600000000005</v>
      </c>
      <c r="J162" s="321"/>
    </row>
    <row r="163" spans="2:10" ht="19.5" thickBot="1" x14ac:dyDescent="0.35">
      <c r="B163" s="61" t="s">
        <v>97</v>
      </c>
      <c r="C163" s="171"/>
      <c r="D163" s="118"/>
      <c r="E163" s="118"/>
      <c r="F163" s="118"/>
      <c r="H163" s="78">
        <f>SUM(H161:H162)</f>
        <v>144.68736000000001</v>
      </c>
      <c r="I163" s="301"/>
      <c r="J163" s="321"/>
    </row>
    <row r="164" spans="2:10" x14ac:dyDescent="0.25">
      <c r="B164" s="113"/>
      <c r="C164" s="113"/>
      <c r="D164" s="113"/>
      <c r="E164" s="113"/>
      <c r="F164" s="113"/>
      <c r="G164" s="113"/>
      <c r="H164" s="113"/>
      <c r="I164" s="301"/>
      <c r="J164" s="321"/>
    </row>
    <row r="165" spans="2:10" ht="15.75" thickBot="1" x14ac:dyDescent="0.3">
      <c r="B165" s="405" t="s">
        <v>272</v>
      </c>
      <c r="C165" s="405"/>
      <c r="D165" s="405"/>
      <c r="E165" s="405"/>
      <c r="F165" s="405"/>
      <c r="G165" s="405"/>
      <c r="H165" s="405"/>
      <c r="J165" s="321"/>
    </row>
    <row r="166" spans="2:10" ht="16.5" thickBot="1" x14ac:dyDescent="0.3">
      <c r="B166" s="402" t="s">
        <v>140</v>
      </c>
      <c r="C166" s="403"/>
      <c r="D166" s="403"/>
      <c r="E166" s="403"/>
      <c r="F166" s="404"/>
      <c r="G166" s="252"/>
      <c r="H166" s="113"/>
      <c r="J166" s="321"/>
    </row>
    <row r="167" spans="2:10" ht="15.75" thickBot="1" x14ac:dyDescent="0.3">
      <c r="B167" s="191" t="s">
        <v>23</v>
      </c>
      <c r="C167" s="278" t="s">
        <v>95</v>
      </c>
      <c r="D167" s="84" t="s">
        <v>416</v>
      </c>
      <c r="E167" s="49" t="s">
        <v>122</v>
      </c>
      <c r="F167" s="277" t="s">
        <v>96</v>
      </c>
      <c r="G167" s="113"/>
      <c r="H167" s="113"/>
      <c r="J167" s="321"/>
    </row>
    <row r="168" spans="2:10" x14ac:dyDescent="0.25">
      <c r="B168" s="25" t="s">
        <v>119</v>
      </c>
      <c r="C168" s="26">
        <v>1</v>
      </c>
      <c r="D168" s="336">
        <f>D85</f>
        <v>90</v>
      </c>
      <c r="E168" s="26">
        <v>12</v>
      </c>
      <c r="F168" s="348">
        <f>E168*D168*C168</f>
        <v>1080</v>
      </c>
      <c r="G168" s="113"/>
      <c r="H168" s="113"/>
      <c r="J168" s="321"/>
    </row>
    <row r="169" spans="2:10" ht="15.75" thickBot="1" x14ac:dyDescent="0.3">
      <c r="B169" s="60" t="s">
        <v>415</v>
      </c>
      <c r="C169" s="29">
        <v>1</v>
      </c>
      <c r="D169" s="337">
        <v>300</v>
      </c>
      <c r="E169" s="29">
        <v>1</v>
      </c>
      <c r="F169" s="351">
        <f>E169*D169*C169</f>
        <v>300</v>
      </c>
      <c r="G169" s="113"/>
      <c r="H169" s="113"/>
      <c r="J169" s="321"/>
    </row>
    <row r="170" spans="2:10" ht="19.5" thickBot="1" x14ac:dyDescent="0.35">
      <c r="B170" s="203" t="s">
        <v>97</v>
      </c>
      <c r="C170" s="113"/>
      <c r="D170" s="113"/>
      <c r="E170" s="113"/>
      <c r="F170" s="78">
        <f>SUM(F168:F169)</f>
        <v>1380</v>
      </c>
      <c r="G170" s="113"/>
      <c r="H170" s="113"/>
      <c r="J170" s="321"/>
    </row>
    <row r="171" spans="2:10" x14ac:dyDescent="0.25">
      <c r="B171" s="113"/>
      <c r="C171" s="113"/>
      <c r="D171" s="113"/>
      <c r="E171" s="113"/>
      <c r="F171" s="113"/>
      <c r="G171" s="113"/>
      <c r="H171" s="113"/>
      <c r="J171" s="321"/>
    </row>
    <row r="172" spans="2:10" ht="15.75" thickBot="1" x14ac:dyDescent="0.3">
      <c r="B172" s="405" t="s">
        <v>273</v>
      </c>
      <c r="C172" s="405"/>
      <c r="D172" s="405"/>
      <c r="E172" s="405"/>
      <c r="F172" s="405"/>
      <c r="G172" s="405"/>
      <c r="H172" s="405"/>
    </row>
    <row r="173" spans="2:10" ht="16.5" thickBot="1" x14ac:dyDescent="0.3">
      <c r="B173" s="434" t="s">
        <v>141</v>
      </c>
      <c r="C173" s="435"/>
      <c r="D173" s="435"/>
      <c r="E173" s="435"/>
      <c r="F173" s="436"/>
      <c r="G173" s="113"/>
      <c r="H173" s="113"/>
    </row>
    <row r="174" spans="2:10" ht="15.75" thickBot="1" x14ac:dyDescent="0.3">
      <c r="B174" s="192" t="s">
        <v>23</v>
      </c>
      <c r="C174" s="189" t="s">
        <v>95</v>
      </c>
      <c r="D174" s="189" t="s">
        <v>121</v>
      </c>
      <c r="E174" s="49" t="s">
        <v>122</v>
      </c>
      <c r="F174" s="188" t="s">
        <v>96</v>
      </c>
      <c r="H174" s="113"/>
    </row>
    <row r="175" spans="2:10" x14ac:dyDescent="0.25">
      <c r="B175" s="25" t="s">
        <v>408</v>
      </c>
      <c r="C175" s="26">
        <f>SUM(E11:E12)</f>
        <v>2</v>
      </c>
      <c r="D175" s="336">
        <v>50</v>
      </c>
      <c r="E175" s="26">
        <v>4</v>
      </c>
      <c r="F175" s="348">
        <f>D175*C175*E175</f>
        <v>400</v>
      </c>
      <c r="H175" s="113"/>
    </row>
    <row r="176" spans="2:10" ht="15.75" thickBot="1" x14ac:dyDescent="0.3">
      <c r="B176" s="28" t="s">
        <v>375</v>
      </c>
      <c r="C176" s="29">
        <f>E13</f>
        <v>1</v>
      </c>
      <c r="D176" s="337">
        <v>38</v>
      </c>
      <c r="E176" s="29">
        <v>5</v>
      </c>
      <c r="F176" s="351">
        <f>D176*C176*E176</f>
        <v>190</v>
      </c>
      <c r="H176" s="113"/>
    </row>
    <row r="177" spans="2:8" ht="19.5" thickBot="1" x14ac:dyDescent="0.35">
      <c r="B177" s="73" t="s">
        <v>97</v>
      </c>
      <c r="C177" s="113"/>
      <c r="D177" s="113"/>
      <c r="E177" s="113"/>
      <c r="F177" s="78">
        <f>SUM(F175:F176)</f>
        <v>590</v>
      </c>
      <c r="G177" s="113"/>
      <c r="H177" s="113"/>
    </row>
    <row r="178" spans="2:8" x14ac:dyDescent="0.25">
      <c r="C178" s="113"/>
      <c r="D178" s="113"/>
      <c r="E178" s="113"/>
      <c r="G178" s="113"/>
      <c r="H178" s="113"/>
    </row>
    <row r="179" spans="2:8" ht="15.75" thickBot="1" x14ac:dyDescent="0.3">
      <c r="B179" s="405" t="s">
        <v>274</v>
      </c>
      <c r="C179" s="405"/>
      <c r="D179" s="405"/>
      <c r="E179" s="405"/>
      <c r="F179" s="405"/>
      <c r="G179" s="405"/>
      <c r="H179" s="405"/>
    </row>
    <row r="180" spans="2:8" ht="16.5" thickBot="1" x14ac:dyDescent="0.3">
      <c r="B180" s="411" t="s">
        <v>142</v>
      </c>
      <c r="C180" s="412"/>
      <c r="D180" s="412"/>
      <c r="E180" s="412"/>
      <c r="F180" s="413"/>
      <c r="G180" s="113"/>
      <c r="H180" s="113"/>
    </row>
    <row r="181" spans="2:8" ht="15.75" thickBot="1" x14ac:dyDescent="0.3">
      <c r="B181" s="163" t="s">
        <v>23</v>
      </c>
      <c r="C181" s="190" t="s">
        <v>95</v>
      </c>
      <c r="D181" s="190" t="s">
        <v>121</v>
      </c>
      <c r="E181" s="190" t="s">
        <v>337</v>
      </c>
      <c r="F181" s="279" t="s">
        <v>96</v>
      </c>
      <c r="H181" s="113"/>
    </row>
    <row r="182" spans="2:8" x14ac:dyDescent="0.25">
      <c r="B182" s="363" t="s">
        <v>398</v>
      </c>
      <c r="C182" s="57">
        <f>SUM(E10:E11)</f>
        <v>1</v>
      </c>
      <c r="D182" s="336">
        <f>F11</f>
        <v>3500</v>
      </c>
      <c r="E182" s="364">
        <v>4</v>
      </c>
      <c r="F182" s="342">
        <f>D182*C182*(1/E182)</f>
        <v>875</v>
      </c>
      <c r="H182" s="113"/>
    </row>
    <row r="183" spans="2:8" x14ac:dyDescent="0.25">
      <c r="B183" s="292" t="s">
        <v>399</v>
      </c>
      <c r="C183" s="260">
        <v>1</v>
      </c>
      <c r="D183" s="338">
        <f>F12</f>
        <v>5000</v>
      </c>
      <c r="E183" s="288">
        <v>4</v>
      </c>
      <c r="F183" s="343">
        <f>D183*C183*(1/E183)</f>
        <v>1250</v>
      </c>
      <c r="H183" s="113"/>
    </row>
    <row r="184" spans="2:8" ht="15.75" thickBot="1" x14ac:dyDescent="0.3">
      <c r="B184" s="19" t="s">
        <v>375</v>
      </c>
      <c r="C184" s="80">
        <f>E13</f>
        <v>1</v>
      </c>
      <c r="D184" s="337">
        <v>600</v>
      </c>
      <c r="E184" s="289">
        <v>3</v>
      </c>
      <c r="F184" s="357">
        <f>D184*C184*(1/E184)</f>
        <v>200</v>
      </c>
      <c r="H184" s="113"/>
    </row>
    <row r="185" spans="2:8" ht="19.5" thickBot="1" x14ac:dyDescent="0.35">
      <c r="B185" s="73" t="s">
        <v>97</v>
      </c>
      <c r="C185" s="113"/>
      <c r="D185" s="113"/>
      <c r="E185" s="113"/>
      <c r="F185" s="78">
        <f>SUM(F183:F184)</f>
        <v>1450</v>
      </c>
      <c r="G185" s="113"/>
      <c r="H185" s="113"/>
    </row>
    <row r="186" spans="2:8" x14ac:dyDescent="0.25">
      <c r="B186" s="131"/>
      <c r="C186" s="113"/>
      <c r="D186" s="113"/>
      <c r="E186" s="113"/>
      <c r="F186" s="113"/>
      <c r="G186" s="113"/>
      <c r="H186" s="113"/>
    </row>
    <row r="187" spans="2:8" ht="21.75" thickBot="1" x14ac:dyDescent="0.3">
      <c r="B187" s="158" t="s">
        <v>136</v>
      </c>
      <c r="C187" s="113"/>
      <c r="D187" s="113"/>
      <c r="E187" s="113"/>
      <c r="F187" s="113"/>
      <c r="G187" s="113"/>
      <c r="H187" s="113"/>
    </row>
    <row r="188" spans="2:8" ht="21.75" thickBot="1" x14ac:dyDescent="0.35">
      <c r="B188" s="158" t="s">
        <v>143</v>
      </c>
      <c r="C188" s="74">
        <f>F147+F156+H163+F170+F177+F185</f>
        <v>5378.6873599999999</v>
      </c>
      <c r="D188" s="113"/>
      <c r="E188" s="113"/>
      <c r="F188" s="113"/>
      <c r="G188" s="113"/>
      <c r="H188" s="113"/>
    </row>
    <row r="189" spans="2:8" ht="15.75" thickBot="1" x14ac:dyDescent="0.3">
      <c r="B189" s="131"/>
      <c r="D189" s="113"/>
      <c r="E189" s="113"/>
      <c r="F189" s="113"/>
      <c r="G189" s="113"/>
      <c r="H189" s="113"/>
    </row>
    <row r="190" spans="2:8" ht="16.5" thickBot="1" x14ac:dyDescent="0.3">
      <c r="B190" s="406" t="s">
        <v>144</v>
      </c>
      <c r="C190" s="407"/>
      <c r="D190" s="408"/>
      <c r="E190" s="113"/>
      <c r="F190" s="113"/>
      <c r="G190" s="113"/>
      <c r="H190" s="113"/>
    </row>
    <row r="191" spans="2:8" ht="15.75" thickBot="1" x14ac:dyDescent="0.3">
      <c r="B191" s="48" t="s">
        <v>103</v>
      </c>
      <c r="C191" s="49" t="s">
        <v>104</v>
      </c>
      <c r="D191" s="50" t="s">
        <v>105</v>
      </c>
      <c r="E191" s="113"/>
      <c r="F191" s="113"/>
      <c r="G191" s="113"/>
      <c r="H191" s="113"/>
    </row>
    <row r="192" spans="2:8" x14ac:dyDescent="0.25">
      <c r="B192" s="51">
        <v>1</v>
      </c>
      <c r="C192" s="66" t="s">
        <v>127</v>
      </c>
      <c r="D192" s="348">
        <f>F147</f>
        <v>1700</v>
      </c>
      <c r="E192" s="113"/>
      <c r="F192" s="113"/>
      <c r="G192" s="113"/>
      <c r="H192" s="113"/>
    </row>
    <row r="193" spans="2:8" x14ac:dyDescent="0.25">
      <c r="B193" s="53">
        <v>2</v>
      </c>
      <c r="C193" s="65" t="s">
        <v>128</v>
      </c>
      <c r="D193" s="349">
        <f>F156</f>
        <v>114</v>
      </c>
      <c r="E193" s="113"/>
      <c r="F193" s="113"/>
      <c r="G193" s="113"/>
      <c r="H193" s="113"/>
    </row>
    <row r="194" spans="2:8" x14ac:dyDescent="0.25">
      <c r="B194" s="53">
        <v>3</v>
      </c>
      <c r="C194" s="65" t="s">
        <v>116</v>
      </c>
      <c r="D194" s="349">
        <f>H163</f>
        <v>144.68736000000001</v>
      </c>
      <c r="E194" s="113"/>
      <c r="F194" s="113"/>
      <c r="G194" s="113"/>
      <c r="H194" s="113"/>
    </row>
    <row r="195" spans="2:8" x14ac:dyDescent="0.25">
      <c r="B195" s="53">
        <v>4</v>
      </c>
      <c r="C195" s="65" t="s">
        <v>129</v>
      </c>
      <c r="D195" s="349">
        <f>F170</f>
        <v>1380</v>
      </c>
      <c r="E195" s="113"/>
      <c r="F195" s="113"/>
      <c r="G195" s="113"/>
      <c r="H195" s="113"/>
    </row>
    <row r="196" spans="2:8" x14ac:dyDescent="0.25">
      <c r="B196" s="53">
        <v>5</v>
      </c>
      <c r="C196" s="65" t="s">
        <v>145</v>
      </c>
      <c r="D196" s="349">
        <f>F177</f>
        <v>590</v>
      </c>
      <c r="E196" s="113"/>
      <c r="F196" s="113"/>
      <c r="G196" s="113"/>
      <c r="H196" s="113"/>
    </row>
    <row r="197" spans="2:8" ht="15.75" thickBot="1" x14ac:dyDescent="0.3">
      <c r="B197" s="52">
        <v>6</v>
      </c>
      <c r="C197" s="67" t="s">
        <v>146</v>
      </c>
      <c r="D197" s="344">
        <f>F185</f>
        <v>1450</v>
      </c>
      <c r="E197" s="113"/>
      <c r="F197" s="113"/>
      <c r="G197" s="113"/>
      <c r="H197" s="113"/>
    </row>
    <row r="198" spans="2:8" ht="19.5" thickBot="1" x14ac:dyDescent="0.35">
      <c r="B198" s="73" t="s">
        <v>97</v>
      </c>
      <c r="D198" s="78">
        <f>SUM(D192:D197)</f>
        <v>5378.6873599999999</v>
      </c>
      <c r="E198" s="113"/>
      <c r="F198" s="113"/>
      <c r="G198" s="113"/>
      <c r="H198" s="113"/>
    </row>
    <row r="199" spans="2:8" x14ac:dyDescent="0.25">
      <c r="B199" s="113"/>
      <c r="C199" s="113"/>
      <c r="D199" s="113"/>
      <c r="E199" s="113"/>
      <c r="F199" s="113"/>
      <c r="G199" s="113"/>
      <c r="H199" s="113"/>
    </row>
    <row r="200" spans="2:8" ht="19.5" thickBot="1" x14ac:dyDescent="0.35">
      <c r="B200" s="420" t="s">
        <v>147</v>
      </c>
      <c r="C200" s="420"/>
      <c r="D200" s="113"/>
      <c r="E200" s="113"/>
      <c r="F200" s="113"/>
      <c r="G200" s="113"/>
      <c r="H200" s="113"/>
    </row>
    <row r="201" spans="2:8" ht="15.75" thickBot="1" x14ac:dyDescent="0.3">
      <c r="B201" s="418" t="s">
        <v>148</v>
      </c>
      <c r="C201" s="419"/>
      <c r="D201" s="113"/>
      <c r="E201" s="113"/>
      <c r="F201" s="113"/>
      <c r="G201" s="113"/>
      <c r="H201" s="113"/>
    </row>
    <row r="202" spans="2:8" ht="15.75" thickBot="1" x14ac:dyDescent="0.3">
      <c r="B202" s="86" t="s">
        <v>149</v>
      </c>
      <c r="C202" s="87" t="s">
        <v>150</v>
      </c>
      <c r="D202" s="113"/>
      <c r="E202" s="113"/>
      <c r="F202" s="113"/>
      <c r="G202" s="113"/>
      <c r="H202" s="113"/>
    </row>
    <row r="203" spans="2:8" x14ac:dyDescent="0.25">
      <c r="B203" s="25" t="s">
        <v>152</v>
      </c>
      <c r="C203" s="342">
        <f>D46</f>
        <v>8604</v>
      </c>
      <c r="D203" s="113"/>
      <c r="E203" s="113"/>
      <c r="F203" s="113"/>
      <c r="G203" s="113"/>
      <c r="H203" s="113"/>
    </row>
    <row r="204" spans="2:8" x14ac:dyDescent="0.25">
      <c r="B204" s="27" t="s">
        <v>153</v>
      </c>
      <c r="C204" s="343">
        <f>D106</f>
        <v>40477.208329600006</v>
      </c>
      <c r="D204" s="113"/>
      <c r="E204" s="113"/>
      <c r="F204" s="113"/>
      <c r="G204" s="113"/>
      <c r="H204" s="113"/>
    </row>
    <row r="205" spans="2:8" x14ac:dyDescent="0.25">
      <c r="B205" s="27" t="s">
        <v>151</v>
      </c>
      <c r="C205" s="343">
        <f>D198</f>
        <v>5378.6873599999999</v>
      </c>
      <c r="D205" s="113"/>
      <c r="E205" s="113"/>
      <c r="F205" s="113"/>
      <c r="G205" s="113"/>
      <c r="H205" s="113"/>
    </row>
    <row r="206" spans="2:8" ht="15.75" thickBot="1" x14ac:dyDescent="0.3">
      <c r="B206" s="28" t="s">
        <v>131</v>
      </c>
      <c r="C206" s="344">
        <f>D131</f>
        <v>31380</v>
      </c>
      <c r="D206" s="113"/>
      <c r="E206" s="113"/>
      <c r="F206" s="113"/>
      <c r="G206" s="113"/>
      <c r="H206" s="113"/>
    </row>
    <row r="207" spans="2:8" x14ac:dyDescent="0.25">
      <c r="B207" s="113"/>
      <c r="C207" s="113"/>
      <c r="D207" s="113"/>
      <c r="E207" s="113"/>
      <c r="F207" s="113"/>
      <c r="G207" s="113"/>
      <c r="H207" s="113"/>
    </row>
    <row r="208" spans="2:8" x14ac:dyDescent="0.25">
      <c r="B208" s="113"/>
      <c r="C208" s="113"/>
      <c r="D208" s="113"/>
      <c r="E208" s="113"/>
      <c r="F208" s="113"/>
      <c r="G208" s="113"/>
      <c r="H208" s="113"/>
    </row>
    <row r="209" spans="2:8" ht="15.75" thickBot="1" x14ac:dyDescent="0.3">
      <c r="B209" s="113"/>
      <c r="C209" s="113"/>
      <c r="D209" s="113"/>
      <c r="E209" s="113"/>
      <c r="F209" s="113"/>
      <c r="G209" s="113"/>
      <c r="H209" s="113"/>
    </row>
    <row r="210" spans="2:8" ht="15.75" thickBot="1" x14ac:dyDescent="0.3">
      <c r="B210" s="409" t="s">
        <v>295</v>
      </c>
      <c r="C210" s="409"/>
      <c r="D210" s="409"/>
      <c r="E210" s="409"/>
      <c r="F210" s="409"/>
      <c r="G210" s="409"/>
      <c r="H210" s="409"/>
    </row>
    <row r="211" spans="2:8" ht="15.75" thickBot="1" x14ac:dyDescent="0.3">
      <c r="B211" s="422" t="s">
        <v>275</v>
      </c>
      <c r="C211" s="423"/>
      <c r="D211" s="423"/>
      <c r="E211" s="423"/>
      <c r="F211" s="424"/>
      <c r="G211" s="113"/>
      <c r="H211" s="113"/>
    </row>
    <row r="212" spans="2:8" ht="16.5" thickBot="1" x14ac:dyDescent="0.3">
      <c r="B212" s="205" t="s">
        <v>23</v>
      </c>
      <c r="C212" s="206" t="s">
        <v>154</v>
      </c>
      <c r="D212" s="206" t="s">
        <v>155</v>
      </c>
      <c r="E212" s="89" t="s">
        <v>156</v>
      </c>
      <c r="F212" s="207" t="s">
        <v>157</v>
      </c>
      <c r="G212" s="113"/>
      <c r="H212" s="113"/>
    </row>
    <row r="213" spans="2:8" ht="15.75" x14ac:dyDescent="0.25">
      <c r="B213" s="90" t="s">
        <v>161</v>
      </c>
      <c r="C213" s="104">
        <f>SUM(C214:C216)</f>
        <v>8604</v>
      </c>
      <c r="D213" s="39"/>
      <c r="E213" s="39"/>
      <c r="F213" s="40"/>
      <c r="G213" s="113"/>
      <c r="H213" s="113"/>
    </row>
    <row r="214" spans="2:8" x14ac:dyDescent="0.25">
      <c r="B214" s="91" t="s">
        <v>158</v>
      </c>
      <c r="C214" s="374">
        <f>D43</f>
        <v>8500</v>
      </c>
      <c r="D214" s="10"/>
      <c r="E214" s="10"/>
      <c r="F214" s="41"/>
      <c r="G214" s="113"/>
      <c r="H214" s="113"/>
    </row>
    <row r="215" spans="2:8" x14ac:dyDescent="0.25">
      <c r="B215" s="91" t="s">
        <v>159</v>
      </c>
      <c r="C215" s="374">
        <f>D44</f>
        <v>104</v>
      </c>
      <c r="D215" s="10"/>
      <c r="E215" s="10"/>
      <c r="F215" s="41"/>
      <c r="G215" s="113"/>
      <c r="H215" s="113"/>
    </row>
    <row r="216" spans="2:8" ht="15.75" thickBot="1" x14ac:dyDescent="0.3">
      <c r="B216" s="95" t="s">
        <v>160</v>
      </c>
      <c r="C216" s="374">
        <f>D45</f>
        <v>0</v>
      </c>
      <c r="D216" s="76"/>
      <c r="E216" s="76"/>
      <c r="F216" s="96"/>
      <c r="G216" s="113"/>
      <c r="H216" s="113"/>
    </row>
    <row r="217" spans="2:8" ht="15.75" x14ac:dyDescent="0.25">
      <c r="B217" s="90" t="s">
        <v>162</v>
      </c>
      <c r="C217" s="104">
        <f>SUM(C218:C222)</f>
        <v>40477.208329600006</v>
      </c>
      <c r="D217" s="39"/>
      <c r="E217" s="39"/>
      <c r="F217" s="40"/>
      <c r="G217" s="113"/>
      <c r="H217" s="113"/>
    </row>
    <row r="218" spans="2:8" x14ac:dyDescent="0.25">
      <c r="B218" s="92" t="s">
        <v>163</v>
      </c>
      <c r="C218" s="374">
        <f>D101</f>
        <v>35358.600000000006</v>
      </c>
      <c r="D218" s="10"/>
      <c r="E218" s="10"/>
      <c r="F218" s="41"/>
      <c r="G218" s="113"/>
      <c r="H218" s="113"/>
    </row>
    <row r="219" spans="2:8" x14ac:dyDescent="0.25">
      <c r="B219" s="92" t="s">
        <v>164</v>
      </c>
      <c r="C219" s="374">
        <f>D102</f>
        <v>103.6</v>
      </c>
      <c r="D219" s="10"/>
      <c r="E219" s="10"/>
      <c r="F219" s="41"/>
      <c r="G219" s="113"/>
      <c r="H219" s="113"/>
    </row>
    <row r="220" spans="2:8" x14ac:dyDescent="0.25">
      <c r="B220" s="92" t="s">
        <v>165</v>
      </c>
      <c r="C220" s="374">
        <f>D103</f>
        <v>2163.5083296000007</v>
      </c>
      <c r="D220" s="10"/>
      <c r="E220" s="10"/>
      <c r="F220" s="41"/>
      <c r="G220" s="113"/>
      <c r="H220" s="113"/>
    </row>
    <row r="221" spans="2:8" x14ac:dyDescent="0.25">
      <c r="B221" s="92" t="s">
        <v>166</v>
      </c>
      <c r="C221" s="374">
        <f>D104</f>
        <v>2281.2000000000003</v>
      </c>
      <c r="D221" s="10"/>
      <c r="E221" s="10"/>
      <c r="F221" s="41"/>
      <c r="G221" s="113"/>
      <c r="H221" s="113"/>
    </row>
    <row r="222" spans="2:8" x14ac:dyDescent="0.25">
      <c r="B222" s="92" t="s">
        <v>330</v>
      </c>
      <c r="C222" s="374">
        <f>D105</f>
        <v>570.30000000000007</v>
      </c>
      <c r="D222" s="76"/>
      <c r="E222" s="76"/>
      <c r="F222" s="96"/>
      <c r="G222" s="113"/>
      <c r="H222" s="113"/>
    </row>
    <row r="223" spans="2:8" ht="16.5" thickBot="1" x14ac:dyDescent="0.3">
      <c r="B223" s="100" t="s">
        <v>167</v>
      </c>
      <c r="C223" s="103">
        <f>C213+C217</f>
        <v>49081.208329600006</v>
      </c>
      <c r="D223" s="76"/>
      <c r="E223" s="76"/>
      <c r="F223" s="96"/>
      <c r="G223" s="113"/>
      <c r="H223" s="113"/>
    </row>
    <row r="224" spans="2:8" x14ac:dyDescent="0.25">
      <c r="B224" s="90" t="s">
        <v>168</v>
      </c>
      <c r="C224" s="39"/>
      <c r="D224" s="39"/>
      <c r="E224" s="39"/>
      <c r="F224" s="40"/>
      <c r="G224" s="113"/>
      <c r="H224" s="113"/>
    </row>
    <row r="225" spans="2:8" x14ac:dyDescent="0.25">
      <c r="B225" s="92" t="s">
        <v>169</v>
      </c>
      <c r="C225" s="10"/>
      <c r="D225" s="374">
        <f t="shared" ref="D225:D231" si="1">D192</f>
        <v>1700</v>
      </c>
      <c r="E225" s="374">
        <f>D225</f>
        <v>1700</v>
      </c>
      <c r="F225" s="375">
        <f>E225</f>
        <v>1700</v>
      </c>
      <c r="G225" s="113"/>
      <c r="H225" s="113"/>
    </row>
    <row r="226" spans="2:8" x14ac:dyDescent="0.25">
      <c r="B226" s="92" t="s">
        <v>164</v>
      </c>
      <c r="C226" s="10"/>
      <c r="D226" s="374">
        <f t="shared" si="1"/>
        <v>114</v>
      </c>
      <c r="E226" s="374">
        <f t="shared" ref="E226:F231" si="2">D226</f>
        <v>114</v>
      </c>
      <c r="F226" s="375">
        <f t="shared" si="2"/>
        <v>114</v>
      </c>
      <c r="G226" s="113"/>
      <c r="H226" s="113"/>
    </row>
    <row r="227" spans="2:8" x14ac:dyDescent="0.25">
      <c r="B227" s="92" t="s">
        <v>170</v>
      </c>
      <c r="C227" s="10"/>
      <c r="D227" s="374">
        <f t="shared" si="1"/>
        <v>144.68736000000001</v>
      </c>
      <c r="E227" s="374">
        <f t="shared" si="2"/>
        <v>144.68736000000001</v>
      </c>
      <c r="F227" s="375">
        <f t="shared" si="2"/>
        <v>144.68736000000001</v>
      </c>
      <c r="G227" s="113"/>
      <c r="H227" s="113"/>
    </row>
    <row r="228" spans="2:8" x14ac:dyDescent="0.25">
      <c r="B228" s="92" t="s">
        <v>171</v>
      </c>
      <c r="C228" s="10"/>
      <c r="D228" s="374">
        <f t="shared" si="1"/>
        <v>1380</v>
      </c>
      <c r="E228" s="374">
        <f t="shared" si="2"/>
        <v>1380</v>
      </c>
      <c r="F228" s="375">
        <f t="shared" si="2"/>
        <v>1380</v>
      </c>
      <c r="G228" s="113"/>
      <c r="H228" s="113"/>
    </row>
    <row r="229" spans="2:8" x14ac:dyDescent="0.25">
      <c r="B229" s="92" t="s">
        <v>172</v>
      </c>
      <c r="C229" s="10"/>
      <c r="D229" s="374">
        <f t="shared" si="1"/>
        <v>590</v>
      </c>
      <c r="E229" s="374">
        <f t="shared" si="2"/>
        <v>590</v>
      </c>
      <c r="F229" s="375">
        <f t="shared" si="2"/>
        <v>590</v>
      </c>
      <c r="G229" s="113"/>
      <c r="H229" s="113"/>
    </row>
    <row r="230" spans="2:8" x14ac:dyDescent="0.25">
      <c r="B230" s="92" t="s">
        <v>173</v>
      </c>
      <c r="C230" s="10"/>
      <c r="D230" s="374">
        <f t="shared" si="1"/>
        <v>1450</v>
      </c>
      <c r="E230" s="374">
        <f t="shared" si="2"/>
        <v>1450</v>
      </c>
      <c r="F230" s="375">
        <f t="shared" si="2"/>
        <v>1450</v>
      </c>
      <c r="G230" s="113"/>
      <c r="H230" s="113"/>
    </row>
    <row r="231" spans="2:8" ht="16.5" thickBot="1" x14ac:dyDescent="0.3">
      <c r="B231" s="97" t="s">
        <v>174</v>
      </c>
      <c r="C231" s="42"/>
      <c r="D231" s="101">
        <f t="shared" si="1"/>
        <v>5378.6873599999999</v>
      </c>
      <c r="E231" s="101">
        <f t="shared" si="2"/>
        <v>5378.6873599999999</v>
      </c>
      <c r="F231" s="102">
        <f t="shared" si="2"/>
        <v>5378.6873599999999</v>
      </c>
      <c r="G231" s="113"/>
      <c r="H231" s="113"/>
    </row>
    <row r="232" spans="2:8" x14ac:dyDescent="0.25">
      <c r="B232" s="90" t="s">
        <v>175</v>
      </c>
      <c r="C232" s="39"/>
      <c r="D232" s="39"/>
      <c r="E232" s="39"/>
      <c r="F232" s="40"/>
      <c r="G232" s="113"/>
      <c r="H232" s="113"/>
    </row>
    <row r="233" spans="2:8" x14ac:dyDescent="0.25">
      <c r="B233" s="92" t="s">
        <v>176</v>
      </c>
      <c r="C233" s="10"/>
      <c r="D233" s="10"/>
      <c r="E233" s="10"/>
      <c r="F233" s="41"/>
      <c r="G233" s="113"/>
      <c r="H233" s="113"/>
    </row>
    <row r="234" spans="2:8" x14ac:dyDescent="0.25">
      <c r="B234" s="93" t="s">
        <v>177</v>
      </c>
      <c r="C234" s="10"/>
      <c r="D234" s="374">
        <f>D129</f>
        <v>30720</v>
      </c>
      <c r="E234" s="374">
        <f>D234</f>
        <v>30720</v>
      </c>
      <c r="F234" s="375">
        <f>E234</f>
        <v>30720</v>
      </c>
      <c r="G234" s="113"/>
      <c r="H234" s="113"/>
    </row>
    <row r="235" spans="2:8" x14ac:dyDescent="0.25">
      <c r="B235" s="93" t="s">
        <v>178</v>
      </c>
      <c r="C235" s="10"/>
      <c r="D235" s="374">
        <f>D130</f>
        <v>660</v>
      </c>
      <c r="E235" s="374">
        <f t="shared" ref="E235:F236" si="3">D235</f>
        <v>660</v>
      </c>
      <c r="F235" s="375">
        <f t="shared" si="3"/>
        <v>660</v>
      </c>
      <c r="G235" s="113"/>
      <c r="H235" s="113"/>
    </row>
    <row r="236" spans="2:8" ht="15.75" thickBot="1" x14ac:dyDescent="0.3">
      <c r="B236" s="94" t="s">
        <v>179</v>
      </c>
      <c r="C236" s="42"/>
      <c r="D236" s="99">
        <f>SUM(D234:D235)</f>
        <v>31380</v>
      </c>
      <c r="E236" s="99">
        <f t="shared" si="3"/>
        <v>31380</v>
      </c>
      <c r="F236" s="105">
        <f t="shared" si="3"/>
        <v>31380</v>
      </c>
      <c r="G236" s="113"/>
      <c r="H236" s="113"/>
    </row>
    <row r="237" spans="2:8" ht="15.75" thickBot="1" x14ac:dyDescent="0.3">
      <c r="B237" s="98" t="s">
        <v>180</v>
      </c>
      <c r="C237" s="107">
        <f>0-C223</f>
        <v>-49081.208329600006</v>
      </c>
      <c r="D237" s="106">
        <f>D236-D231</f>
        <v>26001.31264</v>
      </c>
      <c r="E237" s="106">
        <f t="shared" ref="E237" si="4">E236-E231</f>
        <v>26001.31264</v>
      </c>
      <c r="F237" s="106">
        <f>F236-F231</f>
        <v>26001.31264</v>
      </c>
      <c r="G237" s="113"/>
      <c r="H237" s="113"/>
    </row>
    <row r="238" spans="2:8" x14ac:dyDescent="0.25">
      <c r="B238" s="113"/>
      <c r="C238" s="258"/>
      <c r="D238" s="113"/>
      <c r="E238" s="113"/>
      <c r="F238" s="113"/>
      <c r="G238" s="113"/>
      <c r="H238" s="113"/>
    </row>
    <row r="239" spans="2:8" ht="15.75" thickBot="1" x14ac:dyDescent="0.3">
      <c r="B239" s="113"/>
      <c r="C239" s="113"/>
      <c r="D239" s="113"/>
      <c r="E239" s="113"/>
      <c r="F239" s="113"/>
      <c r="G239" s="113"/>
      <c r="H239" s="113"/>
    </row>
    <row r="240" spans="2:8" x14ac:dyDescent="0.25">
      <c r="B240" s="409" t="s">
        <v>278</v>
      </c>
      <c r="C240" s="409"/>
      <c r="D240" s="409"/>
      <c r="E240" s="409"/>
      <c r="F240" s="409"/>
      <c r="G240" s="409"/>
      <c r="H240" s="409"/>
    </row>
    <row r="241" spans="2:11" ht="18.75" x14ac:dyDescent="0.3">
      <c r="B241" s="88" t="s">
        <v>297</v>
      </c>
      <c r="C241" s="113"/>
      <c r="D241" s="113"/>
      <c r="E241" s="113"/>
      <c r="F241" s="113"/>
      <c r="G241" s="113"/>
      <c r="H241" s="113"/>
      <c r="J241" s="243" t="s">
        <v>309</v>
      </c>
      <c r="K241" s="243" t="s">
        <v>201</v>
      </c>
    </row>
    <row r="242" spans="2:11" ht="18.75" x14ac:dyDescent="0.25">
      <c r="B242" s="113"/>
      <c r="C242" s="144" t="s">
        <v>287</v>
      </c>
      <c r="D242" s="113" t="s">
        <v>181</v>
      </c>
      <c r="E242" s="113"/>
      <c r="F242" s="160" t="s">
        <v>268</v>
      </c>
      <c r="G242" s="113"/>
      <c r="H242" s="113"/>
      <c r="J242" s="241">
        <v>0.1</v>
      </c>
      <c r="K242" s="55">
        <f>$C$250+($D$250/POWER((1+J242),1))+($E$250/POWER((1+J242),2))+($F$250/POWER((1+J242),3))</f>
        <v>15580.207777387212</v>
      </c>
    </row>
    <row r="243" spans="2:11" x14ac:dyDescent="0.25">
      <c r="B243" s="113"/>
      <c r="C243" s="144" t="s">
        <v>286</v>
      </c>
      <c r="D243" s="113" t="s">
        <v>182</v>
      </c>
      <c r="E243" s="113"/>
      <c r="F243" s="113"/>
      <c r="J243" s="241">
        <v>0.2</v>
      </c>
      <c r="K243" s="55">
        <f>$C$250+($D$250/POWER((1+J243),1))+($E$250/POWER((1+J243),2))+($F$250/POWER((1+J243),3))</f>
        <v>5690.0752407703676</v>
      </c>
    </row>
    <row r="244" spans="2:11" ht="15.75" thickBot="1" x14ac:dyDescent="0.3">
      <c r="B244" s="113"/>
      <c r="C244" s="144" t="s">
        <v>290</v>
      </c>
      <c r="D244" s="113" t="s">
        <v>183</v>
      </c>
      <c r="E244" s="113"/>
      <c r="F244" s="371" t="s">
        <v>466</v>
      </c>
      <c r="G244" s="373"/>
      <c r="H244" s="371"/>
      <c r="I244" s="372"/>
      <c r="J244" s="244">
        <f>D263</f>
        <v>0.27290163662274924</v>
      </c>
      <c r="K244" s="245">
        <f>$C$250+($D$250/POWER((1+J244),1))+($E$250/POWER((1+J244),2))+($F$250/POWER((1+J244),3))</f>
        <v>3.3051037462428212E-9</v>
      </c>
    </row>
    <row r="245" spans="2:11" x14ac:dyDescent="0.25">
      <c r="B245" s="113"/>
      <c r="C245" s="144" t="s">
        <v>288</v>
      </c>
      <c r="D245" s="113" t="s">
        <v>308</v>
      </c>
      <c r="E245" s="313">
        <v>0.1145</v>
      </c>
      <c r="F245" s="339" t="s">
        <v>465</v>
      </c>
      <c r="J245" s="241">
        <v>0.3</v>
      </c>
      <c r="K245" s="55">
        <f>$C$250+($D$250/POWER((1+J245),1))+($E$250/POWER((1+J245),2))+($F$250/POWER((1+J245),3))</f>
        <v>-1859.889515945024</v>
      </c>
    </row>
    <row r="246" spans="2:11" ht="15.75" thickBot="1" x14ac:dyDescent="0.3">
      <c r="B246" s="113"/>
      <c r="C246" s="144" t="s">
        <v>289</v>
      </c>
      <c r="D246" s="113" t="s">
        <v>296</v>
      </c>
      <c r="E246" s="118">
        <v>3</v>
      </c>
      <c r="J246" s="241">
        <v>0.4</v>
      </c>
      <c r="K246" s="55">
        <f>$C$250+($D$250/POWER((1+J246),1))+($E$250/POWER((1+J246),2))+($F$250/POWER((1+J246),3))</f>
        <v>-7767.1692951976675</v>
      </c>
    </row>
    <row r="247" spans="2:11" ht="21.75" thickBot="1" x14ac:dyDescent="0.4">
      <c r="B247" s="178" t="s">
        <v>186</v>
      </c>
      <c r="C247" s="74">
        <f>$C$250+(D250/D251)+(E250/E251)+(F250/F251)</f>
        <v>13964.564280068822</v>
      </c>
      <c r="D247" s="113"/>
      <c r="E247" s="113"/>
      <c r="F247" s="113"/>
      <c r="G247" s="113"/>
      <c r="H247" s="113"/>
      <c r="J247" s="242">
        <v>0.5</v>
      </c>
      <c r="K247" s="55">
        <f t="shared" ref="K247:K252" si="5">$C$250+($D$250/POWER((1+J247),1))+($E$250/POWER((1+J247),2))+($F$250/POWER((1+J247),3))</f>
        <v>-12486.768317748152</v>
      </c>
    </row>
    <row r="248" spans="2:11" ht="21.75" thickBot="1" x14ac:dyDescent="0.4">
      <c r="B248" s="178"/>
      <c r="C248" s="166"/>
      <c r="D248" s="113"/>
      <c r="E248" s="113"/>
      <c r="F248" s="113"/>
      <c r="G248" s="113"/>
      <c r="H248" s="113"/>
      <c r="J248" s="241">
        <v>0.6</v>
      </c>
      <c r="K248" s="55">
        <f t="shared" si="5"/>
        <v>-16325.648460850012</v>
      </c>
    </row>
    <row r="249" spans="2:11" ht="21.75" thickBot="1" x14ac:dyDescent="0.4">
      <c r="B249" s="178"/>
      <c r="C249" s="225" t="s">
        <v>191</v>
      </c>
      <c r="D249" s="226" t="s">
        <v>155</v>
      </c>
      <c r="E249" s="226" t="s">
        <v>156</v>
      </c>
      <c r="F249" s="227" t="s">
        <v>157</v>
      </c>
      <c r="G249" s="113"/>
      <c r="H249" s="370"/>
      <c r="J249" s="241">
        <v>0.7</v>
      </c>
      <c r="K249" s="55">
        <f t="shared" si="5"/>
        <v>-19496.975140591254</v>
      </c>
    </row>
    <row r="250" spans="2:11" ht="15.75" x14ac:dyDescent="0.25">
      <c r="B250" s="224" t="s">
        <v>301</v>
      </c>
      <c r="C250" s="223">
        <f>$C$237</f>
        <v>-49081.208329600006</v>
      </c>
      <c r="D250" s="56">
        <f>$D$237</f>
        <v>26001.31264</v>
      </c>
      <c r="E250" s="56">
        <f>$E$237</f>
        <v>26001.31264</v>
      </c>
      <c r="F250" s="54">
        <f>$F$237</f>
        <v>26001.31264</v>
      </c>
      <c r="G250" s="113"/>
      <c r="H250" s="370"/>
      <c r="J250" s="241">
        <v>0.8</v>
      </c>
      <c r="K250" s="55">
        <f t="shared" si="5"/>
        <v>-22152.551205868873</v>
      </c>
    </row>
    <row r="251" spans="2:11" ht="19.5" thickBot="1" x14ac:dyDescent="0.35">
      <c r="B251" s="224" t="s">
        <v>10</v>
      </c>
      <c r="C251" s="220"/>
      <c r="D251" s="221">
        <f>POWER((1+$E$245),1)</f>
        <v>1.1145</v>
      </c>
      <c r="E251" s="221">
        <f>POWER((1+$E$245),2)</f>
        <v>1.2421102500000001</v>
      </c>
      <c r="F251" s="222">
        <f>POWER((1+$E$245),3)</f>
        <v>1.3843318736250001</v>
      </c>
      <c r="G251" s="113"/>
      <c r="H251" s="113"/>
      <c r="J251" s="241">
        <v>0.9</v>
      </c>
      <c r="K251" s="55">
        <f t="shared" si="5"/>
        <v>-24402.895851629451</v>
      </c>
    </row>
    <row r="252" spans="2:11" x14ac:dyDescent="0.25">
      <c r="B252" s="113"/>
      <c r="C252" s="113"/>
      <c r="D252" s="113"/>
      <c r="E252" s="113"/>
      <c r="F252" s="113"/>
      <c r="G252" s="113"/>
      <c r="H252" s="113"/>
      <c r="J252" s="241">
        <v>1</v>
      </c>
      <c r="K252" s="55">
        <f t="shared" si="5"/>
        <v>-26330.059769600004</v>
      </c>
    </row>
    <row r="253" spans="2:11" ht="18.75" x14ac:dyDescent="0.3">
      <c r="B253" s="181" t="s">
        <v>298</v>
      </c>
      <c r="C253" s="113"/>
      <c r="D253" s="113"/>
      <c r="E253" s="113"/>
      <c r="F253" s="113"/>
      <c r="G253" s="113"/>
      <c r="H253" s="113"/>
    </row>
    <row r="254" spans="2:11" ht="18.75" x14ac:dyDescent="0.25">
      <c r="B254" s="113"/>
      <c r="C254" s="120" t="s">
        <v>291</v>
      </c>
      <c r="D254" s="113" t="s">
        <v>181</v>
      </c>
      <c r="E254" s="113"/>
      <c r="F254" s="160" t="s">
        <v>283</v>
      </c>
      <c r="G254" s="113"/>
      <c r="H254" s="113"/>
    </row>
    <row r="255" spans="2:11" x14ac:dyDescent="0.25">
      <c r="B255" s="113"/>
      <c r="C255" s="120" t="s">
        <v>289</v>
      </c>
      <c r="D255" s="113" t="s">
        <v>187</v>
      </c>
      <c r="E255" s="113"/>
      <c r="F255" s="113"/>
      <c r="G255" s="113"/>
      <c r="H255" s="113"/>
    </row>
    <row r="256" spans="2:11" x14ac:dyDescent="0.25">
      <c r="B256" s="113"/>
      <c r="C256" s="121" t="s">
        <v>276</v>
      </c>
      <c r="D256" s="113" t="s">
        <v>189</v>
      </c>
      <c r="E256" s="113"/>
      <c r="F256" s="113"/>
      <c r="G256" s="113"/>
      <c r="H256" s="113"/>
    </row>
    <row r="257" spans="2:8" ht="18" x14ac:dyDescent="0.35">
      <c r="B257" s="113"/>
      <c r="C257" s="121" t="s">
        <v>292</v>
      </c>
      <c r="D257" s="113" t="s">
        <v>190</v>
      </c>
      <c r="E257" s="113"/>
      <c r="F257" s="113"/>
      <c r="G257" s="113"/>
      <c r="H257" s="113"/>
    </row>
    <row r="258" spans="2:8" x14ac:dyDescent="0.25">
      <c r="B258" s="113"/>
      <c r="C258" s="113"/>
      <c r="D258" s="113"/>
      <c r="E258" s="113"/>
      <c r="F258" s="113"/>
      <c r="G258" s="113"/>
      <c r="H258" s="113"/>
    </row>
    <row r="259" spans="2:8" ht="15.75" thickBot="1" x14ac:dyDescent="0.3">
      <c r="B259" s="113"/>
      <c r="C259" s="113"/>
      <c r="D259" s="113"/>
      <c r="E259" s="113"/>
      <c r="F259" s="113"/>
      <c r="G259" s="113"/>
      <c r="H259" s="113"/>
    </row>
    <row r="260" spans="2:8" ht="19.5" customHeight="1" thickBot="1" x14ac:dyDescent="0.3">
      <c r="B260" s="113"/>
      <c r="C260" s="228" t="s">
        <v>191</v>
      </c>
      <c r="D260" s="229" t="s">
        <v>155</v>
      </c>
      <c r="E260" s="229" t="s">
        <v>156</v>
      </c>
      <c r="F260" s="230" t="s">
        <v>157</v>
      </c>
      <c r="G260" s="113"/>
      <c r="H260" s="113"/>
    </row>
    <row r="261" spans="2:8" ht="15.75" x14ac:dyDescent="0.25">
      <c r="B261" s="224" t="s">
        <v>301</v>
      </c>
      <c r="C261" s="223">
        <f>$C$237</f>
        <v>-49081.208329600006</v>
      </c>
      <c r="D261" s="56">
        <f>$D$237</f>
        <v>26001.31264</v>
      </c>
      <c r="E261" s="56">
        <f>$E$237</f>
        <v>26001.31264</v>
      </c>
      <c r="F261" s="54">
        <f>$F$237</f>
        <v>26001.31264</v>
      </c>
      <c r="G261" s="113"/>
      <c r="H261" s="113"/>
    </row>
    <row r="262" spans="2:8" ht="16.5" thickBot="1" x14ac:dyDescent="0.3">
      <c r="B262" s="224"/>
      <c r="C262" s="113"/>
      <c r="D262" s="113"/>
      <c r="E262" s="113"/>
      <c r="F262" s="113"/>
      <c r="G262" s="113"/>
      <c r="H262" s="113"/>
    </row>
    <row r="263" spans="2:8" ht="21.75" thickBot="1" x14ac:dyDescent="0.4">
      <c r="B263" s="113"/>
      <c r="C263" s="178" t="s">
        <v>277</v>
      </c>
      <c r="D263" s="186">
        <f>IRR(C261:F261)</f>
        <v>0.27290163662274924</v>
      </c>
      <c r="E263" s="113"/>
      <c r="F263" s="113"/>
      <c r="G263" s="113"/>
      <c r="H263" s="113"/>
    </row>
    <row r="264" spans="2:8" x14ac:dyDescent="0.25">
      <c r="B264" s="113"/>
      <c r="C264" s="113"/>
      <c r="D264" s="113"/>
      <c r="E264" s="113"/>
      <c r="F264" s="113"/>
      <c r="G264" s="113"/>
      <c r="H264" s="113"/>
    </row>
    <row r="265" spans="2:8" x14ac:dyDescent="0.25">
      <c r="B265" s="113"/>
      <c r="C265" s="113"/>
      <c r="D265" s="113"/>
      <c r="E265" s="113"/>
      <c r="F265" s="113"/>
      <c r="G265" s="113"/>
      <c r="H265" s="113"/>
    </row>
    <row r="266" spans="2:8" ht="18.75" x14ac:dyDescent="0.3">
      <c r="B266" s="421" t="s">
        <v>299</v>
      </c>
      <c r="C266" s="421"/>
      <c r="D266" s="113"/>
      <c r="E266" s="113"/>
      <c r="F266" s="113"/>
      <c r="G266" s="113"/>
      <c r="H266" s="113"/>
    </row>
    <row r="267" spans="2:8" x14ac:dyDescent="0.25">
      <c r="B267" s="113"/>
      <c r="C267" s="113"/>
      <c r="D267" s="113"/>
      <c r="E267" s="113"/>
      <c r="G267" s="113"/>
      <c r="H267" s="113"/>
    </row>
    <row r="268" spans="2:8" ht="16.5" customHeight="1" x14ac:dyDescent="0.25">
      <c r="B268" s="154" t="s">
        <v>450</v>
      </c>
      <c r="C268" s="144" t="s">
        <v>196</v>
      </c>
      <c r="D268" s="136" t="s">
        <v>193</v>
      </c>
      <c r="E268" s="113"/>
      <c r="F268" s="160" t="s">
        <v>282</v>
      </c>
      <c r="G268" s="113"/>
      <c r="H268" s="113"/>
    </row>
    <row r="269" spans="2:8" x14ac:dyDescent="0.25">
      <c r="B269" s="113"/>
      <c r="C269" s="144" t="s">
        <v>456</v>
      </c>
      <c r="D269" s="136" t="s">
        <v>457</v>
      </c>
      <c r="E269" s="113"/>
      <c r="F269" s="113"/>
      <c r="G269" s="113"/>
      <c r="H269" s="113"/>
    </row>
    <row r="270" spans="2:8" x14ac:dyDescent="0.25">
      <c r="B270" s="113"/>
      <c r="C270" s="123" t="s">
        <v>455</v>
      </c>
      <c r="D270" s="136" t="s">
        <v>458</v>
      </c>
      <c r="E270" s="113"/>
      <c r="F270" s="113"/>
      <c r="G270" s="113"/>
      <c r="H270" s="113"/>
    </row>
    <row r="271" spans="2:8" x14ac:dyDescent="0.25">
      <c r="B271" s="113"/>
      <c r="C271" s="113"/>
      <c r="D271" s="113"/>
      <c r="E271" s="113"/>
      <c r="F271" s="113"/>
      <c r="G271" s="113"/>
      <c r="H271" s="113"/>
    </row>
    <row r="272" spans="2:8" ht="18" customHeight="1" x14ac:dyDescent="0.25">
      <c r="B272" s="233" t="s">
        <v>451</v>
      </c>
      <c r="C272" s="113"/>
      <c r="D272" s="113"/>
      <c r="E272" s="113"/>
      <c r="F272" s="113"/>
      <c r="G272" s="113"/>
      <c r="H272" s="113"/>
    </row>
    <row r="273" spans="2:8" ht="18.75" x14ac:dyDescent="0.25">
      <c r="B273" s="113"/>
      <c r="C273" s="119" t="s">
        <v>293</v>
      </c>
      <c r="D273" s="113"/>
      <c r="E273" s="113"/>
      <c r="F273" s="160" t="s">
        <v>281</v>
      </c>
      <c r="G273" s="113"/>
      <c r="H273" s="113"/>
    </row>
    <row r="274" spans="2:8" x14ac:dyDescent="0.25">
      <c r="B274" s="113"/>
      <c r="C274" s="113" t="s">
        <v>294</v>
      </c>
      <c r="D274" s="113"/>
      <c r="E274" s="113"/>
      <c r="F274" s="113"/>
      <c r="G274" s="113"/>
      <c r="H274" s="113"/>
    </row>
    <row r="275" spans="2:8" ht="15.75" thickBot="1" x14ac:dyDescent="0.3">
      <c r="B275" s="113"/>
      <c r="C275" s="113" t="s">
        <v>302</v>
      </c>
      <c r="D275" s="113"/>
      <c r="E275" s="113"/>
      <c r="F275" s="113"/>
      <c r="G275" s="113"/>
      <c r="H275" s="113"/>
    </row>
    <row r="276" spans="2:8" ht="19.5" thickBot="1" x14ac:dyDescent="0.35">
      <c r="B276" s="180" t="s">
        <v>453</v>
      </c>
      <c r="C276" s="74">
        <f>(C279/C280)+(D279/D280)+(E279/E280)+(F279/F280)</f>
        <v>76087.556496971054</v>
      </c>
      <c r="D276" s="113"/>
      <c r="E276" s="113"/>
      <c r="F276" s="113"/>
      <c r="G276" s="113"/>
      <c r="H276" s="113"/>
    </row>
    <row r="277" spans="2:8" ht="19.5" thickBot="1" x14ac:dyDescent="0.35">
      <c r="B277" s="180"/>
      <c r="C277" s="166"/>
      <c r="D277" s="113"/>
      <c r="E277" s="113"/>
      <c r="F277" s="113"/>
      <c r="G277" s="113"/>
      <c r="H277" s="113"/>
    </row>
    <row r="278" spans="2:8" ht="15.75" thickBot="1" x14ac:dyDescent="0.3">
      <c r="B278" s="113"/>
      <c r="C278" s="228" t="s">
        <v>191</v>
      </c>
      <c r="D278" s="229" t="s">
        <v>155</v>
      </c>
      <c r="E278" s="229" t="s">
        <v>156</v>
      </c>
      <c r="F278" s="230" t="s">
        <v>157</v>
      </c>
      <c r="G278" s="113"/>
      <c r="H278" s="113"/>
    </row>
    <row r="279" spans="2:8" ht="18.75" x14ac:dyDescent="0.3">
      <c r="B279" s="255" t="s">
        <v>303</v>
      </c>
      <c r="C279" s="253">
        <v>0</v>
      </c>
      <c r="D279" s="56">
        <f>D236</f>
        <v>31380</v>
      </c>
      <c r="E279" s="56">
        <f>E236</f>
        <v>31380</v>
      </c>
      <c r="F279" s="54">
        <f>F236</f>
        <v>31380</v>
      </c>
      <c r="G279" s="113"/>
      <c r="H279" s="370"/>
    </row>
    <row r="280" spans="2:8" ht="19.5" thickBot="1" x14ac:dyDescent="0.35">
      <c r="B280" s="255" t="s">
        <v>10</v>
      </c>
      <c r="C280" s="254">
        <v>1</v>
      </c>
      <c r="D280" s="221">
        <f>D251</f>
        <v>1.1145</v>
      </c>
      <c r="E280" s="221">
        <f>E251</f>
        <v>1.2421102500000001</v>
      </c>
      <c r="F280" s="222">
        <f>F251</f>
        <v>1.3843318736250001</v>
      </c>
      <c r="G280" s="113"/>
      <c r="H280" s="113"/>
    </row>
    <row r="281" spans="2:8" x14ac:dyDescent="0.25">
      <c r="B281" s="113"/>
      <c r="C281" s="113"/>
      <c r="D281" s="113"/>
      <c r="E281" s="113"/>
      <c r="F281" s="113"/>
      <c r="G281" s="113"/>
      <c r="H281" s="113"/>
    </row>
    <row r="282" spans="2:8" ht="21" customHeight="1" x14ac:dyDescent="0.25">
      <c r="B282" s="232" t="s">
        <v>452</v>
      </c>
      <c r="C282" s="113"/>
      <c r="D282" s="113"/>
      <c r="E282" s="113"/>
      <c r="F282" s="113"/>
      <c r="G282" s="113"/>
      <c r="H282" s="113"/>
    </row>
    <row r="283" spans="2:8" ht="18.75" x14ac:dyDescent="0.25">
      <c r="B283" s="113"/>
      <c r="C283" s="113" t="s">
        <v>195</v>
      </c>
      <c r="D283" s="113"/>
      <c r="E283" s="113"/>
      <c r="F283" s="160" t="s">
        <v>280</v>
      </c>
      <c r="G283" s="113"/>
      <c r="H283" s="113"/>
    </row>
    <row r="284" spans="2:8" x14ac:dyDescent="0.25">
      <c r="B284" s="113"/>
      <c r="C284" s="113" t="s">
        <v>194</v>
      </c>
      <c r="D284" s="113"/>
      <c r="E284" s="113"/>
      <c r="F284" s="113"/>
      <c r="G284" s="113"/>
      <c r="H284" s="113"/>
    </row>
    <row r="285" spans="2:8" ht="15.75" thickBot="1" x14ac:dyDescent="0.3">
      <c r="B285" s="113"/>
      <c r="C285" s="113" t="s">
        <v>302</v>
      </c>
      <c r="D285" s="113"/>
      <c r="E285" s="113"/>
      <c r="F285" s="113"/>
      <c r="G285" s="113"/>
      <c r="H285" s="113"/>
    </row>
    <row r="286" spans="2:8" ht="19.5" thickBot="1" x14ac:dyDescent="0.35">
      <c r="B286" s="180" t="s">
        <v>454</v>
      </c>
      <c r="C286" s="74">
        <f>(C289)+(D289/D290)+(E289/E290)+(F289/F290)</f>
        <v>62122.992216902247</v>
      </c>
      <c r="D286" s="113"/>
      <c r="E286" s="113"/>
      <c r="F286" s="113"/>
      <c r="G286" s="113"/>
      <c r="H286" s="113"/>
    </row>
    <row r="287" spans="2:8" ht="15.75" thickBot="1" x14ac:dyDescent="0.3">
      <c r="B287" s="113"/>
      <c r="D287" s="113"/>
      <c r="E287" s="113"/>
      <c r="F287" s="113"/>
      <c r="G287" s="113"/>
      <c r="H287" s="113"/>
    </row>
    <row r="288" spans="2:8" ht="15.75" thickBot="1" x14ac:dyDescent="0.3">
      <c r="B288" s="113"/>
      <c r="C288" s="228" t="s">
        <v>191</v>
      </c>
      <c r="D288" s="229" t="s">
        <v>155</v>
      </c>
      <c r="E288" s="229" t="s">
        <v>156</v>
      </c>
      <c r="F288" s="230" t="s">
        <v>157</v>
      </c>
      <c r="G288" s="113"/>
      <c r="H288" s="370"/>
    </row>
    <row r="289" spans="2:8" ht="18.75" x14ac:dyDescent="0.3">
      <c r="B289" s="255" t="s">
        <v>305</v>
      </c>
      <c r="C289" s="253">
        <f>C223</f>
        <v>49081.208329600006</v>
      </c>
      <c r="D289" s="56">
        <f>D231</f>
        <v>5378.6873599999999</v>
      </c>
      <c r="E289" s="56">
        <f>E231</f>
        <v>5378.6873599999999</v>
      </c>
      <c r="F289" s="54">
        <f>F231</f>
        <v>5378.6873599999999</v>
      </c>
      <c r="G289" s="113"/>
      <c r="H289" s="113"/>
    </row>
    <row r="290" spans="2:8" ht="19.5" thickBot="1" x14ac:dyDescent="0.35">
      <c r="B290" s="255" t="s">
        <v>10</v>
      </c>
      <c r="C290" s="254"/>
      <c r="D290" s="221">
        <f>D251</f>
        <v>1.1145</v>
      </c>
      <c r="E290" s="221">
        <f t="shared" ref="E290:F290" si="6">E251</f>
        <v>1.2421102500000001</v>
      </c>
      <c r="F290" s="222">
        <f t="shared" si="6"/>
        <v>1.3843318736250001</v>
      </c>
      <c r="G290" s="113"/>
      <c r="H290" s="113"/>
    </row>
    <row r="291" spans="2:8" ht="16.5" thickBot="1" x14ac:dyDescent="0.3">
      <c r="B291" s="224"/>
      <c r="C291" s="113"/>
      <c r="D291" s="113"/>
      <c r="E291" s="113"/>
      <c r="F291" s="113"/>
      <c r="G291" s="113"/>
      <c r="H291" s="113"/>
    </row>
    <row r="292" spans="2:8" ht="24" thickBot="1" x14ac:dyDescent="0.4">
      <c r="B292" s="231" t="s">
        <v>196</v>
      </c>
      <c r="C292" s="108">
        <f>C276/C286</f>
        <v>1.2247889836231902</v>
      </c>
      <c r="D292" s="113"/>
      <c r="E292" s="113"/>
      <c r="F292" s="113"/>
      <c r="G292" s="113"/>
      <c r="H292" s="113"/>
    </row>
    <row r="293" spans="2:8" x14ac:dyDescent="0.25">
      <c r="B293" s="113"/>
      <c r="C293" s="113"/>
      <c r="D293" s="113"/>
      <c r="E293" s="113"/>
      <c r="F293" s="113"/>
      <c r="G293" s="113"/>
      <c r="H293" s="113"/>
    </row>
    <row r="294" spans="2:8" ht="18.75" x14ac:dyDescent="0.3">
      <c r="B294" s="414" t="s">
        <v>300</v>
      </c>
      <c r="C294" s="414"/>
      <c r="D294" s="113"/>
      <c r="E294" s="113"/>
      <c r="F294" s="113"/>
      <c r="G294" s="113"/>
      <c r="H294" s="113"/>
    </row>
    <row r="295" spans="2:8" ht="18.75" x14ac:dyDescent="0.25">
      <c r="B295" s="113"/>
      <c r="C295" s="179" t="s">
        <v>198</v>
      </c>
      <c r="D295" s="155"/>
      <c r="F295" s="160" t="s">
        <v>279</v>
      </c>
      <c r="G295" s="113"/>
      <c r="H295" s="113"/>
    </row>
    <row r="296" spans="2:8" x14ac:dyDescent="0.25">
      <c r="B296" s="113"/>
      <c r="C296" s="119" t="s">
        <v>197</v>
      </c>
      <c r="D296" s="155"/>
      <c r="E296" s="113"/>
      <c r="F296" s="113"/>
      <c r="G296" s="113"/>
      <c r="H296" s="113"/>
    </row>
    <row r="297" spans="2:8" x14ac:dyDescent="0.25">
      <c r="B297" s="113"/>
      <c r="C297" s="113" t="s">
        <v>195</v>
      </c>
      <c r="D297" s="155"/>
      <c r="E297" s="113"/>
      <c r="F297" s="113"/>
      <c r="G297" s="113"/>
      <c r="H297" s="113"/>
    </row>
    <row r="298" spans="2:8" ht="15.75" thickBot="1" x14ac:dyDescent="0.3">
      <c r="C298" s="113"/>
      <c r="D298" s="113"/>
      <c r="E298" s="113"/>
    </row>
    <row r="299" spans="2:8" ht="19.5" thickBot="1" x14ac:dyDescent="0.35">
      <c r="B299" s="180" t="s">
        <v>306</v>
      </c>
      <c r="C299" s="108">
        <f>-1*(C304/(D236-D231))</f>
        <v>1.8876434820484511</v>
      </c>
      <c r="D299" s="240" t="s">
        <v>205</v>
      </c>
      <c r="F299" s="70" t="s">
        <v>313</v>
      </c>
      <c r="G299" s="71" t="s">
        <v>314</v>
      </c>
      <c r="H299" s="72" t="s">
        <v>315</v>
      </c>
    </row>
    <row r="300" spans="2:8" x14ac:dyDescent="0.25">
      <c r="B300" s="113"/>
      <c r="C300" s="118">
        <f>C299*12</f>
        <v>22.651721784581412</v>
      </c>
      <c r="D300" s="240" t="s">
        <v>206</v>
      </c>
      <c r="E300" s="113"/>
      <c r="F300" s="256">
        <f>ROUNDDOWN(C299,0)</f>
        <v>1</v>
      </c>
      <c r="G300" s="257">
        <f>ROUNDDOWN(C300-F300*12,0)</f>
        <v>10</v>
      </c>
      <c r="H300" s="257">
        <f>ROUND(C301-(F300*12+G300)*30,0)</f>
        <v>20</v>
      </c>
    </row>
    <row r="301" spans="2:8" x14ac:dyDescent="0.25">
      <c r="B301" s="113"/>
      <c r="C301" s="118">
        <f>C300*30</f>
        <v>679.55165353744235</v>
      </c>
      <c r="D301" s="240" t="s">
        <v>207</v>
      </c>
      <c r="E301" s="113"/>
    </row>
    <row r="302" spans="2:8" ht="15.75" thickBot="1" x14ac:dyDescent="0.3">
      <c r="B302" s="113"/>
      <c r="C302" s="118"/>
      <c r="D302" s="240"/>
      <c r="E302" s="113"/>
      <c r="F302" s="113"/>
      <c r="G302" s="113"/>
      <c r="H302" s="113"/>
    </row>
    <row r="303" spans="2:8" ht="15.75" thickBot="1" x14ac:dyDescent="0.3">
      <c r="B303" s="113"/>
      <c r="C303" s="228" t="s">
        <v>191</v>
      </c>
      <c r="D303" s="229" t="s">
        <v>155</v>
      </c>
      <c r="E303" s="229" t="s">
        <v>156</v>
      </c>
      <c r="F303" s="230" t="s">
        <v>157</v>
      </c>
      <c r="G303" s="113"/>
      <c r="H303" s="113"/>
    </row>
    <row r="304" spans="2:8" ht="15.75" x14ac:dyDescent="0.25">
      <c r="B304" s="224" t="s">
        <v>301</v>
      </c>
      <c r="C304" s="223">
        <f>$C$237</f>
        <v>-49081.208329600006</v>
      </c>
      <c r="D304" s="56">
        <f>$D$237</f>
        <v>26001.31264</v>
      </c>
      <c r="E304" s="56">
        <f>$E$237</f>
        <v>26001.31264</v>
      </c>
      <c r="F304" s="54">
        <f>$F$237</f>
        <v>26001.31264</v>
      </c>
      <c r="G304" s="113"/>
      <c r="H304" s="113"/>
    </row>
    <row r="305" spans="2:9" x14ac:dyDescent="0.25">
      <c r="B305" s="113"/>
      <c r="C305" s="118"/>
      <c r="D305" s="119"/>
      <c r="E305" s="113"/>
      <c r="F305" s="113"/>
      <c r="G305" s="113"/>
      <c r="H305" s="113"/>
    </row>
    <row r="306" spans="2:9" ht="15.75" thickBot="1" x14ac:dyDescent="0.3">
      <c r="B306" s="113"/>
      <c r="C306" s="113"/>
      <c r="D306" s="113"/>
      <c r="E306" s="113"/>
      <c r="F306" s="113"/>
      <c r="G306" s="113"/>
      <c r="H306" s="113"/>
    </row>
    <row r="307" spans="2:9" ht="15.75" thickBot="1" x14ac:dyDescent="0.3">
      <c r="B307" s="208" t="s">
        <v>208</v>
      </c>
      <c r="C307" s="209" t="s">
        <v>199</v>
      </c>
      <c r="D307" s="216" t="s">
        <v>204</v>
      </c>
      <c r="E307" s="185" t="s">
        <v>200</v>
      </c>
      <c r="F307" s="113"/>
      <c r="G307" s="113"/>
      <c r="H307" s="113"/>
    </row>
    <row r="308" spans="2:9" ht="16.5" thickBot="1" x14ac:dyDescent="0.3">
      <c r="B308" s="213" t="s">
        <v>201</v>
      </c>
      <c r="C308" s="210">
        <f>C247</f>
        <v>13964.564280068822</v>
      </c>
      <c r="D308" s="217" t="s">
        <v>202</v>
      </c>
      <c r="E308" s="182" t="str">
        <f>IF(C308&gt;0,"Aprobado","Desaprobado")</f>
        <v>Aprobado</v>
      </c>
      <c r="F308" s="113"/>
      <c r="G308" s="433" t="s">
        <v>461</v>
      </c>
      <c r="H308" s="433"/>
      <c r="I308" s="433"/>
    </row>
    <row r="309" spans="2:9" ht="15.75" x14ac:dyDescent="0.25">
      <c r="B309" s="214" t="s">
        <v>188</v>
      </c>
      <c r="C309" s="211">
        <f>D263</f>
        <v>0.27290163662274924</v>
      </c>
      <c r="D309" s="218" t="s">
        <v>447</v>
      </c>
      <c r="E309" s="183" t="str">
        <f>IF(C309&gt;0.18,"Aprobado","Desaprobado")</f>
        <v>Aprobado</v>
      </c>
      <c r="F309" s="113"/>
      <c r="G309" s="341" t="s">
        <v>448</v>
      </c>
    </row>
    <row r="310" spans="2:9" ht="16.5" thickBot="1" x14ac:dyDescent="0.3">
      <c r="B310" s="215" t="s">
        <v>192</v>
      </c>
      <c r="C310" s="212">
        <f>C292</f>
        <v>1.2247889836231902</v>
      </c>
      <c r="D310" s="219" t="s">
        <v>203</v>
      </c>
      <c r="E310" s="184" t="str">
        <f>IF(C310&gt;1,"Aprobado","Desaprobado")</f>
        <v>Aprobado</v>
      </c>
      <c r="F310" s="113"/>
      <c r="G310" s="113"/>
      <c r="H310" s="113"/>
    </row>
    <row r="311" spans="2:9" x14ac:dyDescent="0.25">
      <c r="B311" s="113"/>
      <c r="C311" s="113"/>
      <c r="D311" s="113"/>
      <c r="E311" s="113"/>
      <c r="F311" s="113"/>
      <c r="G311" s="113"/>
      <c r="H311" s="113"/>
    </row>
    <row r="312" spans="2:9" ht="21.75" thickBot="1" x14ac:dyDescent="0.4">
      <c r="B312" s="109" t="s">
        <v>209</v>
      </c>
      <c r="D312" s="113"/>
      <c r="E312" s="113"/>
      <c r="F312" s="113"/>
      <c r="G312" s="113"/>
      <c r="H312" s="113"/>
    </row>
    <row r="313" spans="2:9" ht="15.75" thickBot="1" x14ac:dyDescent="0.3">
      <c r="B313" s="415" t="s">
        <v>307</v>
      </c>
      <c r="C313" s="416"/>
      <c r="D313" s="417"/>
      <c r="F313" s="113"/>
      <c r="G313" s="113"/>
      <c r="H313" s="113"/>
    </row>
    <row r="314" spans="2:9" x14ac:dyDescent="0.25">
      <c r="B314" s="113"/>
      <c r="C314" s="113"/>
      <c r="D314" s="113"/>
      <c r="E314" s="113"/>
      <c r="F314" s="113"/>
      <c r="G314" s="113"/>
      <c r="H314" s="113"/>
    </row>
    <row r="315" spans="2:9" x14ac:dyDescent="0.25">
      <c r="B315" s="113"/>
      <c r="C315" s="113"/>
      <c r="D315" s="113"/>
      <c r="E315" s="113"/>
      <c r="F315" s="113"/>
      <c r="G315" s="113"/>
    </row>
  </sheetData>
  <mergeCells count="53">
    <mergeCell ref="N74:P74"/>
    <mergeCell ref="N81:P81"/>
    <mergeCell ref="G308:I308"/>
    <mergeCell ref="B56:H56"/>
    <mergeCell ref="B57:F57"/>
    <mergeCell ref="B63:H63"/>
    <mergeCell ref="J71:L71"/>
    <mergeCell ref="B64:F64"/>
    <mergeCell ref="B99:D99"/>
    <mergeCell ref="B112:H112"/>
    <mergeCell ref="B180:F180"/>
    <mergeCell ref="B173:F173"/>
    <mergeCell ref="B165:H165"/>
    <mergeCell ref="B179:H179"/>
    <mergeCell ref="B172:H172"/>
    <mergeCell ref="B166:F166"/>
    <mergeCell ref="B159:H159"/>
    <mergeCell ref="B158:H158"/>
    <mergeCell ref="B1:H1"/>
    <mergeCell ref="B2:H2"/>
    <mergeCell ref="B8:H8"/>
    <mergeCell ref="B18:H18"/>
    <mergeCell ref="B9:G9"/>
    <mergeCell ref="B31:H31"/>
    <mergeCell ref="B32:E32"/>
    <mergeCell ref="B41:D41"/>
    <mergeCell ref="B49:H49"/>
    <mergeCell ref="B19:F19"/>
    <mergeCell ref="B115:G115"/>
    <mergeCell ref="B150:F150"/>
    <mergeCell ref="B142:H142"/>
    <mergeCell ref="B88:H88"/>
    <mergeCell ref="B294:C294"/>
    <mergeCell ref="B313:D313"/>
    <mergeCell ref="B190:D190"/>
    <mergeCell ref="B201:C201"/>
    <mergeCell ref="B210:H210"/>
    <mergeCell ref="B200:C200"/>
    <mergeCell ref="B240:H240"/>
    <mergeCell ref="B266:C266"/>
    <mergeCell ref="B211:F211"/>
    <mergeCell ref="J72:L72"/>
    <mergeCell ref="B82:F82"/>
    <mergeCell ref="B73:H73"/>
    <mergeCell ref="B74:G74"/>
    <mergeCell ref="B81:H81"/>
    <mergeCell ref="B89:F89"/>
    <mergeCell ref="B120:G120"/>
    <mergeCell ref="B114:H114"/>
    <mergeCell ref="B149:H149"/>
    <mergeCell ref="B127:D127"/>
    <mergeCell ref="B143:F143"/>
    <mergeCell ref="B133:H133"/>
  </mergeCells>
  <phoneticPr fontId="29" type="noConversion"/>
  <hyperlinks>
    <hyperlink ref="N75" r:id="rId1" xr:uid="{7EA40236-B276-43C3-A09D-BB10202C5153}"/>
    <hyperlink ref="N82" r:id="rId2" xr:uid="{33BF71F3-0915-46F7-8C29-DEAC485E491A}"/>
    <hyperlink ref="G309" r:id="rId3" xr:uid="{B3438030-DF7F-424E-A852-11B19E66B691}"/>
    <hyperlink ref="F245" r:id="rId4" xr:uid="{3737003A-979C-47E9-B297-10CA027D86BA}"/>
  </hyperlinks>
  <pageMargins left="0.7" right="0.7" top="0.75" bottom="0.75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6434-5AED-491B-BDB8-ACA74A1E0325}">
  <dimension ref="B1:J52"/>
  <sheetViews>
    <sheetView topLeftCell="A13" zoomScale="85" zoomScaleNormal="85" workbookViewId="0">
      <selection activeCell="M35" sqref="M35"/>
    </sheetView>
  </sheetViews>
  <sheetFormatPr baseColWidth="10" defaultRowHeight="15" x14ac:dyDescent="0.25"/>
  <cols>
    <col min="1" max="1" width="3.7109375" customWidth="1"/>
    <col min="2" max="2" width="6" customWidth="1"/>
    <col min="3" max="3" width="45.42578125" customWidth="1"/>
    <col min="4" max="8" width="5.7109375" customWidth="1"/>
    <col min="9" max="9" width="8" customWidth="1"/>
    <col min="10" max="10" width="10.5703125" customWidth="1"/>
  </cols>
  <sheetData>
    <row r="1" spans="2:10" ht="15.75" x14ac:dyDescent="0.25">
      <c r="B1" s="439" t="s">
        <v>438</v>
      </c>
      <c r="C1" s="439"/>
      <c r="D1" s="439"/>
      <c r="E1" s="439"/>
      <c r="F1" s="439"/>
      <c r="G1" s="439"/>
    </row>
    <row r="2" spans="2:10" ht="15.75" x14ac:dyDescent="0.25">
      <c r="B2" s="439" t="s">
        <v>439</v>
      </c>
      <c r="C2" s="439"/>
      <c r="D2" s="439"/>
      <c r="E2" s="439"/>
      <c r="F2" s="439"/>
      <c r="G2" s="439"/>
    </row>
    <row r="3" spans="2:10" ht="15.75" x14ac:dyDescent="0.25">
      <c r="B3" s="439" t="s">
        <v>440</v>
      </c>
      <c r="C3" s="439"/>
      <c r="D3" s="439"/>
      <c r="E3" s="439"/>
      <c r="F3" s="439"/>
      <c r="G3" s="439"/>
    </row>
    <row r="4" spans="2:10" ht="15.75" x14ac:dyDescent="0.25">
      <c r="B4" s="439" t="s">
        <v>441</v>
      </c>
      <c r="C4" s="439"/>
      <c r="D4" s="439"/>
      <c r="E4" s="439"/>
      <c r="F4" s="439"/>
      <c r="G4" s="439"/>
    </row>
    <row r="5" spans="2:10" ht="15.75" x14ac:dyDescent="0.25">
      <c r="B5" s="441" t="s">
        <v>442</v>
      </c>
      <c r="C5" s="441"/>
      <c r="D5" s="441"/>
      <c r="E5" s="441"/>
      <c r="F5" s="441"/>
      <c r="G5" s="441"/>
    </row>
    <row r="6" spans="2:10" ht="15.75" x14ac:dyDescent="0.25">
      <c r="B6" s="314"/>
      <c r="C6" s="314"/>
      <c r="D6" s="314"/>
      <c r="E6" s="314"/>
      <c r="F6" s="314"/>
      <c r="G6" s="314"/>
    </row>
    <row r="7" spans="2:10" x14ac:dyDescent="0.25">
      <c r="I7">
        <f>SUM(D8:H8)</f>
        <v>1</v>
      </c>
    </row>
    <row r="8" spans="2:10" ht="16.5" customHeight="1" x14ac:dyDescent="0.25">
      <c r="B8" s="440" t="s">
        <v>418</v>
      </c>
      <c r="C8" s="442" t="s">
        <v>312</v>
      </c>
      <c r="D8" s="315">
        <v>0.3</v>
      </c>
      <c r="E8" s="315">
        <v>0.15</v>
      </c>
      <c r="F8" s="315">
        <v>0.15</v>
      </c>
      <c r="G8" s="315">
        <v>0.25</v>
      </c>
      <c r="H8" s="315">
        <v>0.15</v>
      </c>
      <c r="I8" s="437" t="s">
        <v>224</v>
      </c>
      <c r="J8" s="438"/>
    </row>
    <row r="9" spans="2:10" ht="16.5" customHeight="1" x14ac:dyDescent="0.25">
      <c r="B9" s="440"/>
      <c r="C9" s="442"/>
      <c r="D9" s="315" t="s">
        <v>225</v>
      </c>
      <c r="E9" s="315" t="s">
        <v>184</v>
      </c>
      <c r="F9" s="315" t="s">
        <v>185</v>
      </c>
      <c r="G9" s="315" t="s">
        <v>226</v>
      </c>
      <c r="H9" s="315" t="s">
        <v>227</v>
      </c>
      <c r="I9" s="437"/>
      <c r="J9" s="438"/>
    </row>
    <row r="10" spans="2:10" ht="16.5" customHeight="1" x14ac:dyDescent="0.25">
      <c r="B10" s="316">
        <v>1</v>
      </c>
      <c r="C10" s="319" t="s">
        <v>220</v>
      </c>
      <c r="D10" s="11">
        <v>5</v>
      </c>
      <c r="E10" s="11">
        <v>1</v>
      </c>
      <c r="F10" s="11">
        <v>1</v>
      </c>
      <c r="G10" s="11">
        <v>3</v>
      </c>
      <c r="H10" s="11">
        <v>1</v>
      </c>
      <c r="I10" s="318">
        <f t="shared" ref="I10:I18" si="0">SUMPRODUCT(D10:H10,$D$8:$H$8)</f>
        <v>2.6999999999999997</v>
      </c>
      <c r="J10" s="340"/>
    </row>
    <row r="11" spans="2:10" ht="16.5" customHeight="1" x14ac:dyDescent="0.25">
      <c r="B11" s="316">
        <f>B10+1</f>
        <v>2</v>
      </c>
      <c r="C11" s="317" t="s">
        <v>310</v>
      </c>
      <c r="D11" s="11">
        <v>5</v>
      </c>
      <c r="E11" s="11">
        <v>2</v>
      </c>
      <c r="F11" s="11">
        <v>1</v>
      </c>
      <c r="G11" s="11">
        <v>2</v>
      </c>
      <c r="H11" s="11">
        <v>1</v>
      </c>
      <c r="I11" s="318">
        <f t="shared" si="0"/>
        <v>2.6</v>
      </c>
      <c r="J11" s="340"/>
    </row>
    <row r="12" spans="2:10" ht="16.5" customHeight="1" x14ac:dyDescent="0.25">
      <c r="B12" s="316">
        <f t="shared" ref="B12:B22" si="1">B11+1</f>
        <v>3</v>
      </c>
      <c r="C12" s="317" t="s">
        <v>367</v>
      </c>
      <c r="D12" s="11">
        <v>3</v>
      </c>
      <c r="E12" s="11">
        <v>1</v>
      </c>
      <c r="F12" s="11">
        <v>1</v>
      </c>
      <c r="G12" s="11">
        <v>3</v>
      </c>
      <c r="H12" s="11">
        <v>3</v>
      </c>
      <c r="I12" s="318">
        <f t="shared" si="0"/>
        <v>2.3999999999999995</v>
      </c>
      <c r="J12" s="340"/>
    </row>
    <row r="13" spans="2:10" ht="16.5" customHeight="1" x14ac:dyDescent="0.25">
      <c r="B13" s="366">
        <f t="shared" si="1"/>
        <v>4</v>
      </c>
      <c r="C13" s="319" t="s">
        <v>371</v>
      </c>
      <c r="D13" s="271">
        <v>4</v>
      </c>
      <c r="E13" s="271">
        <v>2</v>
      </c>
      <c r="F13" s="271">
        <v>1</v>
      </c>
      <c r="G13" s="271">
        <v>2</v>
      </c>
      <c r="H13" s="271">
        <v>1</v>
      </c>
      <c r="I13" s="367">
        <f t="shared" si="0"/>
        <v>2.2999999999999998</v>
      </c>
      <c r="J13" s="340"/>
    </row>
    <row r="14" spans="2:10" ht="16.5" customHeight="1" x14ac:dyDescent="0.25">
      <c r="B14" s="366">
        <f t="shared" si="1"/>
        <v>5</v>
      </c>
      <c r="C14" s="319" t="s">
        <v>437</v>
      </c>
      <c r="D14" s="271">
        <v>4</v>
      </c>
      <c r="E14" s="271">
        <v>2</v>
      </c>
      <c r="F14" s="271">
        <v>1</v>
      </c>
      <c r="G14" s="271">
        <v>2</v>
      </c>
      <c r="H14" s="271">
        <v>1</v>
      </c>
      <c r="I14" s="367">
        <f t="shared" si="0"/>
        <v>2.2999999999999998</v>
      </c>
      <c r="J14" s="340"/>
    </row>
    <row r="15" spans="2:10" ht="16.5" customHeight="1" x14ac:dyDescent="0.25">
      <c r="B15" s="366">
        <f t="shared" si="1"/>
        <v>6</v>
      </c>
      <c r="C15" s="319" t="s">
        <v>436</v>
      </c>
      <c r="D15" s="271">
        <v>4</v>
      </c>
      <c r="E15" s="271">
        <v>2</v>
      </c>
      <c r="F15" s="271">
        <v>1</v>
      </c>
      <c r="G15" s="271">
        <v>2</v>
      </c>
      <c r="H15" s="271">
        <v>1</v>
      </c>
      <c r="I15" s="367">
        <f t="shared" si="0"/>
        <v>2.2999999999999998</v>
      </c>
      <c r="J15" s="340"/>
    </row>
    <row r="16" spans="2:10" ht="16.5" customHeight="1" x14ac:dyDescent="0.25">
      <c r="B16" s="366">
        <f t="shared" si="1"/>
        <v>7</v>
      </c>
      <c r="C16" s="319" t="s">
        <v>435</v>
      </c>
      <c r="D16" s="271">
        <v>4</v>
      </c>
      <c r="E16" s="271">
        <v>2</v>
      </c>
      <c r="F16" s="271">
        <v>1</v>
      </c>
      <c r="G16" s="271">
        <v>2</v>
      </c>
      <c r="H16" s="271">
        <v>1</v>
      </c>
      <c r="I16" s="367">
        <f t="shared" si="0"/>
        <v>2.2999999999999998</v>
      </c>
      <c r="J16" s="340"/>
    </row>
    <row r="17" spans="2:10" ht="16.5" customHeight="1" x14ac:dyDescent="0.25">
      <c r="B17" s="366">
        <f t="shared" si="1"/>
        <v>8</v>
      </c>
      <c r="C17" s="319" t="s">
        <v>434</v>
      </c>
      <c r="D17" s="271">
        <v>4</v>
      </c>
      <c r="E17" s="271">
        <v>2</v>
      </c>
      <c r="F17" s="271">
        <v>1</v>
      </c>
      <c r="G17" s="271">
        <v>2</v>
      </c>
      <c r="H17" s="271">
        <v>1</v>
      </c>
      <c r="I17" s="367">
        <f t="shared" si="0"/>
        <v>2.2999999999999998</v>
      </c>
      <c r="J17" s="340"/>
    </row>
    <row r="18" spans="2:10" ht="16.5" customHeight="1" x14ac:dyDescent="0.25">
      <c r="B18" s="366">
        <f t="shared" si="1"/>
        <v>9</v>
      </c>
      <c r="C18" s="319" t="s">
        <v>446</v>
      </c>
      <c r="D18" s="271">
        <v>4</v>
      </c>
      <c r="E18" s="271">
        <v>2</v>
      </c>
      <c r="F18" s="271">
        <v>1</v>
      </c>
      <c r="G18" s="271">
        <v>2</v>
      </c>
      <c r="H18" s="271">
        <v>1</v>
      </c>
      <c r="I18" s="367">
        <f t="shared" si="0"/>
        <v>2.2999999999999998</v>
      </c>
      <c r="J18" s="340"/>
    </row>
    <row r="19" spans="2:10" x14ac:dyDescent="0.25">
      <c r="B19" s="366">
        <f t="shared" si="1"/>
        <v>10</v>
      </c>
      <c r="C19" s="319" t="s">
        <v>344</v>
      </c>
      <c r="D19" s="271">
        <v>2</v>
      </c>
      <c r="E19" s="271">
        <v>3</v>
      </c>
      <c r="F19" s="271">
        <v>1</v>
      </c>
      <c r="G19" s="271">
        <v>3</v>
      </c>
      <c r="H19" s="271">
        <v>1</v>
      </c>
      <c r="I19" s="367">
        <f t="shared" ref="I19:I52" si="2">SUMPRODUCT(D19:H19,$D$8:$H$8)</f>
        <v>2.0999999999999996</v>
      </c>
      <c r="J19" s="340"/>
    </row>
    <row r="20" spans="2:10" x14ac:dyDescent="0.25">
      <c r="B20" s="366">
        <f t="shared" si="1"/>
        <v>11</v>
      </c>
      <c r="C20" s="319" t="s">
        <v>350</v>
      </c>
      <c r="D20" s="271">
        <v>2</v>
      </c>
      <c r="E20" s="271">
        <v>3</v>
      </c>
      <c r="F20" s="271">
        <v>1</v>
      </c>
      <c r="G20" s="271">
        <v>3</v>
      </c>
      <c r="H20" s="271">
        <v>1</v>
      </c>
      <c r="I20" s="367">
        <f t="shared" si="2"/>
        <v>2.0999999999999996</v>
      </c>
      <c r="J20" s="340"/>
    </row>
    <row r="21" spans="2:10" x14ac:dyDescent="0.25">
      <c r="B21" s="366">
        <f t="shared" si="1"/>
        <v>12</v>
      </c>
      <c r="C21" s="319" t="s">
        <v>357</v>
      </c>
      <c r="D21" s="271">
        <v>2</v>
      </c>
      <c r="E21" s="271">
        <v>3</v>
      </c>
      <c r="F21" s="271">
        <v>1</v>
      </c>
      <c r="G21" s="271">
        <v>3</v>
      </c>
      <c r="H21" s="271">
        <v>1</v>
      </c>
      <c r="I21" s="367">
        <f t="shared" si="2"/>
        <v>2.0999999999999996</v>
      </c>
      <c r="J21" s="340"/>
    </row>
    <row r="22" spans="2:10" x14ac:dyDescent="0.25">
      <c r="B22" s="366">
        <f t="shared" si="1"/>
        <v>13</v>
      </c>
      <c r="C22" s="319" t="s">
        <v>362</v>
      </c>
      <c r="D22" s="271">
        <v>2</v>
      </c>
      <c r="E22" s="271">
        <v>3</v>
      </c>
      <c r="F22" s="271">
        <v>1</v>
      </c>
      <c r="G22" s="271">
        <v>3</v>
      </c>
      <c r="H22" s="271">
        <v>1</v>
      </c>
      <c r="I22" s="367">
        <f t="shared" si="2"/>
        <v>2.0999999999999996</v>
      </c>
      <c r="J22" s="340"/>
    </row>
    <row r="23" spans="2:10" x14ac:dyDescent="0.25">
      <c r="B23" s="366">
        <f t="shared" ref="B23:B25" si="3">B22+1</f>
        <v>14</v>
      </c>
      <c r="C23" s="319" t="s">
        <v>343</v>
      </c>
      <c r="D23" s="271">
        <v>3</v>
      </c>
      <c r="E23" s="271">
        <v>2</v>
      </c>
      <c r="F23" s="271">
        <v>1</v>
      </c>
      <c r="G23" s="271">
        <v>2</v>
      </c>
      <c r="H23" s="271">
        <v>1</v>
      </c>
      <c r="I23" s="367">
        <f t="shared" si="2"/>
        <v>1.9999999999999998</v>
      </c>
      <c r="J23" s="340"/>
    </row>
    <row r="24" spans="2:10" x14ac:dyDescent="0.25">
      <c r="B24" s="366">
        <f t="shared" si="3"/>
        <v>15</v>
      </c>
      <c r="C24" s="319" t="s">
        <v>349</v>
      </c>
      <c r="D24" s="271">
        <v>3</v>
      </c>
      <c r="E24" s="271">
        <v>2</v>
      </c>
      <c r="F24" s="271">
        <v>1</v>
      </c>
      <c r="G24" s="271">
        <v>2</v>
      </c>
      <c r="H24" s="271">
        <v>1</v>
      </c>
      <c r="I24" s="367">
        <f t="shared" si="2"/>
        <v>1.9999999999999998</v>
      </c>
      <c r="J24" s="340"/>
    </row>
    <row r="25" spans="2:10" x14ac:dyDescent="0.25">
      <c r="B25" s="366">
        <f t="shared" si="3"/>
        <v>16</v>
      </c>
      <c r="C25" s="319" t="s">
        <v>355</v>
      </c>
      <c r="D25" s="271">
        <v>3</v>
      </c>
      <c r="E25" s="271">
        <v>2</v>
      </c>
      <c r="F25" s="271">
        <v>1</v>
      </c>
      <c r="G25" s="271">
        <v>2</v>
      </c>
      <c r="H25" s="271">
        <v>1</v>
      </c>
      <c r="I25" s="367">
        <f t="shared" si="2"/>
        <v>1.9999999999999998</v>
      </c>
      <c r="J25" s="340"/>
    </row>
    <row r="26" spans="2:10" x14ac:dyDescent="0.25">
      <c r="B26" s="366">
        <f t="shared" ref="B26:B52" si="4">B25+1</f>
        <v>17</v>
      </c>
      <c r="C26" s="319" t="s">
        <v>361</v>
      </c>
      <c r="D26" s="271">
        <v>3</v>
      </c>
      <c r="E26" s="271">
        <v>2</v>
      </c>
      <c r="F26" s="271">
        <v>1</v>
      </c>
      <c r="G26" s="271">
        <v>2</v>
      </c>
      <c r="H26" s="271">
        <v>1</v>
      </c>
      <c r="I26" s="367">
        <f t="shared" si="2"/>
        <v>1.9999999999999998</v>
      </c>
      <c r="J26" s="340"/>
    </row>
    <row r="27" spans="2:10" x14ac:dyDescent="0.25">
      <c r="B27" s="366">
        <f t="shared" si="4"/>
        <v>18</v>
      </c>
      <c r="C27" s="319" t="s">
        <v>353</v>
      </c>
      <c r="D27" s="271">
        <v>3</v>
      </c>
      <c r="E27" s="271">
        <v>2</v>
      </c>
      <c r="F27" s="271">
        <v>1</v>
      </c>
      <c r="G27" s="271">
        <v>2</v>
      </c>
      <c r="H27" s="271">
        <v>1</v>
      </c>
      <c r="I27" s="367">
        <f t="shared" si="2"/>
        <v>1.9999999999999998</v>
      </c>
      <c r="J27" s="340"/>
    </row>
    <row r="28" spans="2:10" x14ac:dyDescent="0.25">
      <c r="B28" s="379">
        <f t="shared" si="4"/>
        <v>19</v>
      </c>
      <c r="C28" s="380" t="s">
        <v>467</v>
      </c>
      <c r="D28" s="381">
        <v>3</v>
      </c>
      <c r="E28" s="381">
        <v>2</v>
      </c>
      <c r="F28" s="381">
        <v>2</v>
      </c>
      <c r="G28" s="381">
        <v>1</v>
      </c>
      <c r="H28" s="381">
        <v>1</v>
      </c>
      <c r="I28" s="382">
        <f t="shared" ref="I28" si="5">SUMPRODUCT(D28:H28,$D$8:$H$8)</f>
        <v>1.9</v>
      </c>
      <c r="J28" s="340"/>
    </row>
    <row r="29" spans="2:10" x14ac:dyDescent="0.25">
      <c r="B29" s="366">
        <f t="shared" si="4"/>
        <v>20</v>
      </c>
      <c r="C29" s="319" t="s">
        <v>356</v>
      </c>
      <c r="D29" s="271">
        <v>3</v>
      </c>
      <c r="E29" s="271">
        <v>2</v>
      </c>
      <c r="F29" s="271">
        <v>2</v>
      </c>
      <c r="G29" s="271">
        <v>1</v>
      </c>
      <c r="H29" s="271">
        <v>1</v>
      </c>
      <c r="I29" s="367">
        <f t="shared" si="2"/>
        <v>1.9</v>
      </c>
      <c r="J29" s="340"/>
    </row>
    <row r="30" spans="2:10" x14ac:dyDescent="0.25">
      <c r="B30" s="366">
        <f t="shared" si="4"/>
        <v>21</v>
      </c>
      <c r="C30" s="319" t="s">
        <v>368</v>
      </c>
      <c r="D30" s="271">
        <v>3</v>
      </c>
      <c r="E30" s="271">
        <v>2</v>
      </c>
      <c r="F30" s="271">
        <v>2</v>
      </c>
      <c r="G30" s="271">
        <v>1</v>
      </c>
      <c r="H30" s="271">
        <v>1</v>
      </c>
      <c r="I30" s="367">
        <f t="shared" si="2"/>
        <v>1.9</v>
      </c>
      <c r="J30" s="340"/>
    </row>
    <row r="31" spans="2:10" x14ac:dyDescent="0.25">
      <c r="B31" s="366">
        <f t="shared" si="4"/>
        <v>22</v>
      </c>
      <c r="C31" s="319" t="s">
        <v>364</v>
      </c>
      <c r="D31" s="271">
        <v>3</v>
      </c>
      <c r="E31" s="271">
        <v>2</v>
      </c>
      <c r="F31" s="271">
        <v>1</v>
      </c>
      <c r="G31" s="271">
        <v>1</v>
      </c>
      <c r="H31" s="271">
        <v>1</v>
      </c>
      <c r="I31" s="367">
        <f>SUMPRODUCT(D31:H31,$D$8:$H$8)</f>
        <v>1.7499999999999998</v>
      </c>
      <c r="J31" s="340"/>
    </row>
    <row r="32" spans="2:10" x14ac:dyDescent="0.25">
      <c r="B32" s="366">
        <f t="shared" si="4"/>
        <v>23</v>
      </c>
      <c r="C32" s="319" t="s">
        <v>341</v>
      </c>
      <c r="D32" s="271">
        <v>1</v>
      </c>
      <c r="E32" s="271">
        <v>2</v>
      </c>
      <c r="F32" s="271">
        <v>1</v>
      </c>
      <c r="G32" s="271">
        <v>3</v>
      </c>
      <c r="H32" s="271">
        <v>1</v>
      </c>
      <c r="I32" s="367">
        <f t="shared" si="2"/>
        <v>1.65</v>
      </c>
      <c r="J32" s="340"/>
    </row>
    <row r="33" spans="2:10" x14ac:dyDescent="0.25">
      <c r="B33" s="366">
        <f t="shared" si="4"/>
        <v>24</v>
      </c>
      <c r="C33" s="319" t="s">
        <v>347</v>
      </c>
      <c r="D33" s="271">
        <v>1</v>
      </c>
      <c r="E33" s="271">
        <v>2</v>
      </c>
      <c r="F33" s="271">
        <v>1</v>
      </c>
      <c r="G33" s="271">
        <v>3</v>
      </c>
      <c r="H33" s="271">
        <v>1</v>
      </c>
      <c r="I33" s="367">
        <f>SUMPRODUCT(D33:H33,$D$8:$H$8)</f>
        <v>1.65</v>
      </c>
      <c r="J33" s="340"/>
    </row>
    <row r="34" spans="2:10" x14ac:dyDescent="0.25">
      <c r="B34" s="366">
        <f t="shared" si="4"/>
        <v>25</v>
      </c>
      <c r="C34" s="319" t="s">
        <v>351</v>
      </c>
      <c r="D34" s="271">
        <v>1</v>
      </c>
      <c r="E34" s="271">
        <v>2</v>
      </c>
      <c r="F34" s="271">
        <v>1</v>
      </c>
      <c r="G34" s="271">
        <v>3</v>
      </c>
      <c r="H34" s="271">
        <v>1</v>
      </c>
      <c r="I34" s="367">
        <f>SUMPRODUCT(D34:H34,$D$8:$H$8)</f>
        <v>1.65</v>
      </c>
      <c r="J34" s="340"/>
    </row>
    <row r="35" spans="2:10" x14ac:dyDescent="0.25">
      <c r="B35" s="366">
        <f t="shared" si="4"/>
        <v>26</v>
      </c>
      <c r="C35" s="319" t="s">
        <v>359</v>
      </c>
      <c r="D35" s="271">
        <v>1</v>
      </c>
      <c r="E35" s="271">
        <v>2</v>
      </c>
      <c r="F35" s="271">
        <v>1</v>
      </c>
      <c r="G35" s="271">
        <v>3</v>
      </c>
      <c r="H35" s="271">
        <v>1</v>
      </c>
      <c r="I35" s="367">
        <f>SUMPRODUCT(D35:H35,$D$8:$H$8)</f>
        <v>1.65</v>
      </c>
      <c r="J35" s="340"/>
    </row>
    <row r="36" spans="2:10" x14ac:dyDescent="0.25">
      <c r="B36" s="366">
        <f t="shared" si="4"/>
        <v>27</v>
      </c>
      <c r="C36" s="319" t="s">
        <v>346</v>
      </c>
      <c r="D36" s="271">
        <v>1</v>
      </c>
      <c r="E36" s="271">
        <v>1</v>
      </c>
      <c r="F36" s="271">
        <v>1</v>
      </c>
      <c r="G36" s="271">
        <v>3</v>
      </c>
      <c r="H36" s="271">
        <v>2</v>
      </c>
      <c r="I36" s="367">
        <f t="shared" si="2"/>
        <v>1.6500000000000001</v>
      </c>
      <c r="J36" s="340"/>
    </row>
    <row r="37" spans="2:10" x14ac:dyDescent="0.25">
      <c r="B37" s="366">
        <f t="shared" si="4"/>
        <v>28</v>
      </c>
      <c r="C37" s="319" t="s">
        <v>358</v>
      </c>
      <c r="D37" s="271">
        <v>1</v>
      </c>
      <c r="E37" s="271">
        <v>1</v>
      </c>
      <c r="F37" s="271">
        <v>1</v>
      </c>
      <c r="G37" s="271">
        <v>3</v>
      </c>
      <c r="H37" s="271">
        <v>2</v>
      </c>
      <c r="I37" s="367">
        <f t="shared" si="2"/>
        <v>1.6500000000000001</v>
      </c>
      <c r="J37" s="340"/>
    </row>
    <row r="38" spans="2:10" x14ac:dyDescent="0.25">
      <c r="B38" s="366">
        <f t="shared" si="4"/>
        <v>29</v>
      </c>
      <c r="C38" s="319" t="s">
        <v>352</v>
      </c>
      <c r="D38" s="271">
        <v>1</v>
      </c>
      <c r="E38" s="271">
        <v>1</v>
      </c>
      <c r="F38" s="271">
        <v>1</v>
      </c>
      <c r="G38" s="271">
        <v>3</v>
      </c>
      <c r="H38" s="271">
        <v>2</v>
      </c>
      <c r="I38" s="367">
        <f t="shared" si="2"/>
        <v>1.6500000000000001</v>
      </c>
      <c r="J38" s="340"/>
    </row>
    <row r="39" spans="2:10" x14ac:dyDescent="0.25">
      <c r="B39" s="366">
        <f t="shared" si="4"/>
        <v>30</v>
      </c>
      <c r="C39" s="319" t="s">
        <v>363</v>
      </c>
      <c r="D39" s="271">
        <v>2</v>
      </c>
      <c r="E39" s="271">
        <v>1</v>
      </c>
      <c r="F39" s="271">
        <v>1</v>
      </c>
      <c r="G39" s="271">
        <v>2</v>
      </c>
      <c r="H39" s="271">
        <v>1</v>
      </c>
      <c r="I39" s="367">
        <f>SUMPRODUCT(D39:H39,$D$8:$H$8)</f>
        <v>1.5499999999999998</v>
      </c>
      <c r="J39" s="340"/>
    </row>
    <row r="40" spans="2:10" x14ac:dyDescent="0.25">
      <c r="B40" s="366">
        <f t="shared" si="4"/>
        <v>31</v>
      </c>
      <c r="C40" s="319" t="s">
        <v>342</v>
      </c>
      <c r="D40" s="271">
        <v>1</v>
      </c>
      <c r="E40" s="271">
        <v>1</v>
      </c>
      <c r="F40" s="271">
        <v>1</v>
      </c>
      <c r="G40" s="271">
        <v>3</v>
      </c>
      <c r="H40" s="271">
        <v>1</v>
      </c>
      <c r="I40" s="367">
        <f t="shared" si="2"/>
        <v>1.5</v>
      </c>
      <c r="J40" s="340"/>
    </row>
    <row r="41" spans="2:10" x14ac:dyDescent="0.25">
      <c r="B41" s="366">
        <f t="shared" si="4"/>
        <v>32</v>
      </c>
      <c r="C41" s="319" t="s">
        <v>348</v>
      </c>
      <c r="D41" s="271">
        <v>1</v>
      </c>
      <c r="E41" s="271">
        <v>1</v>
      </c>
      <c r="F41" s="271">
        <v>1</v>
      </c>
      <c r="G41" s="271">
        <v>3</v>
      </c>
      <c r="H41" s="271">
        <v>1</v>
      </c>
      <c r="I41" s="367">
        <f t="shared" si="2"/>
        <v>1.5</v>
      </c>
      <c r="J41" s="340"/>
    </row>
    <row r="42" spans="2:10" x14ac:dyDescent="0.25">
      <c r="B42" s="366">
        <f t="shared" si="4"/>
        <v>33</v>
      </c>
      <c r="C42" s="319" t="s">
        <v>354</v>
      </c>
      <c r="D42" s="271">
        <v>1</v>
      </c>
      <c r="E42" s="271">
        <v>1</v>
      </c>
      <c r="F42" s="271">
        <v>1</v>
      </c>
      <c r="G42" s="271">
        <v>3</v>
      </c>
      <c r="H42" s="271">
        <v>1</v>
      </c>
      <c r="I42" s="367">
        <f t="shared" si="2"/>
        <v>1.5</v>
      </c>
      <c r="J42" s="340"/>
    </row>
    <row r="43" spans="2:10" x14ac:dyDescent="0.25">
      <c r="B43" s="366">
        <f t="shared" si="4"/>
        <v>34</v>
      </c>
      <c r="C43" s="319" t="s">
        <v>360</v>
      </c>
      <c r="D43" s="271">
        <v>1</v>
      </c>
      <c r="E43" s="271">
        <v>1</v>
      </c>
      <c r="F43" s="271">
        <v>1</v>
      </c>
      <c r="G43" s="271">
        <v>3</v>
      </c>
      <c r="H43" s="271">
        <v>1</v>
      </c>
      <c r="I43" s="367">
        <f t="shared" si="2"/>
        <v>1.5</v>
      </c>
      <c r="J43" s="340"/>
    </row>
    <row r="44" spans="2:10" x14ac:dyDescent="0.25">
      <c r="B44" s="366">
        <f t="shared" si="4"/>
        <v>35</v>
      </c>
      <c r="C44" s="319" t="s">
        <v>365</v>
      </c>
      <c r="D44" s="271">
        <v>2</v>
      </c>
      <c r="E44" s="271">
        <v>2</v>
      </c>
      <c r="F44" s="271">
        <v>1</v>
      </c>
      <c r="G44" s="271">
        <v>1</v>
      </c>
      <c r="H44" s="271">
        <v>1</v>
      </c>
      <c r="I44" s="367">
        <f t="shared" si="2"/>
        <v>1.4499999999999997</v>
      </c>
      <c r="J44" s="340"/>
    </row>
    <row r="45" spans="2:10" x14ac:dyDescent="0.25">
      <c r="B45" s="366">
        <f t="shared" si="4"/>
        <v>36</v>
      </c>
      <c r="C45" s="319" t="s">
        <v>345</v>
      </c>
      <c r="D45" s="271">
        <v>2</v>
      </c>
      <c r="E45" s="271">
        <v>1</v>
      </c>
      <c r="F45" s="271">
        <v>1</v>
      </c>
      <c r="G45" s="271">
        <v>1</v>
      </c>
      <c r="H45" s="271">
        <v>1</v>
      </c>
      <c r="I45" s="367">
        <f>SUMPRODUCT(D45:H45,$D$8:$H$8)</f>
        <v>1.2999999999999998</v>
      </c>
      <c r="J45" s="340"/>
    </row>
    <row r="46" spans="2:10" x14ac:dyDescent="0.25">
      <c r="B46" s="366">
        <f t="shared" si="4"/>
        <v>37</v>
      </c>
      <c r="C46" s="319" t="s">
        <v>366</v>
      </c>
      <c r="D46" s="271">
        <v>1</v>
      </c>
      <c r="E46" s="271">
        <v>2</v>
      </c>
      <c r="F46" s="271">
        <v>1</v>
      </c>
      <c r="G46" s="271">
        <v>1</v>
      </c>
      <c r="H46" s="271">
        <v>1</v>
      </c>
      <c r="I46" s="367">
        <f t="shared" si="2"/>
        <v>1.1499999999999999</v>
      </c>
      <c r="J46" s="340"/>
    </row>
    <row r="47" spans="2:10" x14ac:dyDescent="0.25">
      <c r="B47" s="366">
        <f t="shared" si="4"/>
        <v>38</v>
      </c>
      <c r="C47" s="319" t="s">
        <v>432</v>
      </c>
      <c r="D47" s="271">
        <v>1</v>
      </c>
      <c r="E47" s="271">
        <v>2</v>
      </c>
      <c r="F47" s="271">
        <v>1</v>
      </c>
      <c r="G47" s="271">
        <v>1</v>
      </c>
      <c r="H47" s="271">
        <v>1</v>
      </c>
      <c r="I47" s="367">
        <f t="shared" si="2"/>
        <v>1.1499999999999999</v>
      </c>
      <c r="J47" s="340"/>
    </row>
    <row r="48" spans="2:10" x14ac:dyDescent="0.25">
      <c r="B48" s="366">
        <f t="shared" si="4"/>
        <v>39</v>
      </c>
      <c r="C48" s="319" t="s">
        <v>372</v>
      </c>
      <c r="D48" s="271">
        <v>1</v>
      </c>
      <c r="E48" s="271">
        <v>2</v>
      </c>
      <c r="F48" s="271">
        <v>1</v>
      </c>
      <c r="G48" s="271">
        <v>1</v>
      </c>
      <c r="H48" s="271">
        <v>1</v>
      </c>
      <c r="I48" s="367">
        <f t="shared" si="2"/>
        <v>1.1499999999999999</v>
      </c>
      <c r="J48" s="340"/>
    </row>
    <row r="49" spans="2:10" x14ac:dyDescent="0.25">
      <c r="B49" s="366">
        <f t="shared" si="4"/>
        <v>40</v>
      </c>
      <c r="C49" s="319" t="s">
        <v>369</v>
      </c>
      <c r="D49" s="271">
        <v>1</v>
      </c>
      <c r="E49" s="271">
        <v>2</v>
      </c>
      <c r="F49" s="271">
        <v>1</v>
      </c>
      <c r="G49" s="271">
        <v>1</v>
      </c>
      <c r="H49" s="271">
        <v>1</v>
      </c>
      <c r="I49" s="367">
        <f t="shared" si="2"/>
        <v>1.1499999999999999</v>
      </c>
      <c r="J49" s="340"/>
    </row>
    <row r="50" spans="2:10" x14ac:dyDescent="0.25">
      <c r="B50" s="366">
        <f t="shared" si="4"/>
        <v>41</v>
      </c>
      <c r="C50" s="319" t="s">
        <v>370</v>
      </c>
      <c r="D50" s="271">
        <v>1</v>
      </c>
      <c r="E50" s="271">
        <v>2</v>
      </c>
      <c r="F50" s="271">
        <v>1</v>
      </c>
      <c r="G50" s="271">
        <v>1</v>
      </c>
      <c r="H50" s="271">
        <v>1</v>
      </c>
      <c r="I50" s="367">
        <f t="shared" si="2"/>
        <v>1.1499999999999999</v>
      </c>
      <c r="J50" s="340"/>
    </row>
    <row r="51" spans="2:10" x14ac:dyDescent="0.25">
      <c r="B51" s="366">
        <f t="shared" si="4"/>
        <v>42</v>
      </c>
      <c r="C51" s="319" t="s">
        <v>433</v>
      </c>
      <c r="D51" s="271">
        <v>1</v>
      </c>
      <c r="E51" s="271">
        <v>2</v>
      </c>
      <c r="F51" s="271">
        <v>1</v>
      </c>
      <c r="G51" s="271">
        <v>1</v>
      </c>
      <c r="H51" s="271">
        <v>1</v>
      </c>
      <c r="I51" s="367">
        <f t="shared" si="2"/>
        <v>1.1499999999999999</v>
      </c>
      <c r="J51" s="340"/>
    </row>
    <row r="52" spans="2:10" x14ac:dyDescent="0.25">
      <c r="B52" s="366">
        <f t="shared" si="4"/>
        <v>43</v>
      </c>
      <c r="C52" s="319" t="s">
        <v>413</v>
      </c>
      <c r="D52" s="271">
        <v>1</v>
      </c>
      <c r="E52" s="271">
        <v>2</v>
      </c>
      <c r="F52" s="271">
        <v>1</v>
      </c>
      <c r="G52" s="271">
        <v>1</v>
      </c>
      <c r="H52" s="271">
        <v>1</v>
      </c>
      <c r="I52" s="367">
        <f t="shared" si="2"/>
        <v>1.1499999999999999</v>
      </c>
      <c r="J52" s="340"/>
    </row>
  </sheetData>
  <mergeCells count="9">
    <mergeCell ref="I8:I9"/>
    <mergeCell ref="J8:J9"/>
    <mergeCell ref="B1:G1"/>
    <mergeCell ref="B8:B9"/>
    <mergeCell ref="B2:G2"/>
    <mergeCell ref="B3:G3"/>
    <mergeCell ref="B4:G4"/>
    <mergeCell ref="B5:G5"/>
    <mergeCell ref="C8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 de desarrollo</vt:lpstr>
      <vt:lpstr>Viabilidad económica</vt:lpstr>
      <vt:lpstr>Priorización de casos de 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Lixfe</cp:lastModifiedBy>
  <dcterms:created xsi:type="dcterms:W3CDTF">2020-09-18T00:13:25Z</dcterms:created>
  <dcterms:modified xsi:type="dcterms:W3CDTF">2023-04-14T03:54:43Z</dcterms:modified>
</cp:coreProperties>
</file>