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Excel\30. RIUQXD2MEHSS- Probability Distributions and Sampling Distributions\"/>
    </mc:Choice>
  </mc:AlternateContent>
  <xr:revisionPtr revIDLastSave="0" documentId="13_ncr:1_{896F3067-3750-4C15-8812-203DE9EADD6E}" xr6:coauthVersionLast="47" xr6:coauthVersionMax="47" xr10:uidLastSave="{00000000-0000-0000-0000-000000000000}"/>
  <bookViews>
    <workbookView xWindow="-108" yWindow="-108" windowWidth="23256" windowHeight="12456" xr2:uid="{0AD4248A-4C10-4FE4-A08F-BC3CE3BD524F}"/>
  </bookViews>
  <sheets>
    <sheet name="Problem Status" sheetId="12" r:id="rId1"/>
    <sheet name="Problems 5.2, 5.6 &amp; 5.7" sheetId="1" r:id="rId2"/>
    <sheet name="Problems 5.13, 5.14 &amp; 5.16" sheetId="7" r:id="rId3"/>
    <sheet name="HypergeometricDist" sheetId="10" r:id="rId4"/>
    <sheet name="Problems 5.20, 5.22, 5.23, 5.26" sheetId="8" r:id="rId5"/>
    <sheet name="6.17, 6.24 &amp; 6.26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2" l="1"/>
  <c r="K45" i="11"/>
  <c r="K46" i="11"/>
  <c r="K47" i="11"/>
  <c r="K49" i="11"/>
  <c r="K50" i="11" s="1"/>
  <c r="K48" i="11"/>
  <c r="K28" i="11"/>
  <c r="K27" i="11"/>
  <c r="K26" i="11"/>
  <c r="K31" i="11"/>
  <c r="K30" i="11"/>
  <c r="K29" i="11"/>
  <c r="I81" i="8"/>
  <c r="I80" i="8"/>
  <c r="I79" i="8"/>
  <c r="I78" i="8"/>
  <c r="N72" i="8"/>
  <c r="M70" i="8"/>
  <c r="J61" i="8"/>
  <c r="J60" i="8"/>
  <c r="J62" i="8" s="1"/>
  <c r="J59" i="8"/>
  <c r="J52" i="8"/>
  <c r="J51" i="8"/>
  <c r="H43" i="8"/>
  <c r="J50" i="8"/>
  <c r="J49" i="8"/>
  <c r="H63" i="7"/>
  <c r="H62" i="7"/>
  <c r="G61" i="7"/>
  <c r="G60" i="7"/>
  <c r="I60" i="7"/>
  <c r="G59" i="7"/>
  <c r="I59" i="7"/>
  <c r="H54" i="7"/>
  <c r="P55" i="7"/>
  <c r="O55" i="7"/>
  <c r="N55" i="7"/>
  <c r="M55" i="7"/>
  <c r="L55" i="7"/>
  <c r="K55" i="7"/>
  <c r="J55" i="7"/>
  <c r="I55" i="7"/>
  <c r="H50" i="7"/>
  <c r="H53" i="7"/>
  <c r="H52" i="7"/>
  <c r="H51" i="7"/>
  <c r="H49" i="7"/>
  <c r="H48" i="7"/>
  <c r="H42" i="7"/>
  <c r="H45" i="7"/>
  <c r="H44" i="7"/>
  <c r="H43" i="7"/>
  <c r="H41" i="7"/>
  <c r="H38" i="7"/>
  <c r="H40" i="7"/>
  <c r="H39" i="7"/>
  <c r="H37" i="7"/>
  <c r="J32" i="7"/>
  <c r="J33" i="7"/>
  <c r="H33" i="7"/>
  <c r="H32" i="7"/>
  <c r="J31" i="7"/>
  <c r="H31" i="7"/>
  <c r="J30" i="7"/>
  <c r="H30" i="7"/>
  <c r="H28" i="7"/>
  <c r="H27" i="7"/>
  <c r="H26" i="7"/>
  <c r="G25" i="7"/>
  <c r="J23" i="7"/>
  <c r="I24" i="7"/>
  <c r="H23" i="7"/>
  <c r="J97" i="1"/>
  <c r="H116" i="1"/>
  <c r="H131" i="1"/>
  <c r="O127" i="1"/>
  <c r="O124" i="1"/>
  <c r="O125" i="1"/>
  <c r="O126" i="1"/>
  <c r="O123" i="1"/>
  <c r="H130" i="1"/>
  <c r="N127" i="1"/>
  <c r="N124" i="1"/>
  <c r="N125" i="1"/>
  <c r="N126" i="1"/>
  <c r="N123" i="1"/>
  <c r="M127" i="1"/>
  <c r="M124" i="1"/>
  <c r="M125" i="1"/>
  <c r="M126" i="1"/>
  <c r="M123" i="1"/>
  <c r="J89" i="1"/>
  <c r="H129" i="1"/>
  <c r="H128" i="1"/>
  <c r="L127" i="1"/>
  <c r="L124" i="1"/>
  <c r="L125" i="1"/>
  <c r="L126" i="1"/>
  <c r="L123" i="1"/>
  <c r="K127" i="1"/>
  <c r="K124" i="1"/>
  <c r="K125" i="1"/>
  <c r="K126" i="1"/>
  <c r="K123" i="1"/>
  <c r="G127" i="1"/>
  <c r="M113" i="1"/>
  <c r="M106" i="1"/>
  <c r="M107" i="1"/>
  <c r="M108" i="1"/>
  <c r="M109" i="1"/>
  <c r="M110" i="1"/>
  <c r="M111" i="1"/>
  <c r="M112" i="1"/>
  <c r="M105" i="1"/>
  <c r="J117" i="1"/>
  <c r="L113" i="1"/>
  <c r="L106" i="1"/>
  <c r="L107" i="1"/>
  <c r="L108" i="1"/>
  <c r="L109" i="1"/>
  <c r="L110" i="1"/>
  <c r="L111" i="1"/>
  <c r="L112" i="1"/>
  <c r="L105" i="1"/>
  <c r="K113" i="1"/>
  <c r="K106" i="1"/>
  <c r="K107" i="1"/>
  <c r="K108" i="1"/>
  <c r="K109" i="1"/>
  <c r="K110" i="1"/>
  <c r="K111" i="1"/>
  <c r="K112" i="1"/>
  <c r="K105" i="1"/>
  <c r="J106" i="1"/>
  <c r="J107" i="1"/>
  <c r="J108" i="1"/>
  <c r="J109" i="1"/>
  <c r="J110" i="1"/>
  <c r="J111" i="1"/>
  <c r="J112" i="1"/>
  <c r="J105" i="1"/>
  <c r="J90" i="1"/>
  <c r="J91" i="1"/>
  <c r="J92" i="1"/>
  <c r="J93" i="1"/>
  <c r="J94" i="1"/>
  <c r="I113" i="1"/>
  <c r="H115" i="1" s="1"/>
  <c r="I106" i="1"/>
  <c r="I107" i="1"/>
  <c r="I108" i="1"/>
  <c r="I109" i="1"/>
  <c r="I110" i="1"/>
  <c r="I111" i="1"/>
  <c r="I112" i="1"/>
  <c r="I105" i="1"/>
  <c r="H113" i="1"/>
  <c r="K100" i="1"/>
  <c r="I95" i="1"/>
  <c r="H95" i="1"/>
  <c r="I94" i="1"/>
  <c r="K94" i="1"/>
  <c r="I93" i="1"/>
  <c r="I92" i="1"/>
  <c r="I91" i="1"/>
  <c r="I90" i="1"/>
  <c r="I89" i="1"/>
  <c r="C38" i="10"/>
  <c r="C36" i="10"/>
  <c r="H31" i="8"/>
  <c r="I68" i="1"/>
  <c r="I69" i="1"/>
  <c r="I70" i="1"/>
  <c r="I71" i="1"/>
  <c r="I67" i="1"/>
  <c r="I72" i="1" s="1"/>
  <c r="K93" i="1" s="1"/>
  <c r="J95" i="1" l="1"/>
  <c r="K90" i="1"/>
  <c r="K91" i="1"/>
  <c r="K92" i="1"/>
  <c r="K89" i="1"/>
  <c r="K95" i="1" s="1"/>
  <c r="J99" i="1" s="1"/>
  <c r="J70" i="1"/>
  <c r="J71" i="1"/>
  <c r="J67" i="1"/>
  <c r="J68" i="1"/>
  <c r="J69" i="1"/>
  <c r="G223" i="10"/>
  <c r="E223" i="10"/>
  <c r="G222" i="10"/>
  <c r="E222" i="10"/>
  <c r="H209" i="10"/>
  <c r="F209" i="10"/>
  <c r="H207" i="10"/>
  <c r="F207" i="10"/>
  <c r="F208" i="10" s="1"/>
  <c r="H186" i="10"/>
  <c r="F186" i="10"/>
  <c r="H185" i="10"/>
  <c r="F185" i="10"/>
  <c r="H184" i="10"/>
  <c r="F184" i="10"/>
  <c r="D138" i="10"/>
  <c r="D139" i="10" s="1"/>
  <c r="D140" i="10" s="1"/>
  <c r="H124" i="10"/>
  <c r="F124" i="10"/>
  <c r="D145" i="10" s="1"/>
  <c r="H123" i="10"/>
  <c r="F123" i="10"/>
  <c r="D144" i="10" s="1"/>
  <c r="H122" i="10"/>
  <c r="F122" i="10"/>
  <c r="D143" i="10" s="1"/>
  <c r="H106" i="10"/>
  <c r="F106" i="10"/>
  <c r="H105" i="10"/>
  <c r="F105" i="10"/>
  <c r="H104" i="10"/>
  <c r="F104" i="10"/>
  <c r="I89" i="10"/>
  <c r="G89" i="10"/>
  <c r="I77" i="10"/>
  <c r="G77" i="10"/>
  <c r="I76" i="10"/>
  <c r="G76" i="10"/>
  <c r="E55" i="10"/>
  <c r="C54" i="10"/>
  <c r="C53" i="10"/>
  <c r="C37" i="10"/>
  <c r="E36" i="10"/>
  <c r="J98" i="1" l="1"/>
  <c r="H143" i="8"/>
  <c r="H142" i="8"/>
  <c r="H141" i="8"/>
  <c r="H140" i="8"/>
  <c r="H139" i="8"/>
  <c r="H138" i="8"/>
  <c r="H137" i="8"/>
  <c r="J132" i="8"/>
  <c r="J133" i="8" s="1"/>
  <c r="K113" i="8"/>
  <c r="K112" i="8"/>
  <c r="H113" i="8"/>
  <c r="H112" i="8"/>
  <c r="H103" i="8"/>
  <c r="H102" i="8"/>
  <c r="H41" i="8"/>
  <c r="H45" i="8"/>
  <c r="H39" i="8"/>
  <c r="H37" i="8"/>
  <c r="H35" i="8"/>
  <c r="H33" i="8"/>
  <c r="F27" i="8"/>
  <c r="F25" i="8"/>
  <c r="F23" i="8"/>
  <c r="F21" i="8"/>
  <c r="P78" i="1"/>
  <c r="J78" i="1"/>
  <c r="N72" i="1"/>
  <c r="O71" i="1"/>
  <c r="O70" i="1"/>
  <c r="O69" i="1"/>
  <c r="O68" i="1"/>
  <c r="O67" i="1"/>
  <c r="H72" i="1"/>
  <c r="O72" i="1" l="1"/>
  <c r="P74" i="1" s="1"/>
  <c r="J74" i="1"/>
  <c r="K68" i="1" l="1"/>
  <c r="K69" i="1"/>
  <c r="K70" i="1"/>
  <c r="K71" i="1"/>
  <c r="P68" i="1"/>
  <c r="Q68" i="1" s="1"/>
  <c r="P69" i="1"/>
  <c r="Q69" i="1" s="1"/>
  <c r="P67" i="1"/>
  <c r="P70" i="1"/>
  <c r="Q70" i="1" s="1"/>
  <c r="P71" i="1"/>
  <c r="Q71" i="1" s="1"/>
  <c r="Q67" i="1" l="1"/>
  <c r="Q72" i="1" s="1"/>
  <c r="P72" i="1"/>
  <c r="P76" i="1" l="1"/>
  <c r="P75" i="1"/>
  <c r="J72" i="1" l="1"/>
  <c r="K67" i="1"/>
  <c r="K72" i="1" s="1"/>
  <c r="J75" i="1" s="1"/>
  <c r="J76" i="1" l="1"/>
</calcChain>
</file>

<file path=xl/sharedStrings.xml><?xml version="1.0" encoding="utf-8"?>
<sst xmlns="http://schemas.openxmlformats.org/spreadsheetml/2006/main" count="443" uniqueCount="244">
  <si>
    <t>x</t>
  </si>
  <si>
    <t>p(x)</t>
  </si>
  <si>
    <t>x*p(x)</t>
  </si>
  <si>
    <r>
      <t xml:space="preserve">(x - </t>
    </r>
    <r>
      <rPr>
        <b/>
        <sz val="11"/>
        <color theme="1"/>
        <rFont val="Calibri"/>
        <family val="2"/>
      </rPr>
      <t>µ)</t>
    </r>
    <r>
      <rPr>
        <b/>
        <vertAlign val="superscript"/>
        <sz val="11"/>
        <color theme="1"/>
        <rFont val="Calibri"/>
        <family val="2"/>
      </rPr>
      <t>2</t>
    </r>
  </si>
  <si>
    <r>
      <t xml:space="preserve">(x - </t>
    </r>
    <r>
      <rPr>
        <b/>
        <sz val="11"/>
        <color theme="1"/>
        <rFont val="Calibri"/>
        <family val="2"/>
      </rPr>
      <t>µ)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* p(x)</t>
    </r>
  </si>
  <si>
    <t>Totals</t>
  </si>
  <si>
    <r>
      <t xml:space="preserve">The Expected Value, E(x) or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</si>
  <si>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The Variance,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</si>
  <si>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 xml:space="preserve">The Standard Deviation, </t>
    </r>
    <r>
      <rPr>
        <sz val="11"/>
        <color theme="1"/>
        <rFont val="Calibri"/>
        <family val="2"/>
      </rPr>
      <t xml:space="preserve">σ, = </t>
    </r>
  </si>
  <si>
    <t xml:space="preserve">Example:  </t>
  </si>
  <si>
    <t>Let x = the # of interruptions</t>
  </si>
  <si>
    <t xml:space="preserve">P(x &lt; 3) = P(x = 2) + P(x = 1) + P(x = 0) = </t>
  </si>
  <si>
    <t xml:space="preserve">0.20 + 0.25 + 0.35 = </t>
  </si>
  <si>
    <t xml:space="preserve">P(x &lt;= 3) = P(x = 3) + P(x = 2) + P(x = 1) + P(x = 0) = </t>
  </si>
  <si>
    <t xml:space="preserve">0.10 + 0.20 + 0.25 + 0.35 = </t>
  </si>
  <si>
    <t>P(x = 3) = 0.10</t>
  </si>
  <si>
    <t xml:space="preserve">P(x &gt; 3) = P(x = 4) + P(x = 5) = </t>
  </si>
  <si>
    <t xml:space="preserve">0.05 + 0.05 = </t>
  </si>
  <si>
    <t>OR</t>
  </si>
  <si>
    <t xml:space="preserve">P(x &gt; 3) = 1 - P(x &lt;= 3) = </t>
  </si>
  <si>
    <t xml:space="preserve">1 - 0.9 = </t>
  </si>
  <si>
    <t>Distribution A</t>
  </si>
  <si>
    <t>Distribution B</t>
  </si>
  <si>
    <t>a.</t>
  </si>
  <si>
    <t>a. &amp; b.</t>
  </si>
  <si>
    <t>c.</t>
  </si>
  <si>
    <t xml:space="preserve">P(x &gt;=3) = P(x = 3) + P(x = 4) = </t>
  </si>
  <si>
    <t>d.</t>
  </si>
  <si>
    <t>The expected values (or means) are different, but the variances and standard deviations are the same.</t>
  </si>
  <si>
    <t>b.</t>
  </si>
  <si>
    <t>Recession</t>
  </si>
  <si>
    <t>Slow Growth</t>
  </si>
  <si>
    <t>Moderate Growth</t>
  </si>
  <si>
    <t>Fast Growth</t>
  </si>
  <si>
    <t xml:space="preserve">n = </t>
  </si>
  <si>
    <t xml:space="preserve">P(X = 0) = </t>
  </si>
  <si>
    <t xml:space="preserve">P(X = 8) = </t>
  </si>
  <si>
    <t>e.</t>
  </si>
  <si>
    <t xml:space="preserve">P(X &lt;= 2) = </t>
  </si>
  <si>
    <t xml:space="preserve">P(X = 1) = </t>
  </si>
  <si>
    <t xml:space="preserve">λ = </t>
  </si>
  <si>
    <t xml:space="preserve">P(X = 2) = </t>
  </si>
  <si>
    <t xml:space="preserve">P(X &lt;= 1) = </t>
  </si>
  <si>
    <t xml:space="preserve">P(X &lt;= 3) = </t>
  </si>
  <si>
    <t xml:space="preserve">P(X &gt;= 2) = 1 - P(X &lt;= 1) = </t>
  </si>
  <si>
    <t>P(X &gt;= 1) = 1 - P(X &lt;= 0) =</t>
  </si>
  <si>
    <t>P(X &gt;= 3) = 1 - P(X &lt;= 2) =</t>
  </si>
  <si>
    <t>Suppose</t>
  </si>
  <si>
    <t xml:space="preserve">P(X &lt; 3) = P(X &lt;=2) =   </t>
  </si>
  <si>
    <t xml:space="preserve">P(X &gt; 2) = 1 - P(X &lt;= 2) =  </t>
  </si>
  <si>
    <t>Ford</t>
  </si>
  <si>
    <t>Toyota</t>
  </si>
  <si>
    <t xml:space="preserve">P(X &gt;= 3) = 1 - P(X &lt;= 2) = </t>
  </si>
  <si>
    <t>Find the number of calls received in a 1-minute time period received 99.99% of the time.</t>
  </si>
  <si>
    <t>Inverse operation.</t>
  </si>
  <si>
    <t xml:space="preserve">P(x&lt;= 6) = </t>
  </si>
  <si>
    <t xml:space="preserve">P(x&lt;= 0) = </t>
  </si>
  <si>
    <t xml:space="preserve">P(x&lt;= 1) = </t>
  </si>
  <si>
    <t xml:space="preserve">P(x&lt;= 2) = </t>
  </si>
  <si>
    <t xml:space="preserve">P(x&lt;= 3) = </t>
  </si>
  <si>
    <t xml:space="preserve">P(x&lt;= 4) = </t>
  </si>
  <si>
    <t xml:space="preserve">P(x&lt;= 5) = </t>
  </si>
  <si>
    <t>&lt;--  Occurs for 6, so max calls that can be received in a 1-minute time period = 6.</t>
  </si>
  <si>
    <t>Problems 8 - 10</t>
  </si>
  <si>
    <t>x = number of successes in a sample</t>
  </si>
  <si>
    <t>sample size = 4</t>
  </si>
  <si>
    <t>M = 5 are successes in the population</t>
  </si>
  <si>
    <t>Population size, N = 8</t>
  </si>
  <si>
    <t>Problem 8</t>
  </si>
  <si>
    <t xml:space="preserve">P(x = 4) = </t>
  </si>
  <si>
    <t>Problem 9</t>
  </si>
  <si>
    <t xml:space="preserve">P(x = 1) = </t>
  </si>
  <si>
    <t>Problem 10</t>
  </si>
  <si>
    <t xml:space="preserve">P(x &lt;= 2) = </t>
  </si>
  <si>
    <t>Problems 11 - 13</t>
  </si>
  <si>
    <t xml:space="preserve">x = number of successes in a sample </t>
  </si>
  <si>
    <t>sample size = 5</t>
  </si>
  <si>
    <t>M = 6 are successes in the population</t>
  </si>
  <si>
    <t>Population, N = 10</t>
  </si>
  <si>
    <t>Problem 11</t>
  </si>
  <si>
    <t xml:space="preserve">P(x = 0) = </t>
  </si>
  <si>
    <t>Problem 12</t>
  </si>
  <si>
    <t xml:space="preserve">P(x = 2) = </t>
  </si>
  <si>
    <t>Problem 13</t>
  </si>
  <si>
    <t xml:space="preserve">P(x &gt;= 2) = 1 - P(x &lt;= 1) = </t>
  </si>
  <si>
    <t xml:space="preserve">σ = </t>
  </si>
  <si>
    <t xml:space="preserve">N = </t>
  </si>
  <si>
    <t xml:space="preserve">M = </t>
  </si>
  <si>
    <t xml:space="preserve">µ = E(x) = </t>
  </si>
  <si>
    <t>Problem 29</t>
  </si>
  <si>
    <t xml:space="preserve">n = # of voters selected = </t>
  </si>
  <si>
    <t>s = sample size = 10</t>
  </si>
  <si>
    <t>M = # of Republicans = 125</t>
  </si>
  <si>
    <t>N = # of voters in the population = 200</t>
  </si>
  <si>
    <t>The probability distribution would be =(COMBIN(125, x))*(COMBIN(75, 10 - x))/(COMBIN(200,10))</t>
  </si>
  <si>
    <t xml:space="preserve">p(10 voters selected to complete exit poll) = </t>
  </si>
  <si>
    <t xml:space="preserve">P(0 voters selected to complete exit poll) = </t>
  </si>
  <si>
    <t>Problem 30</t>
  </si>
  <si>
    <t xml:space="preserve">n = # of questions selected = </t>
  </si>
  <si>
    <t>s = # of questions student can solve = 6</t>
  </si>
  <si>
    <t>M = # of questions chosen for the exam = 5</t>
  </si>
  <si>
    <t>N = # of questions to choose from = 10</t>
  </si>
  <si>
    <t xml:space="preserve">P(student can solve all 5 problems on the exam) = </t>
  </si>
  <si>
    <t>Problem 31</t>
  </si>
  <si>
    <t xml:space="preserve">n = # of chosen defective computer chips = </t>
  </si>
  <si>
    <t>s = # of known defective computer chips = 2</t>
  </si>
  <si>
    <t>M = # of computer chips randomly chosen = 3</t>
  </si>
  <si>
    <t>N = # of computer chips to choose from = 6</t>
  </si>
  <si>
    <t xml:space="preserve">P(0 computer chips are defective) = </t>
  </si>
  <si>
    <t xml:space="preserve">P(1 computer chip is defective) = </t>
  </si>
  <si>
    <t xml:space="preserve">P(2 computer chips are defective) = </t>
  </si>
  <si>
    <t>Problem 32</t>
  </si>
  <si>
    <t xml:space="preserve">n = # of chosen women applicants = </t>
  </si>
  <si>
    <t>s = # of women applicants = 2</t>
  </si>
  <si>
    <t>M = # of applicants randomly chosen = 2</t>
  </si>
  <si>
    <t>N = # of applicants to choose from = 5</t>
  </si>
  <si>
    <t xml:space="preserve">P(0 women were chosen) = </t>
  </si>
  <si>
    <t xml:space="preserve">P(1 woman was chosen) = </t>
  </si>
  <si>
    <t xml:space="preserve">P(2 women were chosen) = </t>
  </si>
  <si>
    <t>women</t>
  </si>
  <si>
    <t>chosen</t>
  </si>
  <si>
    <t>from 5</t>
  </si>
  <si>
    <t>Problem 33</t>
  </si>
  <si>
    <t>Based on the given information, this is a hypergeometric probability distrbution.</t>
  </si>
  <si>
    <t xml:space="preserve">n = # of chosen interns who are paid = </t>
  </si>
  <si>
    <t>s = # of interns = 5</t>
  </si>
  <si>
    <t>M = # of interns randomly chosen = 3</t>
  </si>
  <si>
    <t>N = # of candidates to choose from = 8</t>
  </si>
  <si>
    <t xml:space="preserve">P(3 paid interns are hired) = </t>
  </si>
  <si>
    <t xml:space="preserve">P(0 paid interns are hired) = </t>
  </si>
  <si>
    <t xml:space="preserve">P(0 or 1 paid interns are hired) = </t>
  </si>
  <si>
    <t>Problem 34</t>
  </si>
  <si>
    <t xml:space="preserve">n = # of plants emerged from treated seeds = </t>
  </si>
  <si>
    <t>s = # of treated seeds = 5</t>
  </si>
  <si>
    <t>M = # of plants emerged from treated seeds in the population = 4</t>
  </si>
  <si>
    <t>N = # of seeds in the population = 10</t>
  </si>
  <si>
    <t xml:space="preserve">P(x &lt;= 3) = </t>
  </si>
  <si>
    <t xml:space="preserve">P(2 &lt;= x &lt;= 3) = P(x= 2) + P(x = 3) = </t>
  </si>
  <si>
    <t>&lt;---P(2 &lt;= x &lt;= 3) = P(x &lt;= 3) - P(x &lt;= 1)</t>
  </si>
  <si>
    <t>Problem 35</t>
  </si>
  <si>
    <t xml:space="preserve">n = # of defective panels in the sample = </t>
  </si>
  <si>
    <t>s = # of panels in the sample = 4</t>
  </si>
  <si>
    <t>M = # of known defective panels in the population = 2</t>
  </si>
  <si>
    <t>N = # of panels in the population = 8</t>
  </si>
  <si>
    <t xml:space="preserve">P(no defective panels) = </t>
  </si>
  <si>
    <t xml:space="preserve">P(exactly 2 defective panels) = </t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</si>
  <si>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</si>
  <si>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t>P(at least 2)</t>
  </si>
  <si>
    <t>P(x &gt;=2)</t>
  </si>
  <si>
    <t>Thus, the probability that there will be at least two accidents on a given day is 70%.</t>
  </si>
  <si>
    <t>P(x=2)+P(x=3)+----+P(x=5)</t>
  </si>
  <si>
    <t>#</t>
  </si>
  <si>
    <t>Question</t>
  </si>
  <si>
    <t>Status</t>
  </si>
  <si>
    <t>Done</t>
  </si>
  <si>
    <t>5.9b</t>
  </si>
  <si>
    <t>5.10b</t>
  </si>
  <si>
    <t>frequency (f)</t>
  </si>
  <si>
    <r>
      <t xml:space="preserve">(x - </t>
    </r>
    <r>
      <rPr>
        <b/>
        <sz val="11"/>
        <color theme="1"/>
        <rFont val="Calibri"/>
        <family val="2"/>
      </rPr>
      <t>µ)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>.fx</t>
    </r>
  </si>
  <si>
    <t>fx</t>
  </si>
  <si>
    <t>P(x&gt;1)</t>
  </si>
  <si>
    <t>P(x=2)+---+P(x=7)</t>
  </si>
  <si>
    <t>P(x)</t>
  </si>
  <si>
    <t>x.p(x)</t>
  </si>
  <si>
    <t>EC</t>
  </si>
  <si>
    <t>Stock X</t>
  </si>
  <si>
    <t>Stock Y</t>
  </si>
  <si>
    <t>E(x)</t>
  </si>
  <si>
    <t>E(Y)</t>
  </si>
  <si>
    <r>
      <t xml:space="preserve">The Expected Value, E(y) or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</si>
  <si>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The Standard Deviation, </t>
    </r>
    <r>
      <rPr>
        <sz val="11"/>
        <color theme="1"/>
        <rFont val="Calibri"/>
        <family val="2"/>
      </rPr>
      <t xml:space="preserve">σx, = </t>
    </r>
  </si>
  <si>
    <r>
      <t xml:space="preserve">The Standard Deviation, </t>
    </r>
    <r>
      <rPr>
        <sz val="11"/>
        <color theme="1"/>
        <rFont val="Calibri"/>
        <family val="2"/>
      </rPr>
      <t xml:space="preserve">σy, = </t>
    </r>
  </si>
  <si>
    <r>
      <t xml:space="preserve">(x - </t>
    </r>
    <r>
      <rPr>
        <b/>
        <sz val="11"/>
        <color theme="1"/>
        <rFont val="Calibri"/>
        <family val="2"/>
      </rPr>
      <t>µx)</t>
    </r>
    <r>
      <rPr>
        <b/>
        <vertAlign val="superscript"/>
        <sz val="11"/>
        <color theme="1"/>
        <rFont val="Calibri"/>
        <family val="2"/>
      </rPr>
      <t>2</t>
    </r>
  </si>
  <si>
    <r>
      <t xml:space="preserve">(x - </t>
    </r>
    <r>
      <rPr>
        <b/>
        <sz val="11"/>
        <color theme="1"/>
        <rFont val="Calibri"/>
        <family val="2"/>
      </rPr>
      <t>µx)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* p(x)</t>
    </r>
  </si>
  <si>
    <r>
      <t xml:space="preserve">(x - </t>
    </r>
    <r>
      <rPr>
        <b/>
        <sz val="11"/>
        <color theme="1"/>
        <rFont val="Calibri"/>
        <family val="2"/>
      </rPr>
      <t>µy)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* p(y)</t>
    </r>
  </si>
  <si>
    <t>It depends on the investor behaviour (risk lover, averse, netural).</t>
  </si>
  <si>
    <t>We assume that the investor is risk lover, so according to the standard deviation, higher the standard deviation means</t>
  </si>
  <si>
    <t xml:space="preserve">price are volatile, so the investments come with higher risk. </t>
  </si>
  <si>
    <r>
      <t xml:space="preserve">Std Dev, </t>
    </r>
    <r>
      <rPr>
        <sz val="11"/>
        <color theme="1"/>
        <rFont val="Calibri"/>
        <family val="2"/>
      </rPr>
      <t>σ, =</t>
    </r>
  </si>
  <si>
    <r>
      <t>n</t>
    </r>
    <r>
      <rPr>
        <sz val="11"/>
        <color theme="1"/>
        <rFont val="Calibri"/>
        <family val="2"/>
        <scheme val="minor"/>
      </rPr>
      <t>π</t>
    </r>
    <r>
      <rPr>
        <sz val="11"/>
        <color theme="1"/>
        <rFont val="Calibri"/>
        <family val="2"/>
        <scheme val="minor"/>
      </rPr>
      <t xml:space="preserve"> (E(x) = µ</t>
    </r>
  </si>
  <si>
    <r>
      <t>σ</t>
    </r>
    <r>
      <rPr>
        <vertAlign val="superscript"/>
        <sz val="11"/>
        <color rgb="FF202124"/>
        <rFont val="Arial"/>
        <family val="2"/>
      </rPr>
      <t>2</t>
    </r>
    <r>
      <rPr>
        <vertAlign val="subscript"/>
        <sz val="11"/>
        <color rgb="FF202124"/>
        <rFont val="Arial"/>
        <family val="2"/>
      </rPr>
      <t>x</t>
    </r>
    <r>
      <rPr>
        <sz val="10"/>
        <color rgb="FF202124"/>
        <rFont val="Arial"/>
        <family val="2"/>
      </rPr>
      <t xml:space="preserve"> = (n * P * ( 1 - P ))</t>
    </r>
  </si>
  <si>
    <t>P(X=0)</t>
  </si>
  <si>
    <t>P(X=9)</t>
  </si>
  <si>
    <t>P(X=8)</t>
  </si>
  <si>
    <t>P(X=5)</t>
  </si>
  <si>
    <t>µ =</t>
  </si>
  <si>
    <t>p=1/4 = 0.25</t>
  </si>
  <si>
    <t>q=1-0.25 = 0.75</t>
  </si>
  <si>
    <t>P(X&gt;=4)</t>
  </si>
  <si>
    <t>P(X=4)</t>
  </si>
  <si>
    <t>P(x=0)</t>
  </si>
  <si>
    <t>P(x&lt;2)</t>
  </si>
  <si>
    <t>P(x=1)</t>
  </si>
  <si>
    <t>P(x=2)</t>
  </si>
  <si>
    <t>P(x&lt;=2)</t>
  </si>
  <si>
    <t>p=0.03</t>
  </si>
  <si>
    <t>P(x&gt;=3)</t>
  </si>
  <si>
    <t>P(x=3)+---+P(x=10)</t>
  </si>
  <si>
    <t>P(X=3)</t>
  </si>
  <si>
    <t>P(X=6)</t>
  </si>
  <si>
    <t>P(X=7)</t>
  </si>
  <si>
    <t>P(X=10)</t>
  </si>
  <si>
    <t>p = 90.9% = 0.909</t>
  </si>
  <si>
    <t>np</t>
  </si>
  <si>
    <t>variance = (np*(1-p))</t>
  </si>
  <si>
    <t xml:space="preserve">e. </t>
  </si>
  <si>
    <t>We get the different probabilities above which implies that when all three orders will be filled correctly,</t>
  </si>
  <si>
    <t xml:space="preserve">the probability that is 75%. </t>
  </si>
  <si>
    <t>On the other hand, when none of the three will be filled correctly, then the probability that is close to zero percent.</t>
  </si>
  <si>
    <t xml:space="preserve">Thus, if orders will be filled correctly, then the probability will rise. </t>
  </si>
  <si>
    <t>P(X &lt; 1) =</t>
  </si>
  <si>
    <t>P(X&lt;=1)</t>
  </si>
  <si>
    <t>1-P(X&lt;=1)</t>
  </si>
  <si>
    <t>P(X&gt;1) =</t>
  </si>
  <si>
    <t>P(X&lt;=1) =</t>
  </si>
  <si>
    <t>P(x&lt;=5)</t>
  </si>
  <si>
    <t>P(x=5)</t>
  </si>
  <si>
    <t>P(x&gt;=5)</t>
  </si>
  <si>
    <t>P(x=4) + P(x=5)</t>
  </si>
  <si>
    <t>Let X=number of chip parts per cookie.</t>
  </si>
  <si>
    <t>If the production process is in control, the mean number of chip parts per cookie is 6.0.</t>
  </si>
  <si>
    <t>Batch size is 100 cookies.</t>
  </si>
  <si>
    <t>P(X=0) + P(X=1) + P(X=2) + P(X=3) =</t>
  </si>
  <si>
    <t>P(X&lt;4) =</t>
  </si>
  <si>
    <t>Hence the probability of getting less than 4 chips in a cookie is 0.1512.</t>
  </si>
  <si>
    <t>Therefore, number of cookies expected to have less than 4 chips are,</t>
  </si>
  <si>
    <t>Hence approximately 15 cookies are expected to have less than 4 chip.</t>
  </si>
  <si>
    <t>Therefore, The manager should expect to discard 15 cookies.</t>
  </si>
  <si>
    <t>bit.ly/2mGG2L.i.</t>
  </si>
  <si>
    <t>X~U[0,120]</t>
  </si>
  <si>
    <t>P(X&lt;20)</t>
  </si>
  <si>
    <t>P(10&lt;X&lt;30)</t>
  </si>
  <si>
    <t>P(X&gt;35)</t>
  </si>
  <si>
    <r>
      <t>σ</t>
    </r>
    <r>
      <rPr>
        <vertAlign val="superscript"/>
        <sz val="11"/>
        <color rgb="FF202124"/>
        <rFont val="Arial"/>
        <family val="2"/>
      </rPr>
      <t>2</t>
    </r>
  </si>
  <si>
    <t>σ = std dev</t>
  </si>
  <si>
    <t>μ = mean</t>
  </si>
  <si>
    <t>a=</t>
  </si>
  <si>
    <t>b=</t>
  </si>
  <si>
    <t>x1=</t>
  </si>
  <si>
    <t>x2=</t>
  </si>
  <si>
    <t>P(x&lt;4.5)</t>
  </si>
  <si>
    <t>p(x&gt;4)</t>
  </si>
  <si>
    <t>P(4.0&lt;x&lt;4.5)</t>
  </si>
  <si>
    <t>Data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</si>
</sst>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0.00000000"/>
    <numFmt numFmtId="166" formatCode="0.0000000"/>
    <numFmt numFmtId="167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202124"/>
      <name val="Arial"/>
      <family val="2"/>
    </font>
    <font>
      <vertAlign val="superscript"/>
      <sz val="11"/>
      <color rgb="FF202124"/>
      <name val="Arial"/>
      <family val="2"/>
    </font>
    <font>
      <vertAlign val="subscript"/>
      <sz val="11"/>
      <color rgb="FF202124"/>
      <name val="Arial"/>
      <family val="2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5" borderId="6" xfId="0" applyFont="1" applyFill="1" applyBorder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9" xfId="0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right" vertic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0" fontId="10" fillId="0" borderId="0" xfId="0" applyFont="1"/>
    <xf numFmtId="2" fontId="0" fillId="0" borderId="0" xfId="0" applyNumberFormat="1" applyAlignment="1">
      <alignment horizontal="right" vertical="center" wrapText="1"/>
    </xf>
    <xf numFmtId="0" fontId="13" fillId="0" borderId="0" xfId="0" applyFont="1"/>
    <xf numFmtId="0" fontId="1" fillId="7" borderId="0" xfId="0" applyFont="1" applyFill="1"/>
    <xf numFmtId="0" fontId="0" fillId="7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Normal" xfId="0" builtinId="0"/>
    <cellStyle name="Normal 2" xfId="1" xr:uid="{0F934B05-EE4D-407D-B1AD-994DBFAFD73B}"/>
  </cellStyles>
  <dxfs count="0"/>
  <tableStyles count="1" defaultTableStyle="TableStyleMedium2" defaultPivotStyle="PivotStyleLight16">
    <tableStyle name="Invisible" pivot="0" table="0" count="0" xr9:uid="{48D47D93-DF4D-4660-977F-06C9740C4C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Histogram for the Probability of the # of Women Chosen for the Two Positions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'[1]5.4'!$D$303:$D$305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9-4506-B084-451D22736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448201168"/>
        <c:axId val="-146721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'[1]5.4'!$C$303:$C$305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39-4506-B084-451D22736092}"/>
                  </c:ext>
                </c:extLst>
              </c15:ser>
            </c15:filteredBarSeries>
          </c:ext>
        </c:extLst>
      </c:barChart>
      <c:catAx>
        <c:axId val="-14482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Women Chosen for the Two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219776"/>
        <c:crosses val="autoZero"/>
        <c:auto val="1"/>
        <c:lblAlgn val="ctr"/>
        <c:lblOffset val="100"/>
        <c:noMultiLvlLbl val="0"/>
      </c:catAx>
      <c:valAx>
        <c:axId val="-1467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2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tmp"/><Relationship Id="rId3" Type="http://schemas.openxmlformats.org/officeDocument/2006/relationships/image" Target="../media/image12.tmp"/><Relationship Id="rId7" Type="http://schemas.openxmlformats.org/officeDocument/2006/relationships/image" Target="../media/image16.tmp"/><Relationship Id="rId2" Type="http://schemas.openxmlformats.org/officeDocument/2006/relationships/image" Target="../media/image11.tmp"/><Relationship Id="rId1" Type="http://schemas.openxmlformats.org/officeDocument/2006/relationships/image" Target="../media/image10.tmp"/><Relationship Id="rId6" Type="http://schemas.openxmlformats.org/officeDocument/2006/relationships/image" Target="../media/image15.tmp"/><Relationship Id="rId5" Type="http://schemas.openxmlformats.org/officeDocument/2006/relationships/image" Target="../media/image14.tmp"/><Relationship Id="rId10" Type="http://schemas.openxmlformats.org/officeDocument/2006/relationships/image" Target="../media/image19.png"/><Relationship Id="rId4" Type="http://schemas.openxmlformats.org/officeDocument/2006/relationships/image" Target="../media/image13.tmp"/><Relationship Id="rId9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chart" Target="../charts/chart1.xml"/><Relationship Id="rId1" Type="http://schemas.openxmlformats.org/officeDocument/2006/relationships/image" Target="../media/image20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tmp"/><Relationship Id="rId13" Type="http://schemas.openxmlformats.org/officeDocument/2006/relationships/image" Target="../media/image42.tmp"/><Relationship Id="rId3" Type="http://schemas.openxmlformats.org/officeDocument/2006/relationships/image" Target="../media/image32.tmp"/><Relationship Id="rId7" Type="http://schemas.openxmlformats.org/officeDocument/2006/relationships/image" Target="../media/image36.tmp"/><Relationship Id="rId12" Type="http://schemas.openxmlformats.org/officeDocument/2006/relationships/image" Target="../media/image41.tmp"/><Relationship Id="rId2" Type="http://schemas.openxmlformats.org/officeDocument/2006/relationships/image" Target="../media/image31.tmp"/><Relationship Id="rId1" Type="http://schemas.openxmlformats.org/officeDocument/2006/relationships/image" Target="../media/image30.tmp"/><Relationship Id="rId6" Type="http://schemas.openxmlformats.org/officeDocument/2006/relationships/image" Target="../media/image35.tmp"/><Relationship Id="rId11" Type="http://schemas.openxmlformats.org/officeDocument/2006/relationships/image" Target="../media/image40.tmp"/><Relationship Id="rId5" Type="http://schemas.openxmlformats.org/officeDocument/2006/relationships/image" Target="../media/image34.tmp"/><Relationship Id="rId10" Type="http://schemas.openxmlformats.org/officeDocument/2006/relationships/image" Target="../media/image39.tmp"/><Relationship Id="rId4" Type="http://schemas.openxmlformats.org/officeDocument/2006/relationships/image" Target="../media/image33.tmp"/><Relationship Id="rId9" Type="http://schemas.openxmlformats.org/officeDocument/2006/relationships/image" Target="../media/image38.tm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tmp"/><Relationship Id="rId2" Type="http://schemas.openxmlformats.org/officeDocument/2006/relationships/image" Target="../media/image44.tmp"/><Relationship Id="rId1" Type="http://schemas.openxmlformats.org/officeDocument/2006/relationships/image" Target="../media/image43.tmp"/><Relationship Id="rId4" Type="http://schemas.openxmlformats.org/officeDocument/2006/relationships/image" Target="../media/image4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177800</xdr:rowOff>
    </xdr:from>
    <xdr:to>
      <xdr:col>13</xdr:col>
      <xdr:colOff>266700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1AD26F-17DB-44B1-802B-B7C7708D210D}"/>
            </a:ext>
          </a:extLst>
        </xdr:cNvPr>
        <xdr:cNvSpPr txBox="1"/>
      </xdr:nvSpPr>
      <xdr:spPr>
        <a:xfrm>
          <a:off x="158750" y="2019300"/>
          <a:ext cx="8032750" cy="2095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 </a:t>
          </a:r>
          <a:r>
            <a:rPr lang="en-US" b="1">
              <a:solidFill>
                <a:srgbClr val="C00000"/>
              </a:solidFill>
            </a:rPr>
            <a:t>discrete distribution</a:t>
          </a:r>
          <a:r>
            <a:rPr lang="en-US">
              <a:solidFill>
                <a:srgbClr val="C00000"/>
              </a:solidFill>
            </a:rPr>
            <a:t> </a:t>
          </a:r>
          <a:r>
            <a:rPr lang="en-US"/>
            <a:t>describes the </a:t>
          </a:r>
          <a:r>
            <a:rPr lang="en-US" b="1"/>
            <a:t>probability</a:t>
          </a:r>
          <a:r>
            <a:rPr lang="en-US"/>
            <a:t> of occurrence of each value of a </a:t>
          </a:r>
          <a:r>
            <a:rPr lang="en-US" b="1"/>
            <a:t>discrete</a:t>
          </a:r>
          <a:r>
            <a:rPr lang="en-US"/>
            <a:t> random variable. It is a mutually exclusive list of all the possible numerical outcomes along with the probability of occurrence of each outcome. </a:t>
          </a:r>
        </a:p>
        <a:p>
          <a:r>
            <a:rPr lang="en-US" sz="800"/>
            <a:t> </a:t>
          </a:r>
        </a:p>
        <a:p>
          <a:r>
            <a:rPr lang="en-US" sz="1100"/>
            <a:t>A variable</a:t>
          </a:r>
          <a:r>
            <a:rPr lang="en-US" sz="1100" i="1"/>
            <a:t>, x</a:t>
          </a:r>
          <a:r>
            <a:rPr lang="en-US" sz="1100"/>
            <a:t>, is a </a:t>
          </a:r>
          <a:r>
            <a:rPr lang="en-US" sz="1100" b="1">
              <a:solidFill>
                <a:srgbClr val="C00000"/>
              </a:solidFill>
            </a:rPr>
            <a:t>random variable </a:t>
          </a:r>
          <a:r>
            <a:rPr lang="en-US" sz="1100"/>
            <a:t>if the value that it assumes, corresponding to the outcome</a:t>
          </a:r>
          <a:r>
            <a:rPr lang="en-US" sz="1100" baseline="0"/>
            <a:t> of an experiment, is a chance or random event.</a:t>
          </a:r>
          <a:endParaRPr lang="en-US" sz="1100"/>
        </a:p>
        <a:p>
          <a:endParaRPr lang="en-US" sz="800"/>
        </a:p>
        <a:p>
          <a:r>
            <a:rPr lang="en-US" sz="1100"/>
            <a:t>The </a:t>
          </a:r>
          <a:r>
            <a:rPr lang="en-US" sz="1100" b="1">
              <a:solidFill>
                <a:srgbClr val="C00000"/>
              </a:solidFill>
            </a:rPr>
            <a:t>probability distribution </a:t>
          </a:r>
          <a:r>
            <a:rPr lang="en-US" sz="1100"/>
            <a:t>for a discrete random variable is a formula, table, or graph that gives all the possible</a:t>
          </a:r>
          <a:r>
            <a:rPr lang="en-US" sz="1100" baseline="0"/>
            <a:t> values of </a:t>
          </a:r>
          <a:r>
            <a:rPr lang="en-US" sz="1100" i="1" baseline="0"/>
            <a:t>x</a:t>
          </a:r>
          <a:r>
            <a:rPr lang="en-US" sz="1100" baseline="0"/>
            <a:t>, and the probability </a:t>
          </a:r>
          <a:r>
            <a:rPr lang="en-US" sz="1100" i="1" baseline="0"/>
            <a:t>p(x)</a:t>
          </a:r>
          <a:r>
            <a:rPr lang="en-US" sz="1100" baseline="0"/>
            <a:t> associated with each value.</a:t>
          </a:r>
        </a:p>
        <a:p>
          <a:endParaRPr lang="en-US" sz="800" baseline="0"/>
        </a:p>
        <a:p>
          <a:r>
            <a:rPr lang="en-US" sz="1100" b="1" baseline="0">
              <a:solidFill>
                <a:srgbClr val="C00000"/>
              </a:solidFill>
            </a:rPr>
            <a:t>Requirements </a:t>
          </a:r>
          <a:r>
            <a:rPr lang="en-US" sz="1100" b="1" baseline="0"/>
            <a:t>for a Discrete Probability Distribution</a:t>
          </a:r>
        </a:p>
        <a:p>
          <a:r>
            <a:rPr lang="en-US" sz="1100" baseline="0"/>
            <a:t>1.  0 &lt;= p(x) &lt;= 1</a:t>
          </a:r>
        </a:p>
        <a:p>
          <a:r>
            <a:rPr lang="en-US" sz="1100" baseline="0"/>
            <a:t>2.  ∑p(x) = 1</a:t>
          </a:r>
        </a:p>
        <a:p>
          <a:endParaRPr lang="en-US" sz="800" baseline="0"/>
        </a:p>
      </xdr:txBody>
    </xdr:sp>
    <xdr:clientData/>
  </xdr:twoCellAnchor>
  <xdr:twoCellAnchor>
    <xdr:from>
      <xdr:col>0</xdr:col>
      <xdr:colOff>139700</xdr:colOff>
      <xdr:row>0</xdr:row>
      <xdr:rowOff>120650</xdr:rowOff>
    </xdr:from>
    <xdr:to>
      <xdr:col>6</xdr:col>
      <xdr:colOff>546100</xdr:colOff>
      <xdr:row>10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0FCBD0A-E6D2-44DD-B954-039A879BC402}"/>
            </a:ext>
          </a:extLst>
        </xdr:cNvPr>
        <xdr:cNvSpPr txBox="1"/>
      </xdr:nvSpPr>
      <xdr:spPr>
        <a:xfrm>
          <a:off x="139700" y="120650"/>
          <a:ext cx="4064000" cy="1758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 5 covers </a:t>
          </a:r>
          <a:r>
            <a:rPr lang="en-US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discrete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random variables and their distributions.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Binomial Distribution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Poission Distribution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Hypergeometric Distribution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 6 covers </a:t>
          </a:r>
          <a:r>
            <a:rPr lang="en-US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continuous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random variables and their distributions.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 Continuous Uniform Probability Distribution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 Normal Distribution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 Exponential Distribution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285750</xdr:colOff>
      <xdr:row>17</xdr:row>
      <xdr:rowOff>158750</xdr:rowOff>
    </xdr:from>
    <xdr:to>
      <xdr:col>13</xdr:col>
      <xdr:colOff>742950</xdr:colOff>
      <xdr:row>21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7997D9-CAB5-4F2B-9B33-6CF08D6A9057}"/>
            </a:ext>
          </a:extLst>
        </xdr:cNvPr>
        <xdr:cNvSpPr txBox="1"/>
      </xdr:nvSpPr>
      <xdr:spPr>
        <a:xfrm>
          <a:off x="4552950" y="3289300"/>
          <a:ext cx="4114800" cy="6794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&lt;---Cannot use the AVERAGE, VAR, STDEV functions in Excel because each random variable</a:t>
          </a:r>
          <a:r>
            <a:rPr lang="en-US" sz="1100" baseline="0"/>
            <a:t> is</a:t>
          </a:r>
          <a:r>
            <a:rPr lang="en-US" sz="1100"/>
            <a:t> weighted differently</a:t>
          </a:r>
          <a:r>
            <a:rPr lang="en-US" sz="1100" baseline="0"/>
            <a:t> by different probabilities.</a:t>
          </a:r>
          <a:endParaRPr lang="en-US" sz="1100"/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304800</xdr:colOff>
      <xdr:row>39</xdr:row>
      <xdr:rowOff>99699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579DB53-CE92-4204-8378-1AD9B9DA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41800"/>
          <a:ext cx="3352800" cy="3046099"/>
        </a:xfrm>
        <a:prstGeom prst="rect">
          <a:avLst/>
        </a:prstGeom>
      </xdr:spPr>
    </xdr:pic>
    <xdr:clientData/>
  </xdr:twoCellAnchor>
  <xdr:twoCellAnchor editAs="oneCell">
    <xdr:from>
      <xdr:col>0</xdr:col>
      <xdr:colOff>184150</xdr:colOff>
      <xdr:row>41</xdr:row>
      <xdr:rowOff>12700</xdr:rowOff>
    </xdr:from>
    <xdr:to>
      <xdr:col>6</xdr:col>
      <xdr:colOff>1208470</xdr:colOff>
      <xdr:row>54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83B2DD-AD61-4CA1-9C73-429851294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0" y="7562850"/>
          <a:ext cx="4695890" cy="2432050"/>
        </a:xfrm>
        <a:prstGeom prst="rect">
          <a:avLst/>
        </a:prstGeom>
      </xdr:spPr>
    </xdr:pic>
    <xdr:clientData/>
  </xdr:twoCellAnchor>
  <xdr:twoCellAnchor editAs="oneCell">
    <xdr:from>
      <xdr:col>8</xdr:col>
      <xdr:colOff>336550</xdr:colOff>
      <xdr:row>41</xdr:row>
      <xdr:rowOff>50800</xdr:rowOff>
    </xdr:from>
    <xdr:to>
      <xdr:col>14</xdr:col>
      <xdr:colOff>214117</xdr:colOff>
      <xdr:row>62</xdr:row>
      <xdr:rowOff>158750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C94746D-2030-45DE-83DF-D1DA25C9C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3350" y="7600950"/>
          <a:ext cx="4693408" cy="397510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54</xdr:row>
      <xdr:rowOff>114300</xdr:rowOff>
    </xdr:from>
    <xdr:to>
      <xdr:col>7</xdr:col>
      <xdr:colOff>539750</xdr:colOff>
      <xdr:row>61</xdr:row>
      <xdr:rowOff>101600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B364E04-440F-4F1B-AC11-2EBFB63EDE08}"/>
            </a:ext>
          </a:extLst>
        </xdr:cNvPr>
        <xdr:cNvSpPr txBox="1"/>
      </xdr:nvSpPr>
      <xdr:spPr>
        <a:xfrm>
          <a:off x="228600" y="9950450"/>
          <a:ext cx="4578350" cy="1276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are calculating the </a:t>
          </a:r>
          <a:r>
            <a:rPr lang="en-US" sz="1100" i="1"/>
            <a:t>mean (Expected Value), variance, and standard deviation </a:t>
          </a:r>
          <a:r>
            <a:rPr lang="en-US" sz="1100"/>
            <a:t>of a probability distribution.  </a:t>
          </a:r>
        </a:p>
        <a:p>
          <a:endParaRPr lang="en-US" sz="1100"/>
        </a:p>
        <a:p>
          <a:r>
            <a:rPr lang="en-US" sz="1100"/>
            <a:t>Since</a:t>
          </a:r>
          <a:r>
            <a:rPr lang="en-US" sz="1100" baseline="0"/>
            <a:t> the probabilities are weighted (not all the same),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annot use the AVERAGE, VAR, STDEV functions in Excel because each random variable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weighted differently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different probabilities.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63</xdr:row>
      <xdr:rowOff>25400</xdr:rowOff>
    </xdr:from>
    <xdr:to>
      <xdr:col>5</xdr:col>
      <xdr:colOff>200814</xdr:colOff>
      <xdr:row>76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2A03F-6CDD-4795-A024-8EF4FDFB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6850"/>
          <a:ext cx="3248814" cy="2584450"/>
        </a:xfrm>
        <a:prstGeom prst="rect">
          <a:avLst/>
        </a:prstGeom>
      </xdr:spPr>
    </xdr:pic>
    <xdr:clientData/>
  </xdr:twoCellAnchor>
  <xdr:twoCellAnchor>
    <xdr:from>
      <xdr:col>0</xdr:col>
      <xdr:colOff>101600</xdr:colOff>
      <xdr:row>77</xdr:row>
      <xdr:rowOff>31750</xdr:rowOff>
    </xdr:from>
    <xdr:to>
      <xdr:col>5</xdr:col>
      <xdr:colOff>400050</xdr:colOff>
      <xdr:row>81</xdr:row>
      <xdr:rowOff>1155700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B982DB-6AFD-4555-A539-9A773205BE00}"/>
            </a:ext>
          </a:extLst>
        </xdr:cNvPr>
        <xdr:cNvSpPr txBox="1"/>
      </xdr:nvSpPr>
      <xdr:spPr>
        <a:xfrm>
          <a:off x="101600" y="14293850"/>
          <a:ext cx="3346450" cy="1860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 PhStat --&gt;DecisionMaking--&gt;Covariance &amp; Portfolio</a:t>
          </a:r>
          <a:r>
            <a:rPr lang="en-US" sz="1100" baseline="0"/>
            <a:t> Analysis</a:t>
          </a:r>
          <a:r>
            <a:rPr lang="en-US" sz="1100"/>
            <a:t>.</a:t>
          </a:r>
        </a:p>
        <a:p>
          <a:endParaRPr lang="en-US" sz="1100"/>
        </a:p>
        <a:p>
          <a:r>
            <a:rPr lang="en-US" sz="1100"/>
            <a:t>#Outcomes</a:t>
          </a:r>
          <a:r>
            <a:rPr lang="en-US" sz="1100" baseline="0"/>
            <a:t> = # x-values = 5</a:t>
          </a:r>
        </a:p>
        <a:p>
          <a:r>
            <a:rPr lang="en-US" sz="1100" baseline="0"/>
            <a:t>This detemines the size of the table in the new worksheet.</a:t>
          </a:r>
        </a:p>
        <a:p>
          <a:endParaRPr lang="en-US" sz="1100" baseline="0"/>
        </a:p>
        <a:p>
          <a:r>
            <a:rPr lang="en-US" sz="1100" baseline="0"/>
            <a:t>Enter the probabilities and their respective x-values in the table.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5</xdr:col>
      <xdr:colOff>131824</xdr:colOff>
      <xdr:row>86</xdr:row>
      <xdr:rowOff>176680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9DB535A-F034-4445-98DD-A574689F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03600"/>
          <a:ext cx="31798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155917</xdr:colOff>
      <xdr:row>98</xdr:row>
      <xdr:rowOff>50426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4CCBBA3-87E0-47D8-A731-C4D7E67D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40200"/>
          <a:ext cx="3203917" cy="193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5</xdr:col>
      <xdr:colOff>269957</xdr:colOff>
      <xdr:row>114</xdr:row>
      <xdr:rowOff>104141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444A205-08D9-476E-8A99-1A99E1E4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2500"/>
          <a:ext cx="3317957" cy="233680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114</xdr:row>
      <xdr:rowOff>95250</xdr:rowOff>
    </xdr:from>
    <xdr:to>
      <xdr:col>5</xdr:col>
      <xdr:colOff>269802</xdr:colOff>
      <xdr:row>118</xdr:row>
      <xdr:rowOff>12699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FCB299-7E29-41F5-B7BD-588D7E63B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32467550"/>
          <a:ext cx="3247952" cy="65405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121</xdr:row>
      <xdr:rowOff>0</xdr:rowOff>
    </xdr:from>
    <xdr:to>
      <xdr:col>5</xdr:col>
      <xdr:colOff>107950</xdr:colOff>
      <xdr:row>134</xdr:row>
      <xdr:rowOff>52307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4DFE3E9-2BDF-49C9-AB35-22717D617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33743900"/>
          <a:ext cx="3067050" cy="2469117"/>
        </a:xfrm>
        <a:prstGeom prst="rect">
          <a:avLst/>
        </a:prstGeom>
      </xdr:spPr>
    </xdr:pic>
    <xdr:clientData/>
  </xdr:twoCellAnchor>
  <xdr:twoCellAnchor>
    <xdr:from>
      <xdr:col>7</xdr:col>
      <xdr:colOff>82550</xdr:colOff>
      <xdr:row>1</xdr:row>
      <xdr:rowOff>120650</xdr:rowOff>
    </xdr:from>
    <xdr:to>
      <xdr:col>12</xdr:col>
      <xdr:colOff>463550</xdr:colOff>
      <xdr:row>6</xdr:row>
      <xdr:rowOff>152400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ACB4BCB-301A-4631-96B7-C886ACA73D20}"/>
            </a:ext>
          </a:extLst>
        </xdr:cNvPr>
        <xdr:cNvSpPr txBox="1"/>
      </xdr:nvSpPr>
      <xdr:spPr>
        <a:xfrm>
          <a:off x="4584700" y="304800"/>
          <a:ext cx="4248150" cy="952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some cases, a mathematical expression or model can be used to calculate the probability of a value, or outcome, for a variable of interest. For discrete variables, such mathematical models are also known as probability distribution functions.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139700</xdr:rowOff>
    </xdr:from>
    <xdr:to>
      <xdr:col>13</xdr:col>
      <xdr:colOff>431800</xdr:colOff>
      <xdr:row>8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8E23EF-F589-47D0-B196-6069367DC234}"/>
            </a:ext>
          </a:extLst>
        </xdr:cNvPr>
        <xdr:cNvSpPr txBox="1"/>
      </xdr:nvSpPr>
      <xdr:spPr>
        <a:xfrm>
          <a:off x="69850" y="139700"/>
          <a:ext cx="8286750" cy="1473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  <a:r>
            <a:rPr lang="en-US" sz="1100" baseline="0"/>
            <a:t> </a:t>
          </a:r>
          <a:r>
            <a:rPr lang="en-US" sz="1100" b="1" baseline="0">
              <a:solidFill>
                <a:srgbClr val="C00000"/>
              </a:solidFill>
            </a:rPr>
            <a:t>Binomial </a:t>
          </a:r>
          <a:r>
            <a:rPr lang="en-US" sz="1100" baseline="0"/>
            <a:t>Experiment is one that has the following characteristics.</a:t>
          </a:r>
        </a:p>
        <a:p>
          <a:endParaRPr lang="en-US" sz="1100" baseline="0"/>
        </a:p>
        <a:p>
          <a:r>
            <a:rPr lang="en-US" sz="1100" baseline="0"/>
            <a:t>1.  The experiment consists of a fixed number of </a:t>
          </a:r>
          <a:r>
            <a:rPr lang="en-US" sz="1100" i="1" baseline="0"/>
            <a:t>n</a:t>
          </a:r>
          <a:r>
            <a:rPr lang="en-US" sz="1100" baseline="0"/>
            <a:t> trials.</a:t>
          </a:r>
        </a:p>
        <a:p>
          <a:r>
            <a:rPr lang="en-US" sz="1100"/>
            <a:t>2.</a:t>
          </a:r>
          <a:r>
            <a:rPr lang="en-US" sz="1100" baseline="0"/>
            <a:t> Each trial results in one of two mutually exclusive outcomes, success (S), and failure (F).</a:t>
          </a:r>
        </a:p>
        <a:p>
          <a:r>
            <a:rPr lang="en-US" sz="1100" baseline="0"/>
            <a:t>3.  The probability of success on a single trial is equal to </a:t>
          </a:r>
          <a:r>
            <a:rPr lang="en-US" sz="1100" i="1" baseline="0"/>
            <a:t>p</a:t>
          </a:r>
          <a:r>
            <a:rPr lang="en-US" sz="1100" baseline="0"/>
            <a:t> and remains the same from trial to trial.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of failure on a single trial is equal to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(1 - p) = q.</a:t>
          </a:r>
        </a:p>
        <a:p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 The trials are independent.</a:t>
          </a:r>
        </a:p>
        <a:p>
          <a:endParaRPr lang="en-US" sz="1100" i="0"/>
        </a:p>
      </xdr:txBody>
    </xdr:sp>
    <xdr:clientData/>
  </xdr:twoCellAnchor>
  <xdr:twoCellAnchor editAs="oneCell">
    <xdr:from>
      <xdr:col>0</xdr:col>
      <xdr:colOff>0</xdr:colOff>
      <xdr:row>9</xdr:row>
      <xdr:rowOff>100330</xdr:rowOff>
    </xdr:from>
    <xdr:to>
      <xdr:col>6</xdr:col>
      <xdr:colOff>501864</xdr:colOff>
      <xdr:row>19</xdr:row>
      <xdr:rowOff>62323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2582D1-4327-4E33-AED6-7C4CB90FF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46250"/>
          <a:ext cx="4159464" cy="179079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374650</xdr:colOff>
      <xdr:row>11</xdr:row>
      <xdr:rowOff>25400</xdr:rowOff>
    </xdr:from>
    <xdr:to>
      <xdr:col>15</xdr:col>
      <xdr:colOff>120650</xdr:colOff>
      <xdr:row>17</xdr:row>
      <xdr:rowOff>101600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E9B5337-8622-4B58-917F-E9766D9B5AB4}"/>
            </a:ext>
          </a:extLst>
        </xdr:cNvPr>
        <xdr:cNvSpPr txBox="1"/>
      </xdr:nvSpPr>
      <xdr:spPr>
        <a:xfrm>
          <a:off x="4641850" y="2051050"/>
          <a:ext cx="4622800" cy="1181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Excel Function</a:t>
          </a:r>
        </a:p>
        <a:p>
          <a:endParaRPr lang="en-US" sz="1100"/>
        </a:p>
        <a:p>
          <a:r>
            <a:rPr lang="en-US" sz="1100" b="1">
              <a:solidFill>
                <a:srgbClr val="C00000"/>
              </a:solidFill>
            </a:rPr>
            <a:t>BINOM.DIST</a:t>
          </a:r>
          <a:r>
            <a:rPr lang="en-US" sz="1100"/>
            <a:t>(event of interest, # trials, probability of success,cumulative?)</a:t>
          </a:r>
        </a:p>
        <a:p>
          <a:r>
            <a:rPr lang="en-US" sz="1100"/>
            <a:t>For "cumulative", </a:t>
          </a:r>
        </a:p>
        <a:p>
          <a:pPr lvl="1"/>
          <a:r>
            <a:rPr lang="en-US" sz="1100"/>
            <a:t>use</a:t>
          </a:r>
          <a:r>
            <a:rPr lang="en-US" sz="1100" baseline="0"/>
            <a:t> "FALSE" for "="</a:t>
          </a:r>
        </a:p>
        <a:p>
          <a:pPr lvl="1"/>
          <a:r>
            <a:rPr lang="en-US" sz="1100" baseline="0"/>
            <a:t>use "TRUE" for &lt;, &lt;=, &gt;, &gt;=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20</xdr:row>
      <xdr:rowOff>97536</xdr:rowOff>
    </xdr:from>
    <xdr:to>
      <xdr:col>4</xdr:col>
      <xdr:colOff>243916</xdr:colOff>
      <xdr:row>26</xdr:row>
      <xdr:rowOff>13325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A75297-3014-4D4A-8FF0-475F20D0F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5136"/>
          <a:ext cx="2682316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101598</xdr:colOff>
      <xdr:row>33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04049E-035A-4909-AC5F-25DE8F511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56200"/>
          <a:ext cx="3149598" cy="101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14</xdr:col>
      <xdr:colOff>78268</xdr:colOff>
      <xdr:row>23</xdr:row>
      <xdr:rowOff>88923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B38052-3671-482F-B6B3-636C7B3F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67150"/>
          <a:ext cx="2622685" cy="4572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14</xdr:col>
      <xdr:colOff>573593</xdr:colOff>
      <xdr:row>26</xdr:row>
      <xdr:rowOff>82572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9E26C1-4191-4E34-AD2A-871821CA4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4419600"/>
          <a:ext cx="3118010" cy="450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139753</xdr:colOff>
      <xdr:row>44</xdr:row>
      <xdr:rowOff>107950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F847C1-2FEE-47F7-BD23-250B08B71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3150"/>
          <a:ext cx="3187753" cy="1765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5</xdr:col>
      <xdr:colOff>249488</xdr:colOff>
      <xdr:row>53</xdr:row>
      <xdr:rowOff>76201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43BF4FD-7266-4208-BBCF-79BE775F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58800"/>
          <a:ext cx="3297488" cy="1365250"/>
        </a:xfrm>
        <a:prstGeom prst="rect">
          <a:avLst/>
        </a:prstGeom>
      </xdr:spPr>
    </xdr:pic>
    <xdr:clientData/>
  </xdr:twoCellAnchor>
  <xdr:twoCellAnchor editAs="oneCell">
    <xdr:from>
      <xdr:col>0</xdr:col>
      <xdr:colOff>33572</xdr:colOff>
      <xdr:row>56</xdr:row>
      <xdr:rowOff>20983</xdr:rowOff>
    </xdr:from>
    <xdr:to>
      <xdr:col>5</xdr:col>
      <xdr:colOff>308437</xdr:colOff>
      <xdr:row>65</xdr:row>
      <xdr:rowOff>40034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B33B8FE-321B-4679-B0AF-29350781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2" y="10443818"/>
          <a:ext cx="3322865" cy="1688825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28</xdr:row>
      <xdr:rowOff>0</xdr:rowOff>
    </xdr:from>
    <xdr:to>
      <xdr:col>76</xdr:col>
      <xdr:colOff>199935</xdr:colOff>
      <xdr:row>33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B9D3FF-77DB-4A45-8A8A-4A6FDFE6B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958256" y="5120640"/>
          <a:ext cx="2638335" cy="944880"/>
        </a:xfrm>
        <a:prstGeom prst="rect">
          <a:avLst/>
        </a:prstGeom>
      </xdr:spPr>
    </xdr:pic>
    <xdr:clientData/>
  </xdr:twoCellAnchor>
  <xdr:twoCellAnchor editAs="oneCell">
    <xdr:from>
      <xdr:col>72</xdr:col>
      <xdr:colOff>182880</xdr:colOff>
      <xdr:row>20</xdr:row>
      <xdr:rowOff>67056</xdr:rowOff>
    </xdr:from>
    <xdr:to>
      <xdr:col>76</xdr:col>
      <xdr:colOff>104114</xdr:colOff>
      <xdr:row>24</xdr:row>
      <xdr:rowOff>147296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DB7650-AB62-462C-B9D8-9484FDD5E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141136" y="3724656"/>
          <a:ext cx="2359634" cy="8539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152400</xdr:rowOff>
    </xdr:from>
    <xdr:to>
      <xdr:col>10</xdr:col>
      <xdr:colOff>495300</xdr:colOff>
      <xdr:row>4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CFC885-B050-415A-BFEF-59FBEED07C7E}"/>
            </a:ext>
          </a:extLst>
        </xdr:cNvPr>
        <xdr:cNvSpPr txBox="1"/>
      </xdr:nvSpPr>
      <xdr:spPr>
        <a:xfrm>
          <a:off x="76200" y="152400"/>
          <a:ext cx="6515100" cy="685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</a:t>
          </a:r>
          <a:r>
            <a:rPr lang="en-US" sz="1100" b="1" i="0" u="none" strike="noStrike" baseline="0">
              <a:solidFill>
                <a:srgbClr val="C00000"/>
              </a:solidFill>
              <a:latin typeface="+mn-lt"/>
              <a:ea typeface="+mn-ea"/>
              <a:cs typeface="+mn-cs"/>
            </a:rPr>
            <a:t>Hypergeometric Distribution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is appropriate when sampling (without replacement) from a finite sample rather than an infinite population of successes and failures. In this case, the probability of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of a success is not constant from trial to trial and the binomial distribution is not appropriate. </a:t>
          </a:r>
          <a:endParaRPr lang="en-US" sz="1100"/>
        </a:p>
      </xdr:txBody>
    </xdr:sp>
    <xdr:clientData/>
  </xdr:twoCellAnchor>
  <xdr:twoCellAnchor editAs="oneCell">
    <xdr:from>
      <xdr:col>1</xdr:col>
      <xdr:colOff>330201</xdr:colOff>
      <xdr:row>16</xdr:row>
      <xdr:rowOff>1</xdr:rowOff>
    </xdr:from>
    <xdr:to>
      <xdr:col>5</xdr:col>
      <xdr:colOff>349251</xdr:colOff>
      <xdr:row>21</xdr:row>
      <xdr:rowOff>20024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18744E-E3D2-4949-AACD-C67A88FB6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051" y="2946401"/>
          <a:ext cx="2457450" cy="940773"/>
        </a:xfrm>
        <a:prstGeom prst="rect">
          <a:avLst/>
        </a:prstGeom>
      </xdr:spPr>
    </xdr:pic>
    <xdr:clientData/>
  </xdr:twoCellAnchor>
  <xdr:oneCellAnchor>
    <xdr:from>
      <xdr:col>2</xdr:col>
      <xdr:colOff>25400</xdr:colOff>
      <xdr:row>126</xdr:row>
      <xdr:rowOff>1</xdr:rowOff>
    </xdr:from>
    <xdr:ext cx="3055937" cy="1174750"/>
    <xdr:pic>
      <xdr:nvPicPr>
        <xdr:cNvPr id="8" name="Picture 7">
          <a:extLst>
            <a:ext uri="{FF2B5EF4-FFF2-40B4-BE49-F238E27FC236}">
              <a16:creationId xmlns:a16="http://schemas.microsoft.com/office/drawing/2014/main" id="{64696906-764B-4495-9B7A-A3F09776A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52927251"/>
          <a:ext cx="3055937" cy="1174750"/>
        </a:xfrm>
        <a:prstGeom prst="rect">
          <a:avLst/>
        </a:prstGeom>
      </xdr:spPr>
    </xdr:pic>
    <xdr:clientData/>
  </xdr:oneCellAnchor>
  <xdr:twoCellAnchor>
    <xdr:from>
      <xdr:col>4</xdr:col>
      <xdr:colOff>714375</xdr:colOff>
      <xdr:row>138</xdr:row>
      <xdr:rowOff>101600</xdr:rowOff>
    </xdr:from>
    <xdr:to>
      <xdr:col>10</xdr:col>
      <xdr:colOff>517525</xdr:colOff>
      <xdr:row>156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3C059-297C-4213-B2BC-9833316A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</xdr:colOff>
      <xdr:row>21</xdr:row>
      <xdr:rowOff>25400</xdr:rowOff>
    </xdr:from>
    <xdr:to>
      <xdr:col>7</xdr:col>
      <xdr:colOff>571500</xdr:colOff>
      <xdr:row>30</xdr:row>
      <xdr:rowOff>141807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8A5853-60DA-4F9E-A1DB-80E22FF33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3892550"/>
          <a:ext cx="5302250" cy="17737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8</xdr:col>
      <xdr:colOff>330200</xdr:colOff>
      <xdr:row>47</xdr:row>
      <xdr:rowOff>145958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610435-3444-47E1-B688-076581DD3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97700"/>
          <a:ext cx="5746750" cy="1803308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55</xdr:row>
      <xdr:rowOff>107950</xdr:rowOff>
    </xdr:from>
    <xdr:to>
      <xdr:col>9</xdr:col>
      <xdr:colOff>107950</xdr:colOff>
      <xdr:row>68</xdr:row>
      <xdr:rowOff>120650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E894753-8210-4FDE-A68F-D7D35B4DE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0236200"/>
          <a:ext cx="6045200" cy="240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152400</xdr:rowOff>
    </xdr:from>
    <xdr:to>
      <xdr:col>8</xdr:col>
      <xdr:colOff>527050</xdr:colOff>
      <xdr:row>83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A539A7-A101-4C2D-A377-D40BCCB2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240450"/>
          <a:ext cx="5943600" cy="78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89</xdr:row>
      <xdr:rowOff>177800</xdr:rowOff>
    </xdr:from>
    <xdr:to>
      <xdr:col>8</xdr:col>
      <xdr:colOff>374650</xdr:colOff>
      <xdr:row>96</xdr:row>
      <xdr:rowOff>139700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DB6F0DE-01EE-4407-9F31-CCA231DEA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6291500"/>
          <a:ext cx="5765800" cy="125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336550</xdr:colOff>
      <xdr:row>114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B293A-BB57-4AE4-8F33-2C9C5DC3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244250"/>
          <a:ext cx="5753100" cy="162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152400</xdr:rowOff>
    </xdr:from>
    <xdr:to>
      <xdr:col>8</xdr:col>
      <xdr:colOff>412750</xdr:colOff>
      <xdr:row>175</xdr:row>
      <xdr:rowOff>139700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ECDE6B9-2E75-47B6-B5F7-7DD3B28FD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29550"/>
          <a:ext cx="5829300" cy="3486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9</xdr:col>
      <xdr:colOff>57150</xdr:colOff>
      <xdr:row>198</xdr:row>
      <xdr:rowOff>38100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F5329F-83F0-459C-A52C-745E11F64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185800"/>
          <a:ext cx="6083300" cy="2063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8</xdr:col>
      <xdr:colOff>412750</xdr:colOff>
      <xdr:row>214</xdr:row>
      <xdr:rowOff>76200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EAE09A4-1A0D-49CD-AC86-A4D24D1B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237100"/>
          <a:ext cx="5829300" cy="99695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5</xdr:row>
      <xdr:rowOff>57150</xdr:rowOff>
    </xdr:from>
    <xdr:to>
      <xdr:col>10</xdr:col>
      <xdr:colOff>520700</xdr:colOff>
      <xdr:row>15</xdr:row>
      <xdr:rowOff>158750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985B738-1315-4272-958D-CA190F626B9B}"/>
            </a:ext>
          </a:extLst>
        </xdr:cNvPr>
        <xdr:cNvSpPr txBox="1"/>
      </xdr:nvSpPr>
      <xdr:spPr>
        <a:xfrm>
          <a:off x="95250" y="977900"/>
          <a:ext cx="6521450" cy="1943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Excel</a:t>
          </a:r>
          <a:r>
            <a:rPr lang="en-US" sz="1100" b="1" baseline="0">
              <a:solidFill>
                <a:srgbClr val="C00000"/>
              </a:solidFill>
            </a:rPr>
            <a:t> function </a:t>
          </a:r>
          <a:r>
            <a:rPr lang="en-US" sz="1100"/>
            <a:t>for Hypergeometric Probability</a:t>
          </a:r>
          <a:r>
            <a:rPr lang="en-US" sz="1100" baseline="0"/>
            <a:t> Distribution</a:t>
          </a:r>
        </a:p>
        <a:p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=HYPGEOM.DIST(sample s, # in sample, pop s, # in pop, TRUE/FALSE)</a:t>
          </a:r>
          <a:endParaRPr lang="en-US">
            <a:effectLst/>
          </a:endParaRPr>
        </a:p>
        <a:p>
          <a:endParaRPr lang="en-US"/>
        </a:p>
        <a:p>
          <a:r>
            <a:rPr lang="en-US" b="1"/>
            <a:t>Sample_s</a:t>
          </a:r>
          <a:r>
            <a:rPr lang="en-US"/>
            <a:t>     Required. The number of successes in the sample.</a:t>
          </a:r>
        </a:p>
        <a:p>
          <a:r>
            <a:rPr lang="en-US" b="1"/>
            <a:t>Number_sample</a:t>
          </a:r>
          <a:r>
            <a:rPr lang="en-US"/>
            <a:t>     Required. The size of the sample.</a:t>
          </a:r>
        </a:p>
        <a:p>
          <a:r>
            <a:rPr lang="en-US" b="1"/>
            <a:t>Population_s</a:t>
          </a:r>
          <a:r>
            <a:rPr lang="en-US"/>
            <a:t>     Required. The number of successes in the population.</a:t>
          </a:r>
        </a:p>
        <a:p>
          <a:r>
            <a:rPr lang="en-US" b="1"/>
            <a:t>Number_pop</a:t>
          </a:r>
          <a:r>
            <a:rPr lang="en-US"/>
            <a:t>     Required. The population size.</a:t>
          </a:r>
        </a:p>
        <a:p>
          <a:r>
            <a:rPr lang="en-US" b="1"/>
            <a:t>Cumulative</a:t>
          </a:r>
          <a:r>
            <a:rPr lang="en-US"/>
            <a:t>     Required. A logical value that determines the form of the function. If cumulative is TRUE, then HYPGEOM.DIST returns the cumulative distribution function; if FALSE, it returns the probability mass function.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139700</xdr:rowOff>
    </xdr:from>
    <xdr:to>
      <xdr:col>8</xdr:col>
      <xdr:colOff>556260</xdr:colOff>
      <xdr:row>17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D23D09-9358-4377-AD26-687EA11F0993}"/>
            </a:ext>
          </a:extLst>
        </xdr:cNvPr>
        <xdr:cNvSpPr txBox="1"/>
      </xdr:nvSpPr>
      <xdr:spPr>
        <a:xfrm>
          <a:off x="133350" y="139700"/>
          <a:ext cx="5299710" cy="3009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Let</a:t>
          </a:r>
          <a:r>
            <a:rPr lang="en-US" sz="1100" baseline="0"/>
            <a:t> </a:t>
          </a:r>
          <a:r>
            <a:rPr lang="el-GR" sz="1100" i="1" baseline="0"/>
            <a:t>λ</a:t>
          </a:r>
          <a:r>
            <a:rPr lang="en-US" sz="1100" baseline="0"/>
            <a:t> be the </a:t>
          </a:r>
          <a:r>
            <a:rPr lang="en-US" sz="1100" b="1" baseline="0">
              <a:solidFill>
                <a:srgbClr val="C00000"/>
              </a:solidFill>
            </a:rPr>
            <a:t>average number of times that an event occurs</a:t>
          </a:r>
          <a:r>
            <a:rPr lang="en-US" sz="1100" baseline="0"/>
            <a:t> in a certain period of time or space.  The probability of k occurrences of this event is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Examples of variables that follow the Poisson distribution:</a:t>
          </a:r>
        </a:p>
        <a:p>
          <a:r>
            <a:rPr lang="en-US" sz="1100"/>
            <a:t>1.</a:t>
          </a:r>
          <a:r>
            <a:rPr lang="en-US" sz="1100" baseline="0"/>
            <a:t> </a:t>
          </a:r>
          <a:r>
            <a:rPr lang="en-US" sz="1100"/>
            <a:t> the average</a:t>
          </a:r>
          <a:r>
            <a:rPr lang="en-US" sz="1100" baseline="0"/>
            <a:t> # of </a:t>
          </a:r>
          <a:r>
            <a:rPr lang="en-US" sz="1100"/>
            <a:t>surface defects on a</a:t>
          </a:r>
          <a:r>
            <a:rPr lang="en-US" sz="1100" baseline="0"/>
            <a:t> </a:t>
          </a:r>
          <a:r>
            <a:rPr lang="en-US" sz="1100"/>
            <a:t>new refrigerator in a particular year</a:t>
          </a:r>
        </a:p>
        <a:p>
          <a:r>
            <a:rPr lang="en-US" sz="1100"/>
            <a:t>2.</a:t>
          </a:r>
          <a:r>
            <a:rPr lang="en-US" sz="1100" baseline="0"/>
            <a:t>  </a:t>
          </a:r>
          <a:r>
            <a:rPr lang="en-US" sz="1100"/>
            <a:t>the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# of</a:t>
          </a:r>
          <a:r>
            <a:rPr lang="en-US" sz="1100"/>
            <a:t> network failures in a day</a:t>
          </a:r>
        </a:p>
        <a:p>
          <a:r>
            <a:rPr lang="en-US" sz="1100"/>
            <a:t>3.  the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# of</a:t>
          </a:r>
          <a:r>
            <a:rPr lang="en-US" sz="1100"/>
            <a:t> people arriving at a bank in an hour</a:t>
          </a:r>
        </a:p>
        <a:p>
          <a:r>
            <a:rPr lang="en-US" sz="1100"/>
            <a:t>4.</a:t>
          </a:r>
          <a:r>
            <a:rPr lang="en-US" sz="1100" baseline="0"/>
            <a:t>  </a:t>
          </a:r>
          <a:r>
            <a:rPr lang="en-US" sz="1100"/>
            <a:t>the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# of</a:t>
          </a:r>
          <a:r>
            <a:rPr lang="en-US" sz="1100"/>
            <a:t> fleas on the body of a dog today</a:t>
          </a:r>
        </a:p>
      </xdr:txBody>
    </xdr:sp>
    <xdr:clientData/>
  </xdr:twoCellAnchor>
  <xdr:twoCellAnchor editAs="oneCell">
    <xdr:from>
      <xdr:col>0</xdr:col>
      <xdr:colOff>584200</xdr:colOff>
      <xdr:row>3</xdr:row>
      <xdr:rowOff>57150</xdr:rowOff>
    </xdr:from>
    <xdr:to>
      <xdr:col>7</xdr:col>
      <xdr:colOff>393910</xdr:colOff>
      <xdr:row>10</xdr:row>
      <xdr:rowOff>12764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EFD288-4979-4CEA-B756-0EBD69DA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" y="609600"/>
          <a:ext cx="4076910" cy="1244664"/>
        </a:xfrm>
        <a:prstGeom prst="rect">
          <a:avLst/>
        </a:prstGeom>
      </xdr:spPr>
    </xdr:pic>
    <xdr:clientData/>
  </xdr:twoCellAnchor>
  <xdr:twoCellAnchor>
    <xdr:from>
      <xdr:col>9</xdr:col>
      <xdr:colOff>298450</xdr:colOff>
      <xdr:row>13</xdr:row>
      <xdr:rowOff>12700</xdr:rowOff>
    </xdr:from>
    <xdr:to>
      <xdr:col>17</xdr:col>
      <xdr:colOff>44450</xdr:colOff>
      <xdr:row>19</xdr:row>
      <xdr:rowOff>81280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C0617E-CFFD-4540-827A-8F2A085E3A1F}"/>
            </a:ext>
          </a:extLst>
        </xdr:cNvPr>
        <xdr:cNvSpPr txBox="1"/>
      </xdr:nvSpPr>
      <xdr:spPr>
        <a:xfrm>
          <a:off x="5784850" y="2406650"/>
          <a:ext cx="4622800" cy="11734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Excel Function</a:t>
          </a:r>
        </a:p>
        <a:p>
          <a:endParaRPr lang="en-US" sz="1100"/>
        </a:p>
        <a:p>
          <a:r>
            <a:rPr lang="en-US" sz="1100" b="1">
              <a:solidFill>
                <a:srgbClr val="C00000"/>
              </a:solidFill>
            </a:rPr>
            <a:t>POISSON.DIST</a:t>
          </a:r>
          <a:r>
            <a:rPr lang="en-US" sz="1100"/>
            <a:t>(event of interest, mean,cumulative?)</a:t>
          </a:r>
        </a:p>
        <a:p>
          <a:r>
            <a:rPr lang="en-US" sz="1100"/>
            <a:t>For "cumulative", like BINOM.DIST...</a:t>
          </a:r>
        </a:p>
        <a:p>
          <a:pPr lvl="1"/>
          <a:r>
            <a:rPr lang="en-US" sz="1100"/>
            <a:t>use</a:t>
          </a:r>
          <a:r>
            <a:rPr lang="en-US" sz="1100" baseline="0"/>
            <a:t> "FALSE" for "="</a:t>
          </a:r>
        </a:p>
        <a:p>
          <a:pPr lvl="1"/>
          <a:r>
            <a:rPr lang="en-US" sz="1100" baseline="0"/>
            <a:t>use "TRUE" for &lt;, &lt;=, &gt;, &gt;=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0</xdr:col>
      <xdr:colOff>101600</xdr:colOff>
      <xdr:row>17</xdr:row>
      <xdr:rowOff>177799</xdr:rowOff>
    </xdr:from>
    <xdr:to>
      <xdr:col>3</xdr:col>
      <xdr:colOff>222250</xdr:colOff>
      <xdr:row>23</xdr:row>
      <xdr:rowOff>117804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92BA84-46DD-4A1A-8D42-6FFA21B9D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308349"/>
          <a:ext cx="1949450" cy="10449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29</xdr:row>
      <xdr:rowOff>6350</xdr:rowOff>
    </xdr:from>
    <xdr:to>
      <xdr:col>3</xdr:col>
      <xdr:colOff>175299</xdr:colOff>
      <xdr:row>34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92E72E-8EBA-4D89-9EC2-951B5B11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346700"/>
          <a:ext cx="1908849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46</xdr:row>
      <xdr:rowOff>177800</xdr:rowOff>
    </xdr:from>
    <xdr:to>
      <xdr:col>5</xdr:col>
      <xdr:colOff>224945</xdr:colOff>
      <xdr:row>52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6229E1-965E-4E9A-8933-1FBFCDAF2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7359650"/>
          <a:ext cx="3253894" cy="965200"/>
        </a:xfrm>
        <a:prstGeom prst="rect">
          <a:avLst/>
        </a:prstGeom>
      </xdr:spPr>
    </xdr:pic>
    <xdr:clientData/>
  </xdr:twoCellAnchor>
  <xdr:twoCellAnchor>
    <xdr:from>
      <xdr:col>8</xdr:col>
      <xdr:colOff>323850</xdr:colOff>
      <xdr:row>29</xdr:row>
      <xdr:rowOff>146050</xdr:rowOff>
    </xdr:from>
    <xdr:to>
      <xdr:col>17</xdr:col>
      <xdr:colOff>381000</xdr:colOff>
      <xdr:row>45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E7164E6-297F-4010-AAC3-C9F4F3721E6F}"/>
            </a:ext>
          </a:extLst>
        </xdr:cNvPr>
        <xdr:cNvSpPr txBox="1"/>
      </xdr:nvSpPr>
      <xdr:spPr>
        <a:xfrm>
          <a:off x="5200650" y="5486400"/>
          <a:ext cx="554355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a.</a:t>
          </a:r>
          <a:r>
            <a:rPr lang="en-US" sz="1100"/>
            <a:t>  P(X &gt;= 2) =</a:t>
          </a:r>
          <a:r>
            <a:rPr lang="en-US" sz="1100" baseline="0"/>
            <a:t> 2, 3, 4, etc.so = </a:t>
          </a:r>
          <a:r>
            <a:rPr lang="en-US" sz="1100"/>
            <a:t>1 - P(X &lt;= 1)</a:t>
          </a:r>
        </a:p>
        <a:p>
          <a:endParaRPr lang="en-US" sz="1100"/>
        </a:p>
        <a:p>
          <a:r>
            <a:rPr lang="en-US" sz="1100" b="1"/>
            <a:t>b.</a:t>
          </a:r>
          <a:r>
            <a:rPr lang="en-US" sz="1100"/>
            <a:t> P(X &gt;= 3) = 3, 4, 5,, etc.,</a:t>
          </a:r>
          <a:r>
            <a:rPr lang="en-US" sz="1100" baseline="0"/>
            <a:t> so = </a:t>
          </a:r>
          <a:r>
            <a:rPr lang="en-US" sz="1100"/>
            <a:t>1 - P(X &lt;= 2)</a:t>
          </a:r>
        </a:p>
        <a:p>
          <a:endParaRPr lang="en-US" sz="1100"/>
        </a:p>
        <a:p>
          <a:r>
            <a:rPr lang="en-US" sz="1100" b="1"/>
            <a:t>c.</a:t>
          </a:r>
          <a:r>
            <a:rPr lang="en-US" sz="1100"/>
            <a:t>  P(X &lt;= 1) = 1, 0</a:t>
          </a:r>
          <a:r>
            <a:rPr lang="en-US" sz="1100" baseline="0"/>
            <a:t> so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P(X &lt;= 1)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P(X &gt;= 1) = 1, 2, 3, etc., so = 1 - P(X &lt;= 0) =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P(X &lt;= 3) = 3, 2, 1, 0, so = P(X &lt;= 3)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P(X &lt; 3) = 2, 1, 0, so</a:t>
          </a:r>
          <a:r>
            <a:rPr lang="en-US" sz="1100" baseline="0"/>
            <a:t> = P(X &lt;= 2)</a:t>
          </a:r>
        </a:p>
        <a:p>
          <a:endParaRPr lang="en-US" sz="1100" baseline="0"/>
        </a:p>
        <a:p>
          <a:r>
            <a:rPr lang="en-US" sz="1100"/>
            <a:t>P(X &gt; 2) = 3, 4, 5, etc., so = 1 - P(X &lt;= 2) </a:t>
          </a:r>
        </a:p>
        <a:p>
          <a:endParaRPr lang="en-US" sz="1100"/>
        </a:p>
        <a:p>
          <a:r>
            <a:rPr lang="en-US" sz="1100"/>
            <a:t>P(X</a:t>
          </a:r>
          <a:r>
            <a:rPr lang="en-US" sz="1100" baseline="0"/>
            <a:t> = 1) = 1, so P(X = 1), but with "cumulative" = FALSE"</a:t>
          </a:r>
          <a:r>
            <a:rPr lang="en-US" sz="1100"/>
            <a:t> </a:t>
          </a:r>
        </a:p>
      </xdr:txBody>
    </xdr:sp>
    <xdr:clientData/>
  </xdr:twoCellAnchor>
  <xdr:twoCellAnchor editAs="oneCell">
    <xdr:from>
      <xdr:col>0</xdr:col>
      <xdr:colOff>88900</xdr:colOff>
      <xdr:row>56</xdr:row>
      <xdr:rowOff>78068</xdr:rowOff>
    </xdr:from>
    <xdr:to>
      <xdr:col>5</xdr:col>
      <xdr:colOff>186635</xdr:colOff>
      <xdr:row>63</xdr:row>
      <xdr:rowOff>128869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3F08ABC-93C6-4EBE-92AF-CB48709CB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0118539"/>
          <a:ext cx="3145735" cy="130585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65</xdr:row>
      <xdr:rowOff>177800</xdr:rowOff>
    </xdr:from>
    <xdr:to>
      <xdr:col>5</xdr:col>
      <xdr:colOff>228600</xdr:colOff>
      <xdr:row>69</xdr:row>
      <xdr:rowOff>66390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1AB3331-4B39-4806-92B1-CD2B425B5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147550"/>
          <a:ext cx="3162300" cy="6251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70</xdr:row>
      <xdr:rowOff>101600</xdr:rowOff>
    </xdr:from>
    <xdr:to>
      <xdr:col>5</xdr:col>
      <xdr:colOff>416296</xdr:colOff>
      <xdr:row>77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2873366-C4C9-4B08-A5E1-2A2EC486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2992100"/>
          <a:ext cx="3388096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76</xdr:row>
      <xdr:rowOff>171450</xdr:rowOff>
    </xdr:from>
    <xdr:to>
      <xdr:col>5</xdr:col>
      <xdr:colOff>314758</xdr:colOff>
      <xdr:row>85</xdr:row>
      <xdr:rowOff>57150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85DCFD2-71A2-429F-BE55-98DA5952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4166850"/>
          <a:ext cx="3318308" cy="1543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171449</xdr:rowOff>
    </xdr:from>
    <xdr:to>
      <xdr:col>5</xdr:col>
      <xdr:colOff>254000</xdr:colOff>
      <xdr:row>98</xdr:row>
      <xdr:rowOff>18676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EB17CF4-E975-4451-A7F8-30D43ED49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48699"/>
          <a:ext cx="3302000" cy="22411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44450</xdr:rowOff>
    </xdr:from>
    <xdr:to>
      <xdr:col>5</xdr:col>
      <xdr:colOff>148645</xdr:colOff>
      <xdr:row>100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244DA7E-2842-4756-A3E0-44A607347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615650"/>
          <a:ext cx="3196645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108</xdr:row>
      <xdr:rowOff>6350</xdr:rowOff>
    </xdr:from>
    <xdr:to>
      <xdr:col>5</xdr:col>
      <xdr:colOff>311064</xdr:colOff>
      <xdr:row>114</xdr:row>
      <xdr:rowOff>25400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5F23345-0802-46BC-86EA-18D6137D8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419050"/>
          <a:ext cx="3333664" cy="113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5</xdr:col>
      <xdr:colOff>295552</xdr:colOff>
      <xdr:row>131</xdr:row>
      <xdr:rowOff>44450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EF8687F-0CD2-4DDD-AF0F-469EB08DD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8350"/>
          <a:ext cx="3343552" cy="2254250"/>
        </a:xfrm>
        <a:prstGeom prst="rect">
          <a:avLst/>
        </a:prstGeom>
      </xdr:spPr>
    </xdr:pic>
    <xdr:clientData/>
  </xdr:twoCellAnchor>
  <xdr:twoCellAnchor>
    <xdr:from>
      <xdr:col>6</xdr:col>
      <xdr:colOff>69850</xdr:colOff>
      <xdr:row>87</xdr:row>
      <xdr:rowOff>0</xdr:rowOff>
    </xdr:from>
    <xdr:to>
      <xdr:col>14</xdr:col>
      <xdr:colOff>44450</xdr:colOff>
      <xdr:row>98</xdr:row>
      <xdr:rowOff>146050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42E8A50-5746-4563-9FA1-962FCD334C9A}"/>
            </a:ext>
          </a:extLst>
        </xdr:cNvPr>
        <xdr:cNvSpPr txBox="1"/>
      </xdr:nvSpPr>
      <xdr:spPr>
        <a:xfrm>
          <a:off x="3727450" y="21545550"/>
          <a:ext cx="48514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the number of problems with 2019 model Ford to be distributed as a Poisson random variable, it must be assumed that..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 </a:t>
          </a:r>
          <a:r>
            <a:rPr lang="en-US" sz="1100"/>
            <a:t>the probability that a problem occurs in a given Ford is the same for any other new Ford</a:t>
          </a:r>
        </a:p>
        <a:p>
          <a:r>
            <a:rPr lang="en-US" sz="1100"/>
            <a:t>2.</a:t>
          </a:r>
          <a:r>
            <a:rPr lang="en-US" sz="1100" baseline="0"/>
            <a:t>  </a:t>
          </a:r>
          <a:r>
            <a:rPr lang="en-US" sz="1100"/>
            <a:t>the number of problems that a a</a:t>
          </a:r>
          <a:r>
            <a:rPr lang="en-US" sz="1100" baseline="0"/>
            <a:t> FORD has is independent of the number of problems any other Ford has</a:t>
          </a:r>
        </a:p>
        <a:p>
          <a:r>
            <a:rPr lang="en-US" sz="1100" baseline="0"/>
            <a:t>3.  the probability that two or more problems will occur in some area of a Ford approaches zero as the area becomes smaller.  </a:t>
          </a:r>
        </a:p>
        <a:p>
          <a:endParaRPr lang="en-US" sz="1100" baseline="0"/>
        </a:p>
        <a:p>
          <a:r>
            <a:rPr lang="en-US" sz="1100" baseline="0"/>
            <a:t>These assumptions are reasonable.</a:t>
          </a:r>
          <a:endParaRPr lang="en-US" sz="1100"/>
        </a:p>
      </xdr:txBody>
    </xdr:sp>
    <xdr:clientData/>
  </xdr:twoCellAnchor>
  <xdr:twoCellAnchor>
    <xdr:from>
      <xdr:col>9</xdr:col>
      <xdr:colOff>222250</xdr:colOff>
      <xdr:row>0</xdr:row>
      <xdr:rowOff>152400</xdr:rowOff>
    </xdr:from>
    <xdr:to>
      <xdr:col>17</xdr:col>
      <xdr:colOff>101600</xdr:colOff>
      <xdr:row>11</xdr:row>
      <xdr:rowOff>101600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96E1A75-2878-4835-878F-3692A91B51B0}"/>
            </a:ext>
          </a:extLst>
        </xdr:cNvPr>
        <xdr:cNvSpPr txBox="1"/>
      </xdr:nvSpPr>
      <xdr:spPr>
        <a:xfrm>
          <a:off x="5708650" y="152400"/>
          <a:ext cx="4756150" cy="1974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Properties</a:t>
          </a:r>
          <a:r>
            <a:rPr lang="en-US" sz="1100"/>
            <a:t> of a Poission Distribution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9</xdr:col>
      <xdr:colOff>355600</xdr:colOff>
      <xdr:row>2</xdr:row>
      <xdr:rowOff>139700</xdr:rowOff>
    </xdr:from>
    <xdr:to>
      <xdr:col>16</xdr:col>
      <xdr:colOff>521450</xdr:colOff>
      <xdr:row>9</xdr:row>
      <xdr:rowOff>19050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938513E-CE31-4FCA-8135-6577D8C3F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0" y="508000"/>
          <a:ext cx="4433050" cy="1168400"/>
        </a:xfrm>
        <a:prstGeom prst="rect">
          <a:avLst/>
        </a:prstGeom>
      </xdr:spPr>
    </xdr:pic>
    <xdr:clientData/>
  </xdr:twoCellAnchor>
  <xdr:twoCellAnchor>
    <xdr:from>
      <xdr:col>14</xdr:col>
      <xdr:colOff>171450</xdr:colOff>
      <xdr:row>87</xdr:row>
      <xdr:rowOff>139700</xdr:rowOff>
    </xdr:from>
    <xdr:to>
      <xdr:col>22</xdr:col>
      <xdr:colOff>50800</xdr:colOff>
      <xdr:row>98</xdr:row>
      <xdr:rowOff>88900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07FA32-CECA-41A5-B741-9F7962138A0E}"/>
            </a:ext>
          </a:extLst>
        </xdr:cNvPr>
        <xdr:cNvSpPr txBox="1"/>
      </xdr:nvSpPr>
      <xdr:spPr>
        <a:xfrm>
          <a:off x="8705850" y="21685250"/>
          <a:ext cx="4756150" cy="1974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Properties</a:t>
          </a:r>
          <a:r>
            <a:rPr lang="en-US" sz="1100"/>
            <a:t> of a Poission Distribution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oneCellAnchor>
    <xdr:from>
      <xdr:col>14</xdr:col>
      <xdr:colOff>336550</xdr:colOff>
      <xdr:row>90</xdr:row>
      <xdr:rowOff>19050</xdr:rowOff>
    </xdr:from>
    <xdr:ext cx="4433050" cy="1168400"/>
    <xdr:pic>
      <xdr:nvPicPr>
        <xdr:cNvPr id="42" name="Picture 41">
          <a:extLst>
            <a:ext uri="{FF2B5EF4-FFF2-40B4-BE49-F238E27FC236}">
              <a16:creationId xmlns:a16="http://schemas.microsoft.com/office/drawing/2014/main" id="{F5F06197-EFDE-458D-BC2B-5056599C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0950" y="22117050"/>
          <a:ext cx="4433050" cy="1168400"/>
        </a:xfrm>
        <a:prstGeom prst="rect">
          <a:avLst/>
        </a:prstGeom>
      </xdr:spPr>
    </xdr:pic>
    <xdr:clientData/>
  </xdr:oneCellAnchor>
  <xdr:twoCellAnchor>
    <xdr:from>
      <xdr:col>6</xdr:col>
      <xdr:colOff>76200</xdr:colOff>
      <xdr:row>103</xdr:row>
      <xdr:rowOff>82550</xdr:rowOff>
    </xdr:from>
    <xdr:to>
      <xdr:col>14</xdr:col>
      <xdr:colOff>571500</xdr:colOff>
      <xdr:row>107</xdr:row>
      <xdr:rowOff>57150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5A009AC-7333-4E3B-9415-BA65174AA857}"/>
            </a:ext>
          </a:extLst>
        </xdr:cNvPr>
        <xdr:cNvSpPr txBox="1"/>
      </xdr:nvSpPr>
      <xdr:spPr>
        <a:xfrm>
          <a:off x="3733800" y="24574500"/>
          <a:ext cx="537210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Because Ford had</a:t>
          </a:r>
          <a:r>
            <a:rPr lang="en-US" sz="1100" baseline="0"/>
            <a:t> a higher mean rate of problems per car than Toyota, the probability of a randomly selected Ford having zero problems will be less than for a Toyota.  Also the probability of a Ford having no more than two problems will be less than for a Toyota.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113</xdr:row>
      <xdr:rowOff>12700</xdr:rowOff>
    </xdr:from>
    <xdr:to>
      <xdr:col>14</xdr:col>
      <xdr:colOff>565150</xdr:colOff>
      <xdr:row>117</xdr:row>
      <xdr:rowOff>95250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D98E042-47EE-42BE-9E98-1BF1A5F76BF7}"/>
            </a:ext>
          </a:extLst>
        </xdr:cNvPr>
        <xdr:cNvSpPr txBox="1"/>
      </xdr:nvSpPr>
      <xdr:spPr>
        <a:xfrm>
          <a:off x="3695700" y="26346150"/>
          <a:ext cx="54038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Because the mean problems</a:t>
          </a:r>
          <a:r>
            <a:rPr lang="en-US" sz="1100" baseline="0"/>
            <a:t> for a Toyota is less than the mean problems for a Ford,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of a randomly selected Ford having zero problems will be less than for a Toyota.  Also the probability of a Ford having no more than two problems will be less than for a Toyota.</a:t>
          </a:r>
          <a:endParaRPr lang="en-US" sz="1100"/>
        </a:p>
      </xdr:txBody>
    </xdr:sp>
    <xdr:clientData/>
  </xdr:twoCellAnchor>
  <xdr:twoCellAnchor>
    <xdr:from>
      <xdr:col>6</xdr:col>
      <xdr:colOff>44450</xdr:colOff>
      <xdr:row>119</xdr:row>
      <xdr:rowOff>57150</xdr:rowOff>
    </xdr:from>
    <xdr:to>
      <xdr:col>14</xdr:col>
      <xdr:colOff>19050</xdr:colOff>
      <xdr:row>130</xdr:row>
      <xdr:rowOff>6350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92657AA-45EF-471B-9D82-BA8937CE683B}"/>
            </a:ext>
          </a:extLst>
        </xdr:cNvPr>
        <xdr:cNvSpPr txBox="1"/>
      </xdr:nvSpPr>
      <xdr:spPr>
        <a:xfrm>
          <a:off x="3702050" y="27508200"/>
          <a:ext cx="4851400" cy="197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the number of complaint calls</a:t>
          </a:r>
          <a:r>
            <a:rPr lang="en-US" sz="1100" baseline="0"/>
            <a:t> received in a one-minute time period</a:t>
          </a:r>
          <a:r>
            <a:rPr lang="en-US" sz="1100"/>
            <a:t>, it must be assumed that..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 </a:t>
          </a:r>
          <a:r>
            <a:rPr lang="en-US" sz="1100"/>
            <a:t>the probability that a phone call is received in a give 1-minute time period is the same for all</a:t>
          </a:r>
          <a:r>
            <a:rPr lang="en-US" sz="1100" baseline="0"/>
            <a:t> other 1-minute time period</a:t>
          </a:r>
          <a:endParaRPr lang="en-US" sz="1100"/>
        </a:p>
        <a:p>
          <a:r>
            <a:rPr lang="en-US" sz="1100"/>
            <a:t>2.</a:t>
          </a:r>
          <a:r>
            <a:rPr lang="en-US" sz="1100" baseline="0"/>
            <a:t>  </a:t>
          </a:r>
          <a:r>
            <a:rPr lang="en-US" sz="1100"/>
            <a:t>the number of phone calls received</a:t>
          </a:r>
          <a:r>
            <a:rPr lang="en-US" sz="1100" baseline="0"/>
            <a:t> in a given 1-minute timer  is independent of the number of the number of phone calls received in any other 1-minute time period</a:t>
          </a:r>
        </a:p>
        <a:p>
          <a:r>
            <a:rPr lang="en-US" sz="1100" baseline="0"/>
            <a:t>3.  the probability that two or more phone calls received in a 1-minute time period approaches zero as the length of the time approaches zero</a:t>
          </a:r>
        </a:p>
        <a:p>
          <a:endParaRPr lang="en-US" sz="1100" baseline="0"/>
        </a:p>
      </xdr:txBody>
    </xdr:sp>
    <xdr:clientData/>
  </xdr:twoCellAnchor>
  <xdr:twoCellAnchor>
    <xdr:from>
      <xdr:col>14</xdr:col>
      <xdr:colOff>158750</xdr:colOff>
      <xdr:row>119</xdr:row>
      <xdr:rowOff>63500</xdr:rowOff>
    </xdr:from>
    <xdr:to>
      <xdr:col>22</xdr:col>
      <xdr:colOff>38100</xdr:colOff>
      <xdr:row>130</xdr:row>
      <xdr:rowOff>12700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903BE55-471C-4B0B-8451-164B5F260E04}"/>
            </a:ext>
          </a:extLst>
        </xdr:cNvPr>
        <xdr:cNvSpPr txBox="1"/>
      </xdr:nvSpPr>
      <xdr:spPr>
        <a:xfrm>
          <a:off x="8693150" y="27514550"/>
          <a:ext cx="4756150" cy="1974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Properties</a:t>
          </a:r>
          <a:r>
            <a:rPr lang="en-US" sz="1100"/>
            <a:t> of a Poission Distribution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oneCellAnchor>
    <xdr:from>
      <xdr:col>14</xdr:col>
      <xdr:colOff>336550</xdr:colOff>
      <xdr:row>122</xdr:row>
      <xdr:rowOff>19050</xdr:rowOff>
    </xdr:from>
    <xdr:ext cx="4433050" cy="1168400"/>
    <xdr:pic>
      <xdr:nvPicPr>
        <xdr:cNvPr id="47" name="Picture 46">
          <a:extLst>
            <a:ext uri="{FF2B5EF4-FFF2-40B4-BE49-F238E27FC236}">
              <a16:creationId xmlns:a16="http://schemas.microsoft.com/office/drawing/2014/main" id="{DACB4088-A380-4659-9FF3-AFBB5554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0950" y="22117050"/>
          <a:ext cx="4433050" cy="11684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2</xdr:row>
      <xdr:rowOff>129540</xdr:rowOff>
    </xdr:from>
    <xdr:to>
      <xdr:col>7</xdr:col>
      <xdr:colOff>105396</xdr:colOff>
      <xdr:row>13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F1D88-0B88-41A1-A27D-E0DE7416F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" y="495300"/>
          <a:ext cx="4105897" cy="1920240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21</xdr:row>
      <xdr:rowOff>167640</xdr:rowOff>
    </xdr:from>
    <xdr:to>
      <xdr:col>7</xdr:col>
      <xdr:colOff>136130</xdr:colOff>
      <xdr:row>32</xdr:row>
      <xdr:rowOff>101301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301BA-B221-401B-9359-07072B0F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" y="4008120"/>
          <a:ext cx="412901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173467</xdr:colOff>
      <xdr:row>13</xdr:row>
      <xdr:rowOff>80234</xdr:rowOff>
    </xdr:from>
    <xdr:to>
      <xdr:col>7</xdr:col>
      <xdr:colOff>250011</xdr:colOff>
      <xdr:row>16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FB1798-0556-4441-B808-8AA2BF61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67" y="2411058"/>
          <a:ext cx="4343744" cy="46526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38</xdr:row>
      <xdr:rowOff>152400</xdr:rowOff>
    </xdr:from>
    <xdr:to>
      <xdr:col>7</xdr:col>
      <xdr:colOff>190178</xdr:colOff>
      <xdr:row>51</xdr:row>
      <xdr:rowOff>139401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8E6281-066B-4965-9049-328E3649D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101840"/>
          <a:ext cx="4381178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4A5F-3300-4326-B5AB-83355455C99C}">
  <sheetPr codeName="Sheet1"/>
  <dimension ref="B2:D19"/>
  <sheetViews>
    <sheetView tabSelected="1" workbookViewId="0">
      <selection activeCell="D16" sqref="D16"/>
    </sheetView>
  </sheetViews>
  <sheetFormatPr defaultRowHeight="14.4" x14ac:dyDescent="0.3"/>
  <cols>
    <col min="2" max="2" width="7.21875" customWidth="1"/>
    <col min="3" max="3" width="8.6640625" customWidth="1"/>
    <col min="4" max="4" width="48.44140625" customWidth="1"/>
  </cols>
  <sheetData>
    <row r="2" spans="2:4" ht="15" thickBot="1" x14ac:dyDescent="0.35"/>
    <row r="3" spans="2:4" x14ac:dyDescent="0.3">
      <c r="B3" s="33" t="s">
        <v>151</v>
      </c>
      <c r="C3" s="34" t="s">
        <v>152</v>
      </c>
      <c r="D3" s="35" t="s">
        <v>153</v>
      </c>
    </row>
    <row r="4" spans="2:4" x14ac:dyDescent="0.3">
      <c r="B4" s="36">
        <v>1</v>
      </c>
      <c r="C4" s="32">
        <v>5.2</v>
      </c>
      <c r="D4" s="37" t="s">
        <v>154</v>
      </c>
    </row>
    <row r="5" spans="2:4" x14ac:dyDescent="0.3">
      <c r="B5" s="36">
        <v>2</v>
      </c>
      <c r="C5" s="32">
        <v>5.6</v>
      </c>
      <c r="D5" s="37" t="s">
        <v>154</v>
      </c>
    </row>
    <row r="6" spans="2:4" x14ac:dyDescent="0.3">
      <c r="B6" s="36">
        <v>3</v>
      </c>
      <c r="C6" s="32">
        <v>5.7</v>
      </c>
      <c r="D6" s="37" t="s">
        <v>154</v>
      </c>
    </row>
    <row r="7" spans="2:4" x14ac:dyDescent="0.3">
      <c r="B7" s="36">
        <v>4</v>
      </c>
      <c r="C7" s="32" t="s">
        <v>155</v>
      </c>
      <c r="D7" s="37" t="s">
        <v>154</v>
      </c>
    </row>
    <row r="8" spans="2:4" x14ac:dyDescent="0.3">
      <c r="B8" s="36">
        <v>5</v>
      </c>
      <c r="C8" s="32" t="s">
        <v>156</v>
      </c>
      <c r="D8" s="37" t="s">
        <v>154</v>
      </c>
    </row>
    <row r="9" spans="2:4" x14ac:dyDescent="0.3">
      <c r="B9" s="36">
        <v>6</v>
      </c>
      <c r="C9" s="32">
        <v>5.13</v>
      </c>
      <c r="D9" s="37" t="s">
        <v>154</v>
      </c>
    </row>
    <row r="10" spans="2:4" x14ac:dyDescent="0.3">
      <c r="B10" s="36">
        <v>7</v>
      </c>
      <c r="C10" s="32">
        <v>5.14</v>
      </c>
      <c r="D10" s="37" t="s">
        <v>154</v>
      </c>
    </row>
    <row r="11" spans="2:4" x14ac:dyDescent="0.3">
      <c r="B11" s="36">
        <v>8</v>
      </c>
      <c r="C11" s="32">
        <v>5.16</v>
      </c>
      <c r="D11" s="37" t="s">
        <v>154</v>
      </c>
    </row>
    <row r="12" spans="2:4" x14ac:dyDescent="0.3">
      <c r="B12" s="36">
        <v>9</v>
      </c>
      <c r="C12" s="43">
        <v>5.2</v>
      </c>
      <c r="D12" s="37" t="s">
        <v>154</v>
      </c>
    </row>
    <row r="13" spans="2:4" x14ac:dyDescent="0.3">
      <c r="B13" s="36">
        <v>10</v>
      </c>
      <c r="C13" s="32">
        <v>5.22</v>
      </c>
      <c r="D13" s="37" t="s">
        <v>154</v>
      </c>
    </row>
    <row r="14" spans="2:4" x14ac:dyDescent="0.3">
      <c r="B14" s="36">
        <v>11</v>
      </c>
      <c r="C14" s="32">
        <v>5.23</v>
      </c>
      <c r="D14" s="37" t="s">
        <v>154</v>
      </c>
    </row>
    <row r="15" spans="2:4" x14ac:dyDescent="0.3">
      <c r="B15" s="36">
        <v>12</v>
      </c>
      <c r="C15" s="32">
        <v>5.26</v>
      </c>
      <c r="D15" s="37" t="s">
        <v>154</v>
      </c>
    </row>
    <row r="16" spans="2:4" x14ac:dyDescent="0.3">
      <c r="B16" s="36">
        <v>13</v>
      </c>
      <c r="C16" s="32">
        <v>6.17</v>
      </c>
      <c r="D16" s="46" t="str">
        <f>'6.17, 6.24 &amp; 6.26'!J4</f>
        <v>Data Required</v>
      </c>
    </row>
    <row r="17" spans="2:4" x14ac:dyDescent="0.3">
      <c r="B17" s="36">
        <v>14</v>
      </c>
      <c r="C17" s="32">
        <v>6.24</v>
      </c>
      <c r="D17" s="37" t="s">
        <v>154</v>
      </c>
    </row>
    <row r="18" spans="2:4" ht="15" thickBot="1" x14ac:dyDescent="0.35">
      <c r="B18" s="38">
        <v>15</v>
      </c>
      <c r="C18" s="39">
        <v>6.26</v>
      </c>
      <c r="D18" s="31" t="s">
        <v>154</v>
      </c>
    </row>
    <row r="19" spans="2:4" ht="15" x14ac:dyDescent="0.3">
      <c r="B1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2080-EC2E-4A64-8ABD-F9C4B111C8E2}">
  <sheetPr codeName="Sheet2"/>
  <dimension ref="A24:Q307"/>
  <sheetViews>
    <sheetView zoomScale="70" zoomScaleNormal="70" workbookViewId="0">
      <selection activeCell="G74" sqref="G74"/>
    </sheetView>
  </sheetViews>
  <sheetFormatPr defaultRowHeight="14.4" x14ac:dyDescent="0.3"/>
  <cols>
    <col min="7" max="7" width="27.77734375" customWidth="1"/>
    <col min="8" max="8" width="15.33203125" customWidth="1"/>
    <col min="9" max="9" width="8.33203125" customWidth="1"/>
    <col min="10" max="10" width="16.6640625" bestFit="1" customWidth="1"/>
    <col min="11" max="11" width="11" customWidth="1"/>
    <col min="12" max="12" width="11.21875" customWidth="1"/>
    <col min="13" max="13" width="9.5546875" bestFit="1" customWidth="1"/>
    <col min="14" max="14" width="12.6640625" customWidth="1"/>
    <col min="15" max="15" width="12.77734375" bestFit="1" customWidth="1"/>
    <col min="16" max="16" width="8.77734375" customWidth="1"/>
    <col min="17" max="17" width="11.77734375" customWidth="1"/>
    <col min="18" max="18" width="13.44140625" customWidth="1"/>
  </cols>
  <sheetData>
    <row r="24" spans="1:10" x14ac:dyDescent="0.3">
      <c r="A24" s="11" t="s">
        <v>9</v>
      </c>
    </row>
    <row r="27" spans="1:10" x14ac:dyDescent="0.3">
      <c r="I27" t="s">
        <v>10</v>
      </c>
    </row>
    <row r="28" spans="1:10" x14ac:dyDescent="0.3">
      <c r="I28" t="s">
        <v>15</v>
      </c>
    </row>
    <row r="29" spans="1:10" x14ac:dyDescent="0.3">
      <c r="I29" t="s">
        <v>11</v>
      </c>
    </row>
    <row r="30" spans="1:10" x14ac:dyDescent="0.3">
      <c r="J30" t="s">
        <v>12</v>
      </c>
    </row>
    <row r="31" spans="1:10" x14ac:dyDescent="0.3">
      <c r="J31">
        <v>0.8</v>
      </c>
    </row>
    <row r="32" spans="1:10" x14ac:dyDescent="0.3">
      <c r="I32" t="s">
        <v>13</v>
      </c>
    </row>
    <row r="33" spans="8:10" x14ac:dyDescent="0.3">
      <c r="J33" t="s">
        <v>14</v>
      </c>
    </row>
    <row r="34" spans="8:10" x14ac:dyDescent="0.3">
      <c r="J34">
        <v>0.9</v>
      </c>
    </row>
    <row r="35" spans="8:10" x14ac:dyDescent="0.3">
      <c r="I35" t="s">
        <v>16</v>
      </c>
    </row>
    <row r="36" spans="8:10" x14ac:dyDescent="0.3">
      <c r="J36" t="s">
        <v>17</v>
      </c>
    </row>
    <row r="37" spans="8:10" x14ac:dyDescent="0.3">
      <c r="J37">
        <v>0.1</v>
      </c>
    </row>
    <row r="38" spans="8:10" x14ac:dyDescent="0.3">
      <c r="H38" t="s">
        <v>18</v>
      </c>
      <c r="I38" t="s">
        <v>19</v>
      </c>
    </row>
    <row r="39" spans="8:10" x14ac:dyDescent="0.3">
      <c r="J39" t="s">
        <v>20</v>
      </c>
    </row>
    <row r="40" spans="8:10" x14ac:dyDescent="0.3">
      <c r="J40">
        <v>0.1</v>
      </c>
    </row>
    <row r="64" ht="15" thickBot="1" x14ac:dyDescent="0.35"/>
    <row r="65" spans="6:17" ht="15" thickBot="1" x14ac:dyDescent="0.35">
      <c r="F65" s="15" t="s">
        <v>24</v>
      </c>
      <c r="G65" s="47" t="s">
        <v>21</v>
      </c>
      <c r="H65" s="48"/>
      <c r="I65" s="48"/>
      <c r="J65" s="48"/>
      <c r="K65" s="49"/>
      <c r="M65" s="47" t="s">
        <v>22</v>
      </c>
      <c r="N65" s="48"/>
      <c r="O65" s="48"/>
      <c r="P65" s="48"/>
      <c r="Q65" s="49"/>
    </row>
    <row r="66" spans="6:17" ht="16.8" thickBot="1" x14ac:dyDescent="0.35">
      <c r="G66" s="12" t="s">
        <v>0</v>
      </c>
      <c r="H66" s="13" t="s">
        <v>1</v>
      </c>
      <c r="I66" s="13" t="s">
        <v>2</v>
      </c>
      <c r="J66" s="13" t="s">
        <v>3</v>
      </c>
      <c r="K66" s="14" t="s">
        <v>4</v>
      </c>
      <c r="M66" s="12" t="s">
        <v>0</v>
      </c>
      <c r="N66" s="13" t="s">
        <v>1</v>
      </c>
      <c r="O66" s="13" t="s">
        <v>2</v>
      </c>
      <c r="P66" s="13" t="s">
        <v>3</v>
      </c>
      <c r="Q66" s="14" t="s">
        <v>4</v>
      </c>
    </row>
    <row r="67" spans="6:17" x14ac:dyDescent="0.3">
      <c r="G67" s="1">
        <v>0</v>
      </c>
      <c r="H67" s="2">
        <v>0.5</v>
      </c>
      <c r="I67" s="2">
        <f>G67*H67</f>
        <v>0</v>
      </c>
      <c r="J67" s="20">
        <f>(G67-$I$72)^2</f>
        <v>1</v>
      </c>
      <c r="K67" s="3">
        <f>J67*H67</f>
        <v>0.5</v>
      </c>
      <c r="M67" s="1">
        <v>0</v>
      </c>
      <c r="N67" s="2">
        <v>0.05</v>
      </c>
      <c r="O67" s="2">
        <f>M67*N67</f>
        <v>0</v>
      </c>
      <c r="P67" s="2">
        <f>(M67-$P$74)^2</f>
        <v>9</v>
      </c>
      <c r="Q67" s="3">
        <f>P67*N67</f>
        <v>0.45</v>
      </c>
    </row>
    <row r="68" spans="6:17" x14ac:dyDescent="0.3">
      <c r="G68" s="1">
        <v>1</v>
      </c>
      <c r="H68" s="2">
        <v>0.2</v>
      </c>
      <c r="I68" s="2">
        <f t="shared" ref="I68:I71" si="0">G68*H68</f>
        <v>0.2</v>
      </c>
      <c r="J68" s="20">
        <f t="shared" ref="J68:J71" si="1">(G68-$I$72)^2</f>
        <v>0</v>
      </c>
      <c r="K68" s="3">
        <f t="shared" ref="K68:K70" si="2">J68*H68</f>
        <v>0</v>
      </c>
      <c r="M68" s="1">
        <v>1</v>
      </c>
      <c r="N68" s="2">
        <v>0.1</v>
      </c>
      <c r="O68" s="2">
        <f t="shared" ref="O68:O71" si="3">M68*N68</f>
        <v>0.1</v>
      </c>
      <c r="P68" s="2">
        <f t="shared" ref="P68:P71" si="4">(M68-$P$74)^2</f>
        <v>4</v>
      </c>
      <c r="Q68" s="3">
        <f t="shared" ref="Q68:Q71" si="5">P68*N68</f>
        <v>0.4</v>
      </c>
    </row>
    <row r="69" spans="6:17" x14ac:dyDescent="0.3">
      <c r="G69" s="1">
        <v>2</v>
      </c>
      <c r="H69" s="2">
        <v>0.15</v>
      </c>
      <c r="I69" s="2">
        <f t="shared" si="0"/>
        <v>0.3</v>
      </c>
      <c r="J69" s="20">
        <f t="shared" si="1"/>
        <v>1</v>
      </c>
      <c r="K69" s="3">
        <f t="shared" si="2"/>
        <v>0.15</v>
      </c>
      <c r="M69" s="1">
        <v>2</v>
      </c>
      <c r="N69" s="2">
        <v>0.15</v>
      </c>
      <c r="O69" s="2">
        <f t="shared" si="3"/>
        <v>0.3</v>
      </c>
      <c r="P69" s="2">
        <f t="shared" si="4"/>
        <v>1</v>
      </c>
      <c r="Q69" s="3">
        <f t="shared" si="5"/>
        <v>0.15</v>
      </c>
    </row>
    <row r="70" spans="6:17" x14ac:dyDescent="0.3">
      <c r="G70" s="1">
        <v>3</v>
      </c>
      <c r="H70" s="2">
        <v>0.1</v>
      </c>
      <c r="I70" s="2">
        <f t="shared" si="0"/>
        <v>0.30000000000000004</v>
      </c>
      <c r="J70" s="20">
        <f t="shared" si="1"/>
        <v>4</v>
      </c>
      <c r="K70" s="3">
        <f t="shared" si="2"/>
        <v>0.4</v>
      </c>
      <c r="M70" s="1">
        <v>3</v>
      </c>
      <c r="N70" s="2">
        <v>0.2</v>
      </c>
      <c r="O70" s="2">
        <f t="shared" si="3"/>
        <v>0.60000000000000009</v>
      </c>
      <c r="P70" s="2">
        <f t="shared" si="4"/>
        <v>0</v>
      </c>
      <c r="Q70" s="3">
        <f t="shared" si="5"/>
        <v>0</v>
      </c>
    </row>
    <row r="71" spans="6:17" ht="15" thickBot="1" x14ac:dyDescent="0.35">
      <c r="G71" s="1">
        <v>4</v>
      </c>
      <c r="H71" s="2">
        <v>0.05</v>
      </c>
      <c r="I71" s="2">
        <f t="shared" si="0"/>
        <v>0.2</v>
      </c>
      <c r="J71" s="20">
        <f t="shared" si="1"/>
        <v>9</v>
      </c>
      <c r="K71" s="3">
        <f>J71*H71</f>
        <v>0.45</v>
      </c>
      <c r="M71" s="1">
        <v>4</v>
      </c>
      <c r="N71" s="2">
        <v>0.5</v>
      </c>
      <c r="O71" s="2">
        <f t="shared" si="3"/>
        <v>2</v>
      </c>
      <c r="P71" s="2">
        <f t="shared" si="4"/>
        <v>1</v>
      </c>
      <c r="Q71" s="3">
        <f t="shared" si="5"/>
        <v>0.5</v>
      </c>
    </row>
    <row r="72" spans="6:17" ht="15" thickBot="1" x14ac:dyDescent="0.35">
      <c r="G72" s="4" t="s">
        <v>5</v>
      </c>
      <c r="H72" s="5">
        <f>SUM(H67:H71)</f>
        <v>1</v>
      </c>
      <c r="I72" s="6">
        <f>SUM(I67:I71)</f>
        <v>1</v>
      </c>
      <c r="J72" s="7">
        <f>SUM(J67:J71)</f>
        <v>15</v>
      </c>
      <c r="K72" s="8">
        <f>SUM(K67:K71)</f>
        <v>1.5</v>
      </c>
      <c r="M72" s="4" t="s">
        <v>5</v>
      </c>
      <c r="N72" s="5">
        <f>SUM(N67:N71)</f>
        <v>1</v>
      </c>
      <c r="O72" s="6">
        <f>SUM(O67:O71)</f>
        <v>3</v>
      </c>
      <c r="P72" s="7">
        <f>SUM(P67:P71)</f>
        <v>15</v>
      </c>
      <c r="Q72" s="8">
        <f>SUM(Q67:Q71)</f>
        <v>1.5</v>
      </c>
    </row>
    <row r="74" spans="6:17" x14ac:dyDescent="0.3">
      <c r="G74" t="s">
        <v>6</v>
      </c>
      <c r="J74" s="9">
        <f>I72</f>
        <v>1</v>
      </c>
      <c r="M74" t="s">
        <v>6</v>
      </c>
      <c r="P74" s="9">
        <f>O72</f>
        <v>3</v>
      </c>
    </row>
    <row r="75" spans="6:17" ht="16.2" x14ac:dyDescent="0.3">
      <c r="G75" t="s">
        <v>7</v>
      </c>
      <c r="J75" s="10">
        <f>K72</f>
        <v>1.5</v>
      </c>
      <c r="M75" t="s">
        <v>7</v>
      </c>
      <c r="P75" s="10">
        <f>Q72</f>
        <v>1.5</v>
      </c>
    </row>
    <row r="76" spans="6:17" x14ac:dyDescent="0.3">
      <c r="G76" t="s">
        <v>8</v>
      </c>
      <c r="J76" s="27">
        <f>SQRT(K72)</f>
        <v>1.2247448713915889</v>
      </c>
      <c r="M76" t="s">
        <v>8</v>
      </c>
      <c r="P76">
        <f>SQRT(Q72)</f>
        <v>1.2247448713915889</v>
      </c>
    </row>
    <row r="78" spans="6:17" x14ac:dyDescent="0.3">
      <c r="F78" s="15" t="s">
        <v>25</v>
      </c>
      <c r="G78" t="s">
        <v>26</v>
      </c>
      <c r="J78">
        <f>H70+H71</f>
        <v>0.15000000000000002</v>
      </c>
      <c r="M78" t="s">
        <v>26</v>
      </c>
      <c r="P78">
        <f>N70+N71</f>
        <v>0.7</v>
      </c>
    </row>
    <row r="80" spans="6:17" x14ac:dyDescent="0.3">
      <c r="F80" s="15" t="s">
        <v>27</v>
      </c>
      <c r="G80" t="s">
        <v>28</v>
      </c>
    </row>
    <row r="82" spans="4:15" ht="137.55000000000001" customHeight="1" x14ac:dyDescent="0.3">
      <c r="D82" s="21"/>
      <c r="O82" s="21"/>
    </row>
    <row r="86" spans="4:15" ht="15" thickBot="1" x14ac:dyDescent="0.35"/>
    <row r="87" spans="4:15" ht="15" thickBot="1" x14ac:dyDescent="0.35">
      <c r="G87" s="47" t="s">
        <v>21</v>
      </c>
      <c r="H87" s="48"/>
      <c r="I87" s="48"/>
      <c r="J87" s="48"/>
      <c r="K87" s="49"/>
    </row>
    <row r="88" spans="4:15" ht="16.8" thickBot="1" x14ac:dyDescent="0.35">
      <c r="G88" s="12" t="s">
        <v>0</v>
      </c>
      <c r="H88" s="13" t="s">
        <v>1</v>
      </c>
      <c r="I88" s="13" t="s">
        <v>2</v>
      </c>
      <c r="J88" s="13" t="s">
        <v>3</v>
      </c>
      <c r="K88" s="14" t="s">
        <v>4</v>
      </c>
    </row>
    <row r="89" spans="4:15" x14ac:dyDescent="0.3">
      <c r="G89" s="1">
        <v>0</v>
      </c>
      <c r="H89" s="22">
        <v>0.1</v>
      </c>
      <c r="I89" s="22">
        <f>G89*H89</f>
        <v>0</v>
      </c>
      <c r="J89" s="22">
        <f>(G89-$I$95)^2</f>
        <v>4</v>
      </c>
      <c r="K89" s="28">
        <f>J89*H89</f>
        <v>0.4</v>
      </c>
    </row>
    <row r="90" spans="4:15" x14ac:dyDescent="0.3">
      <c r="G90" s="1">
        <v>1</v>
      </c>
      <c r="H90" s="22">
        <v>0.2</v>
      </c>
      <c r="I90" s="22">
        <f t="shared" ref="I90:I92" si="6">G90*H90</f>
        <v>0.2</v>
      </c>
      <c r="J90" s="22">
        <f t="shared" ref="J90:J94" si="7">(G90-$I$95)^2</f>
        <v>1</v>
      </c>
      <c r="K90" s="28">
        <f t="shared" ref="K90:K92" si="8">J90*H90</f>
        <v>0.2</v>
      </c>
    </row>
    <row r="91" spans="4:15" x14ac:dyDescent="0.3">
      <c r="G91" s="1">
        <v>2</v>
      </c>
      <c r="H91" s="2">
        <v>0.45</v>
      </c>
      <c r="I91" s="22">
        <f t="shared" si="6"/>
        <v>0.9</v>
      </c>
      <c r="J91" s="22">
        <f t="shared" si="7"/>
        <v>0</v>
      </c>
      <c r="K91" s="28">
        <f t="shared" si="8"/>
        <v>0</v>
      </c>
    </row>
    <row r="92" spans="4:15" x14ac:dyDescent="0.3">
      <c r="G92" s="1">
        <v>3</v>
      </c>
      <c r="H92" s="2">
        <v>0.15</v>
      </c>
      <c r="I92" s="22">
        <f t="shared" si="6"/>
        <v>0.44999999999999996</v>
      </c>
      <c r="J92" s="22">
        <f t="shared" si="7"/>
        <v>1</v>
      </c>
      <c r="K92" s="28">
        <f t="shared" si="8"/>
        <v>0.15</v>
      </c>
    </row>
    <row r="93" spans="4:15" x14ac:dyDescent="0.3">
      <c r="G93" s="1">
        <v>4</v>
      </c>
      <c r="H93" s="2">
        <v>0.05</v>
      </c>
      <c r="I93" s="22">
        <f>G93*H93</f>
        <v>0.2</v>
      </c>
      <c r="J93" s="22">
        <f t="shared" si="7"/>
        <v>4</v>
      </c>
      <c r="K93" s="28">
        <f>J93*H93</f>
        <v>0.2</v>
      </c>
    </row>
    <row r="94" spans="4:15" ht="15" thickBot="1" x14ac:dyDescent="0.35">
      <c r="G94" s="1">
        <v>5</v>
      </c>
      <c r="H94" s="2">
        <v>0.05</v>
      </c>
      <c r="I94" s="22">
        <f>G94*H94</f>
        <v>0.25</v>
      </c>
      <c r="J94" s="22">
        <f t="shared" si="7"/>
        <v>9</v>
      </c>
      <c r="K94" s="28">
        <f>J94*H94</f>
        <v>0.45</v>
      </c>
    </row>
    <row r="95" spans="4:15" ht="15" thickBot="1" x14ac:dyDescent="0.35">
      <c r="G95" s="4" t="s">
        <v>5</v>
      </c>
      <c r="H95" s="5">
        <f>SUM(H89:H94)</f>
        <v>1</v>
      </c>
      <c r="I95" s="5">
        <f t="shared" ref="I95:K95" si="9">SUM(I89:I94)</f>
        <v>2</v>
      </c>
      <c r="J95" s="5">
        <f t="shared" si="9"/>
        <v>19</v>
      </c>
      <c r="K95" s="5">
        <f t="shared" si="9"/>
        <v>1.4000000000000001</v>
      </c>
    </row>
    <row r="97" spans="6:14" x14ac:dyDescent="0.3">
      <c r="F97" s="15" t="s">
        <v>23</v>
      </c>
      <c r="G97" t="s">
        <v>6</v>
      </c>
      <c r="J97" s="9">
        <f>I95</f>
        <v>2</v>
      </c>
    </row>
    <row r="98" spans="6:14" ht="16.2" x14ac:dyDescent="0.3">
      <c r="F98" s="11"/>
      <c r="G98" t="s">
        <v>7</v>
      </c>
      <c r="J98" s="10">
        <f>K95</f>
        <v>1.4000000000000001</v>
      </c>
    </row>
    <row r="99" spans="6:14" x14ac:dyDescent="0.3">
      <c r="F99" s="15" t="s">
        <v>29</v>
      </c>
      <c r="G99" t="s">
        <v>8</v>
      </c>
      <c r="J99" s="27">
        <f>SQRT(K95)</f>
        <v>1.1832159566199232</v>
      </c>
    </row>
    <row r="100" spans="6:14" x14ac:dyDescent="0.3">
      <c r="F100" s="15" t="s">
        <v>25</v>
      </c>
      <c r="G100" t="s">
        <v>147</v>
      </c>
      <c r="H100" t="s">
        <v>148</v>
      </c>
      <c r="I100" t="s">
        <v>150</v>
      </c>
      <c r="K100" s="11">
        <f>H91+H92+H93+H94</f>
        <v>0.70000000000000007</v>
      </c>
    </row>
    <row r="101" spans="6:14" x14ac:dyDescent="0.3">
      <c r="G101" t="s">
        <v>149</v>
      </c>
    </row>
    <row r="104" spans="6:14" ht="16.2" x14ac:dyDescent="0.3">
      <c r="F104" s="15"/>
      <c r="G104" s="15" t="s">
        <v>0</v>
      </c>
      <c r="H104" s="11" t="s">
        <v>157</v>
      </c>
      <c r="I104" s="11" t="s">
        <v>159</v>
      </c>
      <c r="J104" s="11" t="s">
        <v>3</v>
      </c>
      <c r="K104" s="11" t="s">
        <v>158</v>
      </c>
      <c r="L104" s="29" t="s">
        <v>162</v>
      </c>
      <c r="M104" s="29" t="s">
        <v>163</v>
      </c>
      <c r="N104" s="29"/>
    </row>
    <row r="105" spans="6:14" x14ac:dyDescent="0.3">
      <c r="F105" s="15"/>
      <c r="G105">
        <v>0</v>
      </c>
      <c r="H105">
        <v>13</v>
      </c>
      <c r="I105">
        <f>H105*G105</f>
        <v>0</v>
      </c>
      <c r="J105" s="27">
        <f>(G105-$H$115)^2</f>
        <v>4.434264053254438</v>
      </c>
      <c r="K105" s="27">
        <f>J105*I105</f>
        <v>0</v>
      </c>
      <c r="L105" s="27">
        <f>H105/$H$113</f>
        <v>0.125</v>
      </c>
      <c r="M105" s="27">
        <f>G105*L105</f>
        <v>0</v>
      </c>
    </row>
    <row r="106" spans="6:14" x14ac:dyDescent="0.3">
      <c r="F106" s="15"/>
      <c r="G106">
        <v>1</v>
      </c>
      <c r="H106">
        <v>25</v>
      </c>
      <c r="I106">
        <f t="shared" ref="I106:I112" si="10">H106*G106</f>
        <v>25</v>
      </c>
      <c r="J106" s="27">
        <f t="shared" ref="J106:J112" si="11">(G106-$H$115)^2</f>
        <v>1.2227255917159765</v>
      </c>
      <c r="K106" s="27">
        <f t="shared" ref="K106:K112" si="12">J106*I106</f>
        <v>30.568139792899412</v>
      </c>
      <c r="L106" s="27">
        <f t="shared" ref="L106:L112" si="13">H106/$H$113</f>
        <v>0.24038461538461539</v>
      </c>
      <c r="M106" s="27">
        <f t="shared" ref="M106:M112" si="14">G106*L106</f>
        <v>0.24038461538461539</v>
      </c>
    </row>
    <row r="107" spans="6:14" x14ac:dyDescent="0.3">
      <c r="F107" s="15"/>
      <c r="G107">
        <v>2</v>
      </c>
      <c r="H107">
        <v>32</v>
      </c>
      <c r="I107">
        <f t="shared" si="10"/>
        <v>64</v>
      </c>
      <c r="J107" s="27">
        <f t="shared" si="11"/>
        <v>1.1187130177514807E-2</v>
      </c>
      <c r="K107" s="27">
        <f t="shared" si="12"/>
        <v>0.71597633136094763</v>
      </c>
      <c r="L107" s="27">
        <f t="shared" si="13"/>
        <v>0.30769230769230771</v>
      </c>
      <c r="M107" s="27">
        <f t="shared" si="14"/>
        <v>0.61538461538461542</v>
      </c>
    </row>
    <row r="108" spans="6:14" x14ac:dyDescent="0.3">
      <c r="F108" s="15"/>
      <c r="G108">
        <v>3</v>
      </c>
      <c r="H108">
        <v>17</v>
      </c>
      <c r="I108">
        <f t="shared" si="10"/>
        <v>51</v>
      </c>
      <c r="J108" s="27">
        <f t="shared" si="11"/>
        <v>0.79964866863905315</v>
      </c>
      <c r="K108" s="27">
        <f t="shared" si="12"/>
        <v>40.782082100591708</v>
      </c>
      <c r="L108" s="27">
        <f t="shared" si="13"/>
        <v>0.16346153846153846</v>
      </c>
      <c r="M108" s="27">
        <f t="shared" si="14"/>
        <v>0.49038461538461542</v>
      </c>
    </row>
    <row r="109" spans="6:14" x14ac:dyDescent="0.3">
      <c r="F109" s="15"/>
      <c r="G109">
        <v>4</v>
      </c>
      <c r="H109">
        <v>9</v>
      </c>
      <c r="I109">
        <f t="shared" si="10"/>
        <v>36</v>
      </c>
      <c r="J109" s="27">
        <f t="shared" si="11"/>
        <v>3.5881102071005913</v>
      </c>
      <c r="K109" s="27">
        <f t="shared" si="12"/>
        <v>129.17196745562129</v>
      </c>
      <c r="L109" s="27">
        <f t="shared" si="13"/>
        <v>8.6538461538461536E-2</v>
      </c>
      <c r="M109" s="27">
        <f t="shared" si="14"/>
        <v>0.34615384615384615</v>
      </c>
    </row>
    <row r="110" spans="6:14" x14ac:dyDescent="0.3">
      <c r="F110" s="15"/>
      <c r="G110">
        <v>5</v>
      </c>
      <c r="H110">
        <v>6</v>
      </c>
      <c r="I110">
        <f t="shared" si="10"/>
        <v>30</v>
      </c>
      <c r="J110" s="27">
        <f t="shared" si="11"/>
        <v>8.3765717455621296</v>
      </c>
      <c r="K110" s="27">
        <f t="shared" si="12"/>
        <v>251.29715236686388</v>
      </c>
      <c r="L110" s="27">
        <f t="shared" si="13"/>
        <v>5.7692307692307696E-2</v>
      </c>
      <c r="M110" s="27">
        <f t="shared" si="14"/>
        <v>0.28846153846153849</v>
      </c>
    </row>
    <row r="111" spans="6:14" x14ac:dyDescent="0.3">
      <c r="F111" s="15"/>
      <c r="G111">
        <v>6</v>
      </c>
      <c r="H111">
        <v>1</v>
      </c>
      <c r="I111">
        <f t="shared" si="10"/>
        <v>6</v>
      </c>
      <c r="J111" s="27">
        <f t="shared" si="11"/>
        <v>15.165033284023668</v>
      </c>
      <c r="K111" s="27">
        <f t="shared" si="12"/>
        <v>90.990199704142015</v>
      </c>
      <c r="L111" s="27">
        <f t="shared" si="13"/>
        <v>9.6153846153846159E-3</v>
      </c>
      <c r="M111" s="27">
        <f t="shared" si="14"/>
        <v>5.7692307692307696E-2</v>
      </c>
    </row>
    <row r="112" spans="6:14" x14ac:dyDescent="0.3">
      <c r="F112" s="15"/>
      <c r="G112">
        <v>7</v>
      </c>
      <c r="H112">
        <v>1</v>
      </c>
      <c r="I112">
        <f t="shared" si="10"/>
        <v>7</v>
      </c>
      <c r="J112" s="27">
        <f t="shared" si="11"/>
        <v>23.953494822485208</v>
      </c>
      <c r="K112" s="27">
        <f t="shared" si="12"/>
        <v>167.67446375739647</v>
      </c>
      <c r="L112" s="27">
        <f t="shared" si="13"/>
        <v>9.6153846153846159E-3</v>
      </c>
      <c r="M112" s="27">
        <f t="shared" si="14"/>
        <v>6.7307692307692318E-2</v>
      </c>
    </row>
    <row r="113" spans="6:15" x14ac:dyDescent="0.3">
      <c r="F113" s="15"/>
      <c r="H113" s="11">
        <f>SUM(H105:H112)</f>
        <v>104</v>
      </c>
      <c r="I113" s="11">
        <f>SUM(I105:I112)</f>
        <v>219</v>
      </c>
      <c r="K113" s="27">
        <f>SUM(K105:K112)</f>
        <v>711.19998150887568</v>
      </c>
      <c r="L113" s="27">
        <f>SUM(L105:L112)</f>
        <v>1</v>
      </c>
      <c r="M113" s="41">
        <f>SUM(M105:M112)</f>
        <v>2.1057692307692313</v>
      </c>
    </row>
    <row r="114" spans="6:15" x14ac:dyDescent="0.3">
      <c r="F114" s="15"/>
    </row>
    <row r="115" spans="6:15" x14ac:dyDescent="0.3">
      <c r="F115" s="15" t="s">
        <v>23</v>
      </c>
      <c r="G115" t="s">
        <v>6</v>
      </c>
      <c r="H115" s="40">
        <f>I113/H113</f>
        <v>2.1057692307692308</v>
      </c>
    </row>
    <row r="116" spans="6:15" x14ac:dyDescent="0.3">
      <c r="F116" s="15" t="s">
        <v>29</v>
      </c>
      <c r="G116" t="s">
        <v>8</v>
      </c>
      <c r="H116" s="41">
        <f>SQRT(K113)</f>
        <v>26.66833293456634</v>
      </c>
      <c r="J116" s="27"/>
    </row>
    <row r="117" spans="6:15" x14ac:dyDescent="0.3">
      <c r="F117" s="15" t="s">
        <v>25</v>
      </c>
      <c r="G117" t="s">
        <v>160</v>
      </c>
      <c r="H117" t="s">
        <v>161</v>
      </c>
      <c r="J117" s="41">
        <f>L107+L108+L109+L110+L111+L112</f>
        <v>0.63461538461538458</v>
      </c>
    </row>
    <row r="118" spans="6:15" x14ac:dyDescent="0.3">
      <c r="F118" s="29"/>
    </row>
    <row r="119" spans="6:15" x14ac:dyDescent="0.3">
      <c r="F119" s="29"/>
    </row>
    <row r="120" spans="6:15" x14ac:dyDescent="0.3">
      <c r="F120" s="29"/>
    </row>
    <row r="121" spans="6:15" x14ac:dyDescent="0.3">
      <c r="F121" s="29"/>
    </row>
    <row r="122" spans="6:15" ht="16.2" x14ac:dyDescent="0.3">
      <c r="F122" s="29"/>
      <c r="G122" s="29" t="s">
        <v>162</v>
      </c>
      <c r="H122" s="29" t="s">
        <v>164</v>
      </c>
      <c r="I122" s="29" t="s">
        <v>165</v>
      </c>
      <c r="J122" s="29" t="s">
        <v>166</v>
      </c>
      <c r="K122" s="29" t="s">
        <v>167</v>
      </c>
      <c r="L122" s="29" t="s">
        <v>168</v>
      </c>
      <c r="M122" t="s">
        <v>172</v>
      </c>
      <c r="N122" t="s">
        <v>173</v>
      </c>
      <c r="O122" t="s">
        <v>174</v>
      </c>
    </row>
    <row r="123" spans="6:15" x14ac:dyDescent="0.3">
      <c r="F123" s="29"/>
      <c r="G123">
        <v>0.1</v>
      </c>
      <c r="H123" t="s">
        <v>30</v>
      </c>
      <c r="I123">
        <v>-50</v>
      </c>
      <c r="J123">
        <v>-100</v>
      </c>
      <c r="K123">
        <f>G123*I123</f>
        <v>-5</v>
      </c>
      <c r="L123">
        <f>J123*G123</f>
        <v>-10</v>
      </c>
      <c r="M123">
        <f>I123*$H$128</f>
        <v>-3550</v>
      </c>
      <c r="N123">
        <f>M123*G123</f>
        <v>-355</v>
      </c>
      <c r="O123">
        <f>(J123*$H$129)*(G123)</f>
        <v>-970</v>
      </c>
    </row>
    <row r="124" spans="6:15" x14ac:dyDescent="0.3">
      <c r="F124" s="29"/>
      <c r="G124">
        <v>0.3</v>
      </c>
      <c r="H124" t="s">
        <v>31</v>
      </c>
      <c r="I124">
        <v>20</v>
      </c>
      <c r="J124">
        <v>50</v>
      </c>
      <c r="K124">
        <f t="shared" ref="K124:K126" si="15">G124*I124</f>
        <v>6</v>
      </c>
      <c r="L124">
        <f t="shared" ref="L124:L126" si="16">J124*G124</f>
        <v>15</v>
      </c>
      <c r="M124">
        <f t="shared" ref="M124:M126" si="17">I124*$H$128</f>
        <v>1420</v>
      </c>
      <c r="N124">
        <f t="shared" ref="N124:N126" si="18">M124*G124</f>
        <v>426</v>
      </c>
      <c r="O124">
        <f t="shared" ref="O124:O126" si="19">(J124*$H$129)*(G124)</f>
        <v>1455</v>
      </c>
    </row>
    <row r="125" spans="6:15" x14ac:dyDescent="0.3">
      <c r="F125" s="29"/>
      <c r="G125">
        <v>0.4</v>
      </c>
      <c r="H125" t="s">
        <v>32</v>
      </c>
      <c r="I125">
        <v>100</v>
      </c>
      <c r="J125">
        <v>130</v>
      </c>
      <c r="K125">
        <f t="shared" si="15"/>
        <v>40</v>
      </c>
      <c r="L125">
        <f t="shared" si="16"/>
        <v>52</v>
      </c>
      <c r="M125">
        <f t="shared" si="17"/>
        <v>7100</v>
      </c>
      <c r="N125">
        <f t="shared" si="18"/>
        <v>2840</v>
      </c>
      <c r="O125">
        <f t="shared" si="19"/>
        <v>5044</v>
      </c>
    </row>
    <row r="126" spans="6:15" x14ac:dyDescent="0.3">
      <c r="F126" s="29"/>
      <c r="G126">
        <v>0.2</v>
      </c>
      <c r="H126" t="s">
        <v>33</v>
      </c>
      <c r="I126">
        <v>150</v>
      </c>
      <c r="J126">
        <v>200</v>
      </c>
      <c r="K126">
        <f t="shared" si="15"/>
        <v>30</v>
      </c>
      <c r="L126">
        <f t="shared" si="16"/>
        <v>40</v>
      </c>
      <c r="M126">
        <f t="shared" si="17"/>
        <v>10650</v>
      </c>
      <c r="N126">
        <f t="shared" si="18"/>
        <v>2130</v>
      </c>
      <c r="O126">
        <f t="shared" si="19"/>
        <v>3880</v>
      </c>
    </row>
    <row r="127" spans="6:15" x14ac:dyDescent="0.3">
      <c r="F127" s="29"/>
      <c r="G127" s="11">
        <f>SUM(G123:G126)</f>
        <v>1</v>
      </c>
      <c r="K127" s="11">
        <f>SUM(K123:K126)</f>
        <v>71</v>
      </c>
      <c r="L127" s="11">
        <f>SUM(L123:L126)</f>
        <v>97</v>
      </c>
      <c r="M127" s="11">
        <f>SUM(M123:M126)</f>
        <v>15620</v>
      </c>
      <c r="N127" s="11">
        <f>SUM(N123:N126)</f>
        <v>5041</v>
      </c>
      <c r="O127" s="11">
        <f>SUM(O123:O126)</f>
        <v>9409</v>
      </c>
    </row>
    <row r="128" spans="6:15" x14ac:dyDescent="0.3">
      <c r="F128" s="15" t="s">
        <v>23</v>
      </c>
      <c r="G128" t="s">
        <v>6</v>
      </c>
      <c r="H128" s="11">
        <f>K127</f>
        <v>71</v>
      </c>
    </row>
    <row r="129" spans="6:8" x14ac:dyDescent="0.3">
      <c r="F129" s="15"/>
      <c r="G129" t="s">
        <v>169</v>
      </c>
      <c r="H129" s="11">
        <f>L127</f>
        <v>97</v>
      </c>
    </row>
    <row r="130" spans="6:8" x14ac:dyDescent="0.3">
      <c r="F130" s="15" t="s">
        <v>29</v>
      </c>
      <c r="G130" t="s">
        <v>170</v>
      </c>
      <c r="H130">
        <f>SQRT(N127)</f>
        <v>71</v>
      </c>
    </row>
    <row r="131" spans="6:8" x14ac:dyDescent="0.3">
      <c r="F131" s="15"/>
      <c r="G131" t="s">
        <v>171</v>
      </c>
      <c r="H131">
        <f>SQRT(O127)</f>
        <v>97</v>
      </c>
    </row>
    <row r="132" spans="6:8" x14ac:dyDescent="0.3">
      <c r="F132" s="15" t="s">
        <v>25</v>
      </c>
      <c r="G132" t="s">
        <v>175</v>
      </c>
    </row>
    <row r="133" spans="6:8" x14ac:dyDescent="0.3">
      <c r="F133" s="15"/>
      <c r="G133" t="s">
        <v>176</v>
      </c>
    </row>
    <row r="134" spans="6:8" x14ac:dyDescent="0.3">
      <c r="F134" s="15"/>
      <c r="G134" t="s">
        <v>177</v>
      </c>
    </row>
    <row r="135" spans="6:8" x14ac:dyDescent="0.3">
      <c r="F135" s="15"/>
    </row>
    <row r="136" spans="6:8" x14ac:dyDescent="0.3">
      <c r="F136" s="15"/>
    </row>
    <row r="137" spans="6:8" x14ac:dyDescent="0.3">
      <c r="F137" s="15"/>
    </row>
    <row r="138" spans="6:8" x14ac:dyDescent="0.3">
      <c r="F138" s="15"/>
    </row>
    <row r="139" spans="6:8" x14ac:dyDescent="0.3">
      <c r="F139" s="15"/>
    </row>
    <row r="140" spans="6:8" x14ac:dyDescent="0.3">
      <c r="F140" s="15"/>
    </row>
    <row r="141" spans="6:8" x14ac:dyDescent="0.3">
      <c r="F141" s="15"/>
    </row>
    <row r="142" spans="6:8" x14ac:dyDescent="0.3">
      <c r="F142" s="15"/>
    </row>
    <row r="143" spans="6:8" x14ac:dyDescent="0.3">
      <c r="F143" s="15"/>
    </row>
    <row r="144" spans="6:8" x14ac:dyDescent="0.3">
      <c r="F144" s="15"/>
    </row>
    <row r="145" spans="6:6" x14ac:dyDescent="0.3">
      <c r="F145" s="15"/>
    </row>
    <row r="146" spans="6:6" x14ac:dyDescent="0.3">
      <c r="F146" s="15"/>
    </row>
    <row r="147" spans="6:6" x14ac:dyDescent="0.3">
      <c r="F147" s="15"/>
    </row>
    <row r="148" spans="6:6" x14ac:dyDescent="0.3">
      <c r="F148" s="15"/>
    </row>
    <row r="149" spans="6:6" x14ac:dyDescent="0.3">
      <c r="F149" s="15"/>
    </row>
    <row r="150" spans="6:6" x14ac:dyDescent="0.3">
      <c r="F150" s="15"/>
    </row>
    <row r="151" spans="6:6" x14ac:dyDescent="0.3">
      <c r="F151" s="15"/>
    </row>
    <row r="152" spans="6:6" x14ac:dyDescent="0.3">
      <c r="F152" s="15"/>
    </row>
    <row r="153" spans="6:6" x14ac:dyDescent="0.3">
      <c r="F153" s="15"/>
    </row>
    <row r="154" spans="6:6" x14ac:dyDescent="0.3">
      <c r="F154" s="15"/>
    </row>
    <row r="155" spans="6:6" x14ac:dyDescent="0.3">
      <c r="F155" s="15"/>
    </row>
    <row r="156" spans="6:6" x14ac:dyDescent="0.3">
      <c r="F156" s="15"/>
    </row>
    <row r="157" spans="6:6" x14ac:dyDescent="0.3">
      <c r="F157" s="15"/>
    </row>
    <row r="158" spans="6:6" x14ac:dyDescent="0.3">
      <c r="F158" s="15"/>
    </row>
    <row r="159" spans="6:6" x14ac:dyDescent="0.3">
      <c r="F159" s="15"/>
    </row>
    <row r="160" spans="6:6" x14ac:dyDescent="0.3">
      <c r="F160" s="15"/>
    </row>
    <row r="161" spans="6:6" x14ac:dyDescent="0.3">
      <c r="F161" s="15"/>
    </row>
    <row r="162" spans="6:6" x14ac:dyDescent="0.3">
      <c r="F162" s="15"/>
    </row>
    <row r="163" spans="6:6" x14ac:dyDescent="0.3">
      <c r="F163" s="15"/>
    </row>
    <row r="164" spans="6:6" x14ac:dyDescent="0.3">
      <c r="F164" s="15"/>
    </row>
    <row r="165" spans="6:6" x14ac:dyDescent="0.3">
      <c r="F165" s="15"/>
    </row>
    <row r="166" spans="6:6" x14ac:dyDescent="0.3">
      <c r="F166" s="15"/>
    </row>
    <row r="167" spans="6:6" x14ac:dyDescent="0.3">
      <c r="F167" s="15"/>
    </row>
    <row r="168" spans="6:6" x14ac:dyDescent="0.3">
      <c r="F168" s="15"/>
    </row>
    <row r="169" spans="6:6" x14ac:dyDescent="0.3">
      <c r="F169" s="15"/>
    </row>
    <row r="170" spans="6:6" x14ac:dyDescent="0.3">
      <c r="F170" s="15"/>
    </row>
    <row r="171" spans="6:6" x14ac:dyDescent="0.3">
      <c r="F171" s="15"/>
    </row>
    <row r="172" spans="6:6" x14ac:dyDescent="0.3">
      <c r="F172" s="15"/>
    </row>
    <row r="173" spans="6:6" x14ac:dyDescent="0.3">
      <c r="F173" s="15"/>
    </row>
    <row r="174" spans="6:6" x14ac:dyDescent="0.3">
      <c r="F174" s="15"/>
    </row>
    <row r="175" spans="6:6" x14ac:dyDescent="0.3">
      <c r="F175" s="15"/>
    </row>
    <row r="176" spans="6:6" x14ac:dyDescent="0.3">
      <c r="F176" s="15"/>
    </row>
    <row r="177" spans="6:6" x14ac:dyDescent="0.3">
      <c r="F177" s="15"/>
    </row>
    <row r="178" spans="6:6" x14ac:dyDescent="0.3">
      <c r="F178" s="15"/>
    </row>
    <row r="179" spans="6:6" x14ac:dyDescent="0.3">
      <c r="F179" s="15"/>
    </row>
    <row r="180" spans="6:6" x14ac:dyDescent="0.3">
      <c r="F180" s="15"/>
    </row>
    <row r="181" spans="6:6" x14ac:dyDescent="0.3">
      <c r="F181" s="15"/>
    </row>
    <row r="182" spans="6:6" x14ac:dyDescent="0.3">
      <c r="F182" s="15"/>
    </row>
    <row r="183" spans="6:6" x14ac:dyDescent="0.3">
      <c r="F183" s="15"/>
    </row>
    <row r="184" spans="6:6" x14ac:dyDescent="0.3">
      <c r="F184" s="15"/>
    </row>
    <row r="185" spans="6:6" x14ac:dyDescent="0.3">
      <c r="F185" s="15"/>
    </row>
    <row r="186" spans="6:6" x14ac:dyDescent="0.3">
      <c r="F186" s="15"/>
    </row>
    <row r="187" spans="6:6" x14ac:dyDescent="0.3">
      <c r="F187" s="15"/>
    </row>
    <row r="188" spans="6:6" x14ac:dyDescent="0.3">
      <c r="F188" s="15"/>
    </row>
    <row r="189" spans="6:6" x14ac:dyDescent="0.3">
      <c r="F189" s="15"/>
    </row>
    <row r="190" spans="6:6" x14ac:dyDescent="0.3">
      <c r="F190" s="15"/>
    </row>
    <row r="191" spans="6:6" x14ac:dyDescent="0.3">
      <c r="F191" s="15"/>
    </row>
    <row r="192" spans="6:6" x14ac:dyDescent="0.3">
      <c r="F192" s="15"/>
    </row>
    <row r="193" spans="6:6" x14ac:dyDescent="0.3">
      <c r="F193" s="15"/>
    </row>
    <row r="194" spans="6:6" x14ac:dyDescent="0.3">
      <c r="F194" s="15"/>
    </row>
    <row r="195" spans="6:6" x14ac:dyDescent="0.3">
      <c r="F195" s="15"/>
    </row>
    <row r="196" spans="6:6" x14ac:dyDescent="0.3">
      <c r="F196" s="15"/>
    </row>
    <row r="197" spans="6:6" x14ac:dyDescent="0.3">
      <c r="F197" s="15"/>
    </row>
    <row r="198" spans="6:6" x14ac:dyDescent="0.3">
      <c r="F198" s="15"/>
    </row>
    <row r="199" spans="6:6" x14ac:dyDescent="0.3">
      <c r="F199" s="15"/>
    </row>
    <row r="200" spans="6:6" x14ac:dyDescent="0.3">
      <c r="F200" s="15"/>
    </row>
    <row r="201" spans="6:6" x14ac:dyDescent="0.3">
      <c r="F201" s="15"/>
    </row>
    <row r="202" spans="6:6" x14ac:dyDescent="0.3">
      <c r="F202" s="15"/>
    </row>
    <row r="203" spans="6:6" x14ac:dyDescent="0.3">
      <c r="F203" s="15"/>
    </row>
    <row r="204" spans="6:6" x14ac:dyDescent="0.3">
      <c r="F204" s="15"/>
    </row>
    <row r="205" spans="6:6" x14ac:dyDescent="0.3">
      <c r="F205" s="15"/>
    </row>
    <row r="206" spans="6:6" x14ac:dyDescent="0.3">
      <c r="F206" s="15"/>
    </row>
    <row r="207" spans="6:6" x14ac:dyDescent="0.3">
      <c r="F207" s="15"/>
    </row>
    <row r="208" spans="6:6" x14ac:dyDescent="0.3">
      <c r="F208" s="15"/>
    </row>
    <row r="209" spans="6:6" x14ac:dyDescent="0.3">
      <c r="F209" s="15"/>
    </row>
    <row r="210" spans="6:6" x14ac:dyDescent="0.3">
      <c r="F210" s="15"/>
    </row>
    <row r="211" spans="6:6" x14ac:dyDescent="0.3">
      <c r="F211" s="15"/>
    </row>
    <row r="212" spans="6:6" x14ac:dyDescent="0.3">
      <c r="F212" s="15"/>
    </row>
    <row r="213" spans="6:6" x14ac:dyDescent="0.3">
      <c r="F213" s="15"/>
    </row>
    <row r="214" spans="6:6" x14ac:dyDescent="0.3">
      <c r="F214" s="15"/>
    </row>
    <row r="215" spans="6:6" x14ac:dyDescent="0.3">
      <c r="F215" s="15"/>
    </row>
    <row r="216" spans="6:6" x14ac:dyDescent="0.3">
      <c r="F216" s="15"/>
    </row>
    <row r="217" spans="6:6" x14ac:dyDescent="0.3">
      <c r="F217" s="15"/>
    </row>
    <row r="218" spans="6:6" x14ac:dyDescent="0.3">
      <c r="F218" s="15"/>
    </row>
    <row r="219" spans="6:6" x14ac:dyDescent="0.3">
      <c r="F219" s="15"/>
    </row>
    <row r="220" spans="6:6" x14ac:dyDescent="0.3">
      <c r="F220" s="15"/>
    </row>
    <row r="221" spans="6:6" x14ac:dyDescent="0.3">
      <c r="F221" s="15"/>
    </row>
    <row r="222" spans="6:6" x14ac:dyDescent="0.3">
      <c r="F222" s="15"/>
    </row>
    <row r="223" spans="6:6" x14ac:dyDescent="0.3">
      <c r="F223" s="15"/>
    </row>
    <row r="224" spans="6:6" x14ac:dyDescent="0.3">
      <c r="F224" s="15"/>
    </row>
    <row r="225" spans="6:6" x14ac:dyDescent="0.3">
      <c r="F225" s="15"/>
    </row>
    <row r="226" spans="6:6" x14ac:dyDescent="0.3">
      <c r="F226" s="15"/>
    </row>
    <row r="227" spans="6:6" x14ac:dyDescent="0.3">
      <c r="F227" s="15"/>
    </row>
    <row r="228" spans="6:6" x14ac:dyDescent="0.3">
      <c r="F228" s="15"/>
    </row>
    <row r="229" spans="6:6" x14ac:dyDescent="0.3">
      <c r="F229" s="15"/>
    </row>
    <row r="230" spans="6:6" x14ac:dyDescent="0.3">
      <c r="F230" s="15"/>
    </row>
    <row r="231" spans="6:6" x14ac:dyDescent="0.3">
      <c r="F231" s="15"/>
    </row>
    <row r="232" spans="6:6" x14ac:dyDescent="0.3">
      <c r="F232" s="15"/>
    </row>
    <row r="233" spans="6:6" x14ac:dyDescent="0.3">
      <c r="F233" s="15"/>
    </row>
    <row r="234" spans="6:6" x14ac:dyDescent="0.3">
      <c r="F234" s="15"/>
    </row>
    <row r="235" spans="6:6" x14ac:dyDescent="0.3">
      <c r="F235" s="15"/>
    </row>
    <row r="236" spans="6:6" x14ac:dyDescent="0.3">
      <c r="F236" s="15"/>
    </row>
    <row r="237" spans="6:6" x14ac:dyDescent="0.3">
      <c r="F237" s="15"/>
    </row>
    <row r="238" spans="6:6" x14ac:dyDescent="0.3">
      <c r="F238" s="15"/>
    </row>
    <row r="239" spans="6:6" x14ac:dyDescent="0.3">
      <c r="F239" s="15"/>
    </row>
    <row r="240" spans="6:6" x14ac:dyDescent="0.3">
      <c r="F240" s="15"/>
    </row>
    <row r="241" spans="6:6" x14ac:dyDescent="0.3">
      <c r="F241" s="15"/>
    </row>
    <row r="242" spans="6:6" x14ac:dyDescent="0.3">
      <c r="F242" s="15"/>
    </row>
    <row r="243" spans="6:6" x14ac:dyDescent="0.3">
      <c r="F243" s="15"/>
    </row>
    <row r="244" spans="6:6" x14ac:dyDescent="0.3">
      <c r="F244" s="15"/>
    </row>
    <row r="245" spans="6:6" x14ac:dyDescent="0.3">
      <c r="F245" s="15"/>
    </row>
    <row r="246" spans="6:6" x14ac:dyDescent="0.3">
      <c r="F246" s="15"/>
    </row>
    <row r="247" spans="6:6" x14ac:dyDescent="0.3">
      <c r="F247" s="15"/>
    </row>
    <row r="248" spans="6:6" x14ac:dyDescent="0.3">
      <c r="F248" s="15"/>
    </row>
    <row r="249" spans="6:6" x14ac:dyDescent="0.3">
      <c r="F249" s="15"/>
    </row>
    <row r="250" spans="6:6" x14ac:dyDescent="0.3">
      <c r="F250" s="15"/>
    </row>
    <row r="251" spans="6:6" x14ac:dyDescent="0.3">
      <c r="F251" s="15"/>
    </row>
    <row r="252" spans="6:6" x14ac:dyDescent="0.3">
      <c r="F252" s="15"/>
    </row>
    <row r="253" spans="6:6" x14ac:dyDescent="0.3">
      <c r="F253" s="15"/>
    </row>
    <row r="254" spans="6:6" x14ac:dyDescent="0.3">
      <c r="F254" s="15"/>
    </row>
    <row r="255" spans="6:6" x14ac:dyDescent="0.3">
      <c r="F255" s="15"/>
    </row>
    <row r="256" spans="6:6" x14ac:dyDescent="0.3">
      <c r="F256" s="15"/>
    </row>
    <row r="257" spans="6:6" x14ac:dyDescent="0.3">
      <c r="F257" s="15"/>
    </row>
    <row r="258" spans="6:6" x14ac:dyDescent="0.3">
      <c r="F258" s="15"/>
    </row>
    <row r="259" spans="6:6" x14ac:dyDescent="0.3">
      <c r="F259" s="15"/>
    </row>
    <row r="260" spans="6:6" x14ac:dyDescent="0.3">
      <c r="F260" s="15"/>
    </row>
    <row r="261" spans="6:6" x14ac:dyDescent="0.3">
      <c r="F261" s="15"/>
    </row>
    <row r="262" spans="6:6" x14ac:dyDescent="0.3">
      <c r="F262" s="15"/>
    </row>
    <row r="263" spans="6:6" x14ac:dyDescent="0.3">
      <c r="F263" s="15"/>
    </row>
    <row r="264" spans="6:6" x14ac:dyDescent="0.3">
      <c r="F264" s="15"/>
    </row>
    <row r="265" spans="6:6" x14ac:dyDescent="0.3">
      <c r="F265" s="15"/>
    </row>
    <row r="266" spans="6:6" x14ac:dyDescent="0.3">
      <c r="F266" s="15"/>
    </row>
    <row r="267" spans="6:6" x14ac:dyDescent="0.3">
      <c r="F267" s="15"/>
    </row>
    <row r="268" spans="6:6" x14ac:dyDescent="0.3">
      <c r="F268" s="15"/>
    </row>
    <row r="269" spans="6:6" x14ac:dyDescent="0.3">
      <c r="F269" s="15"/>
    </row>
    <row r="270" spans="6:6" x14ac:dyDescent="0.3">
      <c r="F270" s="15"/>
    </row>
    <row r="271" spans="6:6" x14ac:dyDescent="0.3">
      <c r="F271" s="15"/>
    </row>
    <row r="272" spans="6:6" x14ac:dyDescent="0.3">
      <c r="F272" s="15"/>
    </row>
    <row r="273" spans="6:6" x14ac:dyDescent="0.3">
      <c r="F273" s="15"/>
    </row>
    <row r="274" spans="6:6" x14ac:dyDescent="0.3">
      <c r="F274" s="15"/>
    </row>
    <row r="275" spans="6:6" x14ac:dyDescent="0.3">
      <c r="F275" s="15"/>
    </row>
    <row r="276" spans="6:6" x14ac:dyDescent="0.3">
      <c r="F276" s="15"/>
    </row>
    <row r="277" spans="6:6" x14ac:dyDescent="0.3">
      <c r="F277" s="15"/>
    </row>
    <row r="278" spans="6:6" x14ac:dyDescent="0.3">
      <c r="F278" s="15"/>
    </row>
    <row r="279" spans="6:6" x14ac:dyDescent="0.3">
      <c r="F279" s="15"/>
    </row>
    <row r="280" spans="6:6" x14ac:dyDescent="0.3">
      <c r="F280" s="15"/>
    </row>
    <row r="281" spans="6:6" x14ac:dyDescent="0.3">
      <c r="F281" s="15"/>
    </row>
    <row r="282" spans="6:6" x14ac:dyDescent="0.3">
      <c r="F282" s="15"/>
    </row>
    <row r="283" spans="6:6" x14ac:dyDescent="0.3">
      <c r="F283" s="15"/>
    </row>
    <row r="284" spans="6:6" x14ac:dyDescent="0.3">
      <c r="F284" s="15"/>
    </row>
    <row r="285" spans="6:6" x14ac:dyDescent="0.3">
      <c r="F285" s="15"/>
    </row>
    <row r="286" spans="6:6" x14ac:dyDescent="0.3">
      <c r="F286" s="15"/>
    </row>
    <row r="287" spans="6:6" x14ac:dyDescent="0.3">
      <c r="F287" s="15"/>
    </row>
    <row r="288" spans="6:6" x14ac:dyDescent="0.3">
      <c r="F288" s="15"/>
    </row>
    <row r="289" spans="6:6" x14ac:dyDescent="0.3">
      <c r="F289" s="15"/>
    </row>
    <row r="290" spans="6:6" x14ac:dyDescent="0.3">
      <c r="F290" s="15"/>
    </row>
    <row r="291" spans="6:6" x14ac:dyDescent="0.3">
      <c r="F291" s="15"/>
    </row>
    <row r="292" spans="6:6" x14ac:dyDescent="0.3">
      <c r="F292" s="15"/>
    </row>
    <row r="293" spans="6:6" x14ac:dyDescent="0.3">
      <c r="F293" s="15"/>
    </row>
    <row r="294" spans="6:6" x14ac:dyDescent="0.3">
      <c r="F294" s="15"/>
    </row>
    <row r="295" spans="6:6" x14ac:dyDescent="0.3">
      <c r="F295" s="15"/>
    </row>
    <row r="296" spans="6:6" x14ac:dyDescent="0.3">
      <c r="F296" s="15"/>
    </row>
    <row r="297" spans="6:6" x14ac:dyDescent="0.3">
      <c r="F297" s="29"/>
    </row>
    <row r="298" spans="6:6" x14ac:dyDescent="0.3">
      <c r="F298" s="29"/>
    </row>
    <row r="299" spans="6:6" x14ac:dyDescent="0.3">
      <c r="F299" s="29"/>
    </row>
    <row r="300" spans="6:6" x14ac:dyDescent="0.3">
      <c r="F300" s="29"/>
    </row>
    <row r="301" spans="6:6" x14ac:dyDescent="0.3">
      <c r="F301" s="29"/>
    </row>
    <row r="302" spans="6:6" x14ac:dyDescent="0.3">
      <c r="F302" s="29"/>
    </row>
    <row r="303" spans="6:6" x14ac:dyDescent="0.3">
      <c r="F303" s="29"/>
    </row>
    <row r="304" spans="6:6" x14ac:dyDescent="0.3">
      <c r="F304" s="29"/>
    </row>
    <row r="305" spans="6:6" x14ac:dyDescent="0.3">
      <c r="F305" s="29"/>
    </row>
    <row r="306" spans="6:6" x14ac:dyDescent="0.3">
      <c r="F306" s="29"/>
    </row>
    <row r="307" spans="6:6" x14ac:dyDescent="0.3">
      <c r="F307" s="29"/>
    </row>
  </sheetData>
  <mergeCells count="3">
    <mergeCell ref="G65:K65"/>
    <mergeCell ref="M65:Q65"/>
    <mergeCell ref="G87:K87"/>
  </mergeCells>
  <phoneticPr fontId="7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4953-2F0A-4ACD-A09C-E99D09FB9D3A}">
  <sheetPr codeName="Sheet3"/>
  <dimension ref="F1:P68"/>
  <sheetViews>
    <sheetView zoomScaleNormal="100" workbookViewId="0">
      <selection activeCell="G59" sqref="G59"/>
    </sheetView>
  </sheetViews>
  <sheetFormatPr defaultRowHeight="14.4" x14ac:dyDescent="0.3"/>
  <cols>
    <col min="6" max="6" width="8.88671875" style="15"/>
    <col min="7" max="7" width="18.6640625" customWidth="1"/>
    <col min="8" max="8" width="13.77734375" bestFit="1" customWidth="1"/>
    <col min="9" max="9" width="11.6640625" customWidth="1"/>
    <col min="10" max="10" width="10.109375" customWidth="1"/>
    <col min="11" max="14" width="12.33203125" bestFit="1" customWidth="1"/>
    <col min="16" max="16" width="12.33203125" bestFit="1" customWidth="1"/>
    <col min="17" max="17" width="11.33203125" bestFit="1" customWidth="1"/>
  </cols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spans="6:10" x14ac:dyDescent="0.3">
      <c r="F17"/>
    </row>
    <row r="18" spans="6:10" x14ac:dyDescent="0.3">
      <c r="F18"/>
    </row>
    <row r="19" spans="6:10" x14ac:dyDescent="0.3">
      <c r="F19"/>
    </row>
    <row r="20" spans="6:10" x14ac:dyDescent="0.3">
      <c r="F20"/>
    </row>
    <row r="21" spans="6:10" x14ac:dyDescent="0.3">
      <c r="F21"/>
    </row>
    <row r="22" spans="6:10" x14ac:dyDescent="0.3">
      <c r="F22"/>
    </row>
    <row r="23" spans="6:10" x14ac:dyDescent="0.3">
      <c r="F23" s="15" t="s">
        <v>23</v>
      </c>
      <c r="G23" t="s">
        <v>179</v>
      </c>
      <c r="H23">
        <f>4*0.12</f>
        <v>0.48</v>
      </c>
      <c r="I23" t="s">
        <v>178</v>
      </c>
      <c r="J23" s="27">
        <f>SQRT(I24)</f>
        <v>0.64992307237087688</v>
      </c>
    </row>
    <row r="24" spans="6:10" ht="17.399999999999999" x14ac:dyDescent="0.35">
      <c r="G24" s="42" t="s">
        <v>180</v>
      </c>
      <c r="I24" s="26">
        <f>4*0.12*(1-0.12)</f>
        <v>0.4224</v>
      </c>
    </row>
    <row r="25" spans="6:10" x14ac:dyDescent="0.3">
      <c r="F25" s="15" t="s">
        <v>181</v>
      </c>
      <c r="G25" s="27">
        <f>_xlfn.BINOM.DIST(0,4,0.12,0)</f>
        <v>0.59969536000000001</v>
      </c>
    </row>
    <row r="26" spans="6:10" x14ac:dyDescent="0.3">
      <c r="F26" s="15" t="s">
        <v>29</v>
      </c>
      <c r="G26" t="s">
        <v>182</v>
      </c>
      <c r="H26" s="25">
        <f>_xlfn.BINOM.DIST(9,10,0.4,0)</f>
        <v>1.5728639999999985E-3</v>
      </c>
    </row>
    <row r="27" spans="6:10" x14ac:dyDescent="0.3">
      <c r="F27" s="15" t="s">
        <v>25</v>
      </c>
      <c r="G27" t="s">
        <v>183</v>
      </c>
      <c r="H27" s="25">
        <f>_xlfn.BINOM.DIST(8,10,0.5,0)</f>
        <v>4.3945312499999986E-2</v>
      </c>
    </row>
    <row r="28" spans="6:10" x14ac:dyDescent="0.3">
      <c r="F28" s="15" t="s">
        <v>27</v>
      </c>
      <c r="G28" t="s">
        <v>184</v>
      </c>
      <c r="H28" s="25">
        <f>_xlfn.BINOM.DIST(5,6,0.83,0)</f>
        <v>0.40178214558600001</v>
      </c>
    </row>
    <row r="30" spans="6:10" x14ac:dyDescent="0.3">
      <c r="F30" s="15" t="s">
        <v>23</v>
      </c>
      <c r="G30" t="s">
        <v>179</v>
      </c>
      <c r="H30">
        <f>4*0.1</f>
        <v>0.4</v>
      </c>
      <c r="I30" t="s">
        <v>178</v>
      </c>
      <c r="J30" s="26">
        <f>SQRT(4*0.1*(1-0.1))</f>
        <v>0.60000000000000009</v>
      </c>
    </row>
    <row r="31" spans="6:10" x14ac:dyDescent="0.3">
      <c r="F31" s="15" t="s">
        <v>29</v>
      </c>
      <c r="G31" t="s">
        <v>185</v>
      </c>
      <c r="H31">
        <f>4*0.4</f>
        <v>1.6</v>
      </c>
      <c r="I31" t="s">
        <v>178</v>
      </c>
      <c r="J31" s="25">
        <f>SQRT(4*0.4*(1-0.4))</f>
        <v>0.9797958971132712</v>
      </c>
    </row>
    <row r="32" spans="6:10" x14ac:dyDescent="0.3">
      <c r="F32" s="15" t="s">
        <v>25</v>
      </c>
      <c r="G32" t="s">
        <v>185</v>
      </c>
      <c r="H32">
        <f>5*0.8</f>
        <v>4</v>
      </c>
      <c r="I32" t="s">
        <v>178</v>
      </c>
      <c r="J32" s="25">
        <f>SQRT(5*0.8*(1-0.8))</f>
        <v>0.89442719099991574</v>
      </c>
    </row>
    <row r="33" spans="6:10" x14ac:dyDescent="0.3">
      <c r="F33" s="15" t="s">
        <v>27</v>
      </c>
      <c r="G33" t="s">
        <v>185</v>
      </c>
      <c r="H33">
        <f>3*0.5</f>
        <v>1.5</v>
      </c>
      <c r="I33" t="s">
        <v>178</v>
      </c>
      <c r="J33" s="25">
        <f>SQRT(3*0.5*(1-0.5))</f>
        <v>0.8660254037844386</v>
      </c>
    </row>
    <row r="36" spans="6:10" x14ac:dyDescent="0.3">
      <c r="G36" t="s">
        <v>186</v>
      </c>
      <c r="H36" t="s">
        <v>187</v>
      </c>
    </row>
    <row r="37" spans="6:10" x14ac:dyDescent="0.3">
      <c r="F37" s="15" t="s">
        <v>23</v>
      </c>
      <c r="G37" t="s">
        <v>184</v>
      </c>
      <c r="H37" s="24">
        <f>_xlfn.BINOM.DIST(5,5,0.25,0)</f>
        <v>9.765625E-4</v>
      </c>
    </row>
    <row r="38" spans="6:10" x14ac:dyDescent="0.3">
      <c r="F38" s="15" t="s">
        <v>29</v>
      </c>
      <c r="G38" t="s">
        <v>188</v>
      </c>
      <c r="H38">
        <f>H39+H40</f>
        <v>1.5625000000000007E-2</v>
      </c>
    </row>
    <row r="39" spans="6:10" x14ac:dyDescent="0.3">
      <c r="G39" t="s">
        <v>189</v>
      </c>
      <c r="H39">
        <f>_xlfn.BINOM.DIST(4,5,0.25,0)</f>
        <v>1.4648437500000005E-2</v>
      </c>
    </row>
    <row r="40" spans="6:10" x14ac:dyDescent="0.3">
      <c r="G40" t="s">
        <v>184</v>
      </c>
      <c r="H40">
        <f>_xlfn.BINOM.DIST(5,5,0.25,0)</f>
        <v>9.765625E-4</v>
      </c>
    </row>
    <row r="41" spans="6:10" x14ac:dyDescent="0.3">
      <c r="F41" s="15" t="s">
        <v>25</v>
      </c>
      <c r="G41" t="s">
        <v>190</v>
      </c>
      <c r="H41">
        <f>_xlfn.BINOM.DIST(0,5,0.25,0)</f>
        <v>0.23730468750000006</v>
      </c>
    </row>
    <row r="42" spans="6:10" x14ac:dyDescent="0.3">
      <c r="F42" s="15" t="s">
        <v>27</v>
      </c>
      <c r="G42" t="s">
        <v>194</v>
      </c>
      <c r="H42">
        <f>H43+H44+H45</f>
        <v>0.896484375</v>
      </c>
    </row>
    <row r="43" spans="6:10" x14ac:dyDescent="0.3">
      <c r="G43" t="s">
        <v>190</v>
      </c>
      <c r="H43">
        <f>_xlfn.BINOM.DIST(0,5,0.25,0)</f>
        <v>0.23730468750000006</v>
      </c>
    </row>
    <row r="44" spans="6:10" x14ac:dyDescent="0.3">
      <c r="G44" t="s">
        <v>192</v>
      </c>
      <c r="H44">
        <f>_xlfn.BINOM.DIST(1,5,0.25,0)</f>
        <v>0.3955078125</v>
      </c>
    </row>
    <row r="45" spans="6:10" x14ac:dyDescent="0.3">
      <c r="G45" t="s">
        <v>193</v>
      </c>
      <c r="H45">
        <f>_xlfn.BINOM.DIST(2,5,0.25,0)</f>
        <v>0.26367187499999994</v>
      </c>
    </row>
    <row r="47" spans="6:10" x14ac:dyDescent="0.3">
      <c r="G47" t="s">
        <v>195</v>
      </c>
    </row>
    <row r="48" spans="6:10" x14ac:dyDescent="0.3">
      <c r="F48" s="15" t="s">
        <v>23</v>
      </c>
      <c r="G48" t="s">
        <v>190</v>
      </c>
      <c r="H48">
        <f>_xlfn.BINOM.DIST(0,10,0.03,0)</f>
        <v>0.73742412689492831</v>
      </c>
    </row>
    <row r="49" spans="6:16" x14ac:dyDescent="0.3">
      <c r="F49" s="15" t="s">
        <v>29</v>
      </c>
      <c r="G49" t="s">
        <v>192</v>
      </c>
      <c r="H49">
        <f>_xlfn.BINOM.DIST(1,10,0.03,0)</f>
        <v>0.22806931759636956</v>
      </c>
    </row>
    <row r="50" spans="6:16" x14ac:dyDescent="0.3">
      <c r="F50" s="15" t="s">
        <v>25</v>
      </c>
      <c r="G50" t="s">
        <v>194</v>
      </c>
      <c r="H50">
        <f>H51+H52+H53</f>
        <v>0.99723505054852468</v>
      </c>
    </row>
    <row r="51" spans="6:16" x14ac:dyDescent="0.3">
      <c r="G51" t="s">
        <v>190</v>
      </c>
      <c r="H51">
        <f>_xlfn.BINOM.DIST(0,10,0.03,0)</f>
        <v>0.73742412689492831</v>
      </c>
    </row>
    <row r="52" spans="6:16" x14ac:dyDescent="0.3">
      <c r="G52" t="s">
        <v>192</v>
      </c>
      <c r="H52">
        <f>_xlfn.BINOM.DIST(1,10,0.03,0)</f>
        <v>0.22806931759636956</v>
      </c>
    </row>
    <row r="53" spans="6:16" x14ac:dyDescent="0.3">
      <c r="G53" t="s">
        <v>193</v>
      </c>
      <c r="H53">
        <f>_xlfn.BINOM.DIST(2,10,0.03,0)</f>
        <v>3.1741606057226729E-2</v>
      </c>
    </row>
    <row r="54" spans="6:16" x14ac:dyDescent="0.3">
      <c r="F54" s="15" t="s">
        <v>27</v>
      </c>
      <c r="G54" t="s">
        <v>196</v>
      </c>
      <c r="H54">
        <f>SUM(I55:P55)</f>
        <v>2.7649494514754838E-3</v>
      </c>
      <c r="I54" t="s">
        <v>198</v>
      </c>
      <c r="J54" t="s">
        <v>189</v>
      </c>
      <c r="K54" t="s">
        <v>184</v>
      </c>
      <c r="L54" t="s">
        <v>199</v>
      </c>
      <c r="M54" t="s">
        <v>200</v>
      </c>
      <c r="N54" t="s">
        <v>183</v>
      </c>
      <c r="O54" t="s">
        <v>182</v>
      </c>
      <c r="P54" t="s">
        <v>201</v>
      </c>
    </row>
    <row r="55" spans="6:16" x14ac:dyDescent="0.3">
      <c r="G55" t="s">
        <v>197</v>
      </c>
      <c r="H55" s="23"/>
      <c r="I55">
        <f>_xlfn.BINOM.DIST(3,10,0.03,0)</f>
        <v>2.6178644170908624E-3</v>
      </c>
      <c r="J55">
        <f>_xlfn.BINOM.DIST(4,10,0.03,0)</f>
        <v>1.416885380384229E-4</v>
      </c>
      <c r="K55">
        <f>_xlfn.BINOM.DIST(5,10,0.03,0)</f>
        <v>5.2585436797765254E-6</v>
      </c>
      <c r="L55">
        <f>_xlfn.BINOM.DIST(6,10,0.03,0)</f>
        <v>1.3552947628290009E-7</v>
      </c>
      <c r="M55">
        <f>_xlfn.BINOM.DIST(7,10,0.03,0)</f>
        <v>2.3952190212000038E-9</v>
      </c>
      <c r="N55">
        <f>_xlfn.BINOM.DIST(8,10,0.03,0)</f>
        <v>2.7779602049999878E-11</v>
      </c>
      <c r="O55">
        <f>_xlfn.BINOM.DIST(9,10,0.03,0)</f>
        <v>1.909251000000001E-13</v>
      </c>
      <c r="P55">
        <f>_xlfn.BINOM.DIST(10,10,0.03,0)</f>
        <v>5.9048999999999828E-16</v>
      </c>
    </row>
    <row r="58" spans="6:16" x14ac:dyDescent="0.3">
      <c r="G58" t="s">
        <v>202</v>
      </c>
    </row>
    <row r="59" spans="6:16" x14ac:dyDescent="0.3">
      <c r="F59" s="15" t="s">
        <v>23</v>
      </c>
      <c r="G59">
        <f>_xlfn.BINOM.DIST(3,3,0.909,0)</f>
        <v>0.75108942900000009</v>
      </c>
      <c r="H59" s="2" t="s">
        <v>18</v>
      </c>
      <c r="I59">
        <f>0.883^3</f>
        <v>0.68846538699999993</v>
      </c>
    </row>
    <row r="60" spans="6:16" x14ac:dyDescent="0.3">
      <c r="F60" s="15" t="s">
        <v>29</v>
      </c>
      <c r="G60">
        <f>_xlfn.BINOM.DIST(0,3,0.909,0)</f>
        <v>7.5357099999999856E-4</v>
      </c>
      <c r="H60" s="2" t="s">
        <v>18</v>
      </c>
      <c r="I60">
        <f>(1-0.909)^3</f>
        <v>7.5357099999999932E-4</v>
      </c>
    </row>
    <row r="61" spans="6:16" x14ac:dyDescent="0.3">
      <c r="F61" s="15" t="s">
        <v>25</v>
      </c>
      <c r="G61">
        <f>3*0.909^2*(1-0.909)</f>
        <v>0.22557471299999995</v>
      </c>
    </row>
    <row r="62" spans="6:16" x14ac:dyDescent="0.3">
      <c r="F62" s="15" t="s">
        <v>27</v>
      </c>
      <c r="G62" t="s">
        <v>203</v>
      </c>
      <c r="H62">
        <f>3*0.909</f>
        <v>2.7270000000000003</v>
      </c>
    </row>
    <row r="63" spans="6:16" x14ac:dyDescent="0.3">
      <c r="G63" t="s">
        <v>204</v>
      </c>
      <c r="H63">
        <f>H62*(1-0.909)</f>
        <v>0.24815699999999993</v>
      </c>
    </row>
    <row r="65" spans="6:7" x14ac:dyDescent="0.3">
      <c r="F65" s="15" t="s">
        <v>205</v>
      </c>
      <c r="G65" t="s">
        <v>206</v>
      </c>
    </row>
    <row r="66" spans="6:7" x14ac:dyDescent="0.3">
      <c r="G66" t="s">
        <v>207</v>
      </c>
    </row>
    <row r="67" spans="6:7" x14ac:dyDescent="0.3">
      <c r="G67" t="s">
        <v>208</v>
      </c>
    </row>
    <row r="68" spans="6:7" x14ac:dyDescent="0.3">
      <c r="G68" t="s">
        <v>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A0DB-22A7-4340-BA7A-4F38C69E3BED}">
  <sheetPr codeName="Sheet4"/>
  <dimension ref="A21:I223"/>
  <sheetViews>
    <sheetView workbookViewId="0">
      <selection activeCell="E222" sqref="E222"/>
    </sheetView>
  </sheetViews>
  <sheetFormatPr defaultRowHeight="14.4" x14ac:dyDescent="0.3"/>
  <cols>
    <col min="1" max="1" width="15.5546875" customWidth="1"/>
    <col min="8" max="8" width="9.6640625" customWidth="1"/>
  </cols>
  <sheetData>
    <row r="21" spans="1:2" x14ac:dyDescent="0.3">
      <c r="A21" s="17"/>
    </row>
    <row r="22" spans="1:2" x14ac:dyDescent="0.3">
      <c r="A22" s="17"/>
    </row>
    <row r="23" spans="1:2" x14ac:dyDescent="0.3">
      <c r="A23" s="17"/>
    </row>
    <row r="24" spans="1:2" x14ac:dyDescent="0.3">
      <c r="A24" s="17"/>
    </row>
    <row r="25" spans="1:2" x14ac:dyDescent="0.3">
      <c r="A25" s="17"/>
    </row>
    <row r="26" spans="1:2" x14ac:dyDescent="0.3">
      <c r="A26" s="17"/>
    </row>
    <row r="27" spans="1:2" x14ac:dyDescent="0.3">
      <c r="A27" s="17"/>
    </row>
    <row r="28" spans="1:2" x14ac:dyDescent="0.3">
      <c r="A28" s="17"/>
    </row>
    <row r="29" spans="1:2" x14ac:dyDescent="0.3">
      <c r="A29" s="17"/>
    </row>
    <row r="30" spans="1:2" x14ac:dyDescent="0.3">
      <c r="A30" s="17"/>
    </row>
    <row r="31" spans="1:2" x14ac:dyDescent="0.3">
      <c r="A31" s="17"/>
    </row>
    <row r="32" spans="1:2" x14ac:dyDescent="0.3">
      <c r="A32" s="17" t="s">
        <v>63</v>
      </c>
      <c r="B32" t="s">
        <v>64</v>
      </c>
    </row>
    <row r="33" spans="1:5" x14ac:dyDescent="0.3">
      <c r="A33" s="17"/>
      <c r="B33" t="s">
        <v>65</v>
      </c>
    </row>
    <row r="34" spans="1:5" x14ac:dyDescent="0.3">
      <c r="A34" s="17"/>
      <c r="B34" t="s">
        <v>66</v>
      </c>
    </row>
    <row r="35" spans="1:5" x14ac:dyDescent="0.3">
      <c r="A35" s="17"/>
      <c r="B35" t="s">
        <v>67</v>
      </c>
    </row>
    <row r="36" spans="1:5" x14ac:dyDescent="0.3">
      <c r="A36" s="17" t="s">
        <v>68</v>
      </c>
      <c r="B36" t="s">
        <v>69</v>
      </c>
      <c r="C36">
        <f>_xlfn.HYPGEOM.DIST(4,4,5,8,FALSE)</f>
        <v>7.1428571428571383E-2</v>
      </c>
      <c r="E36">
        <f>5/70</f>
        <v>7.1428571428571425E-2</v>
      </c>
    </row>
    <row r="37" spans="1:5" x14ac:dyDescent="0.3">
      <c r="A37" s="17" t="s">
        <v>70</v>
      </c>
      <c r="B37" t="s">
        <v>71</v>
      </c>
      <c r="C37">
        <f>_xlfn.HYPGEOM.DIST(1,4,5,8,FALSE)</f>
        <v>7.1428571428571438E-2</v>
      </c>
    </row>
    <row r="38" spans="1:5" x14ac:dyDescent="0.3">
      <c r="A38" s="17" t="s">
        <v>72</v>
      </c>
      <c r="B38" t="s">
        <v>73</v>
      </c>
      <c r="C38">
        <f>_xlfn.HYPGEOM.DIST(2,4,5,8,TRUE)</f>
        <v>0.50000000000000011</v>
      </c>
    </row>
    <row r="39" spans="1:5" x14ac:dyDescent="0.3">
      <c r="A39" s="17"/>
    </row>
    <row r="40" spans="1:5" x14ac:dyDescent="0.3">
      <c r="A40" s="17"/>
    </row>
    <row r="41" spans="1:5" x14ac:dyDescent="0.3">
      <c r="A41" s="17"/>
    </row>
    <row r="42" spans="1:5" x14ac:dyDescent="0.3">
      <c r="A42" s="17"/>
    </row>
    <row r="43" spans="1:5" x14ac:dyDescent="0.3">
      <c r="A43" s="17"/>
    </row>
    <row r="44" spans="1:5" x14ac:dyDescent="0.3">
      <c r="A44" s="17"/>
    </row>
    <row r="45" spans="1:5" x14ac:dyDescent="0.3">
      <c r="A45" s="17"/>
    </row>
    <row r="46" spans="1:5" x14ac:dyDescent="0.3">
      <c r="A46" s="17"/>
    </row>
    <row r="47" spans="1:5" x14ac:dyDescent="0.3">
      <c r="A47" s="17"/>
    </row>
    <row r="48" spans="1:5" x14ac:dyDescent="0.3">
      <c r="A48" s="17"/>
    </row>
    <row r="49" spans="1:5" x14ac:dyDescent="0.3">
      <c r="A49" s="17" t="s">
        <v>74</v>
      </c>
      <c r="B49" t="s">
        <v>75</v>
      </c>
    </row>
    <row r="50" spans="1:5" x14ac:dyDescent="0.3">
      <c r="A50" s="17"/>
      <c r="B50" t="s">
        <v>76</v>
      </c>
    </row>
    <row r="51" spans="1:5" x14ac:dyDescent="0.3">
      <c r="A51" s="17"/>
      <c r="B51" t="s">
        <v>77</v>
      </c>
    </row>
    <row r="52" spans="1:5" x14ac:dyDescent="0.3">
      <c r="A52" s="17"/>
      <c r="B52" t="s">
        <v>78</v>
      </c>
    </row>
    <row r="53" spans="1:5" x14ac:dyDescent="0.3">
      <c r="A53" s="17" t="s">
        <v>79</v>
      </c>
      <c r="B53" t="s">
        <v>80</v>
      </c>
      <c r="C53">
        <f>_xlfn.HYPGEOM.DIST(0,5,6,10,FALSE)</f>
        <v>0</v>
      </c>
    </row>
    <row r="54" spans="1:5" x14ac:dyDescent="0.3">
      <c r="A54" s="17" t="s">
        <v>81</v>
      </c>
      <c r="B54" t="s">
        <v>82</v>
      </c>
      <c r="C54">
        <f>_xlfn.HYPGEOM.DIST(2,5,6,10,FALSE)</f>
        <v>0.23809523809523803</v>
      </c>
    </row>
    <row r="55" spans="1:5" x14ac:dyDescent="0.3">
      <c r="A55" s="17" t="s">
        <v>83</v>
      </c>
      <c r="B55" t="s">
        <v>84</v>
      </c>
      <c r="E55">
        <f>1-_xlfn.HYPGEOM.DIST(1,5,6,10,TRUE)</f>
        <v>0.97619047619047616</v>
      </c>
    </row>
    <row r="56" spans="1:5" x14ac:dyDescent="0.3">
      <c r="A56" s="17"/>
    </row>
    <row r="57" spans="1:5" x14ac:dyDescent="0.3">
      <c r="A57" s="17"/>
    </row>
    <row r="58" spans="1:5" x14ac:dyDescent="0.3">
      <c r="A58" s="17"/>
    </row>
    <row r="59" spans="1:5" x14ac:dyDescent="0.3">
      <c r="A59" s="17"/>
    </row>
    <row r="60" spans="1:5" x14ac:dyDescent="0.3">
      <c r="A60" s="17"/>
    </row>
    <row r="61" spans="1:5" x14ac:dyDescent="0.3">
      <c r="A61" s="17"/>
    </row>
    <row r="62" spans="1:5" x14ac:dyDescent="0.3">
      <c r="A62" s="17"/>
    </row>
    <row r="63" spans="1:5" x14ac:dyDescent="0.3">
      <c r="A63" s="17"/>
    </row>
    <row r="64" spans="1:5" x14ac:dyDescent="0.3">
      <c r="A64" s="17"/>
    </row>
    <row r="65" spans="1:9" x14ac:dyDescent="0.3">
      <c r="A65" s="17"/>
    </row>
    <row r="66" spans="1:9" x14ac:dyDescent="0.3">
      <c r="A66" s="17"/>
    </row>
    <row r="67" spans="1:9" x14ac:dyDescent="0.3">
      <c r="A67" s="17"/>
    </row>
    <row r="68" spans="1:9" x14ac:dyDescent="0.3">
      <c r="A68" s="17"/>
    </row>
    <row r="70" spans="1:9" x14ac:dyDescent="0.3">
      <c r="A70" s="17" t="s">
        <v>89</v>
      </c>
      <c r="B70" t="s">
        <v>90</v>
      </c>
    </row>
    <row r="71" spans="1:9" x14ac:dyDescent="0.3">
      <c r="B71" t="s">
        <v>91</v>
      </c>
    </row>
    <row r="72" spans="1:9" x14ac:dyDescent="0.3">
      <c r="B72" t="s">
        <v>92</v>
      </c>
    </row>
    <row r="73" spans="1:9" x14ac:dyDescent="0.3">
      <c r="B73" t="s">
        <v>93</v>
      </c>
    </row>
    <row r="75" spans="1:9" x14ac:dyDescent="0.3">
      <c r="B75" s="11" t="s">
        <v>23</v>
      </c>
      <c r="C75" t="s">
        <v>94</v>
      </c>
    </row>
    <row r="76" spans="1:9" x14ac:dyDescent="0.3">
      <c r="B76" s="11" t="s">
        <v>29</v>
      </c>
      <c r="C76" t="s">
        <v>95</v>
      </c>
      <c r="G76">
        <f>(COMBIN(125,10))*(COMBIN(75, 0))/(COMBIN(200,10))</f>
        <v>7.9001851611085142E-3</v>
      </c>
      <c r="H76" s="2" t="s">
        <v>18</v>
      </c>
      <c r="I76">
        <f>_xlfn.HYPGEOM.DIST(10,10,125,200,FALSE)</f>
        <v>7.9001851611085038E-3</v>
      </c>
    </row>
    <row r="77" spans="1:9" x14ac:dyDescent="0.3">
      <c r="B77" s="11" t="s">
        <v>25</v>
      </c>
      <c r="C77" t="s">
        <v>96</v>
      </c>
      <c r="G77">
        <f>(COMBIN(125,0))*(COMBIN(75, 10))/(COMBIN(200,10))</f>
        <v>3.692178287196772E-5</v>
      </c>
      <c r="H77" s="2" t="s">
        <v>18</v>
      </c>
      <c r="I77">
        <f>_xlfn.HYPGEOM.DIST(0,10,125,200,FALSE)</f>
        <v>3.6921782871967775E-5</v>
      </c>
    </row>
    <row r="78" spans="1:9" x14ac:dyDescent="0.3">
      <c r="B78" s="11"/>
      <c r="H78" s="2"/>
    </row>
    <row r="79" spans="1:9" x14ac:dyDescent="0.3">
      <c r="B79" s="11"/>
      <c r="H79" s="2"/>
    </row>
    <row r="80" spans="1:9" x14ac:dyDescent="0.3">
      <c r="B80" s="11"/>
      <c r="H80" s="2"/>
    </row>
    <row r="81" spans="1:9" x14ac:dyDescent="0.3">
      <c r="B81" s="11"/>
      <c r="H81" s="2"/>
    </row>
    <row r="82" spans="1:9" x14ac:dyDescent="0.3">
      <c r="B82" s="11"/>
      <c r="H82" s="2"/>
    </row>
    <row r="83" spans="1:9" x14ac:dyDescent="0.3">
      <c r="B83" s="11"/>
      <c r="H83" s="2"/>
    </row>
    <row r="85" spans="1:9" x14ac:dyDescent="0.3">
      <c r="A85" s="17" t="s">
        <v>97</v>
      </c>
      <c r="B85" t="s">
        <v>98</v>
      </c>
    </row>
    <row r="86" spans="1:9" x14ac:dyDescent="0.3">
      <c r="B86" t="s">
        <v>99</v>
      </c>
    </row>
    <row r="87" spans="1:9" x14ac:dyDescent="0.3">
      <c r="B87" t="s">
        <v>100</v>
      </c>
    </row>
    <row r="88" spans="1:9" x14ac:dyDescent="0.3">
      <c r="B88" t="s">
        <v>101</v>
      </c>
    </row>
    <row r="89" spans="1:9" x14ac:dyDescent="0.3">
      <c r="B89" t="s">
        <v>102</v>
      </c>
      <c r="G89">
        <f>(COMBIN(6,5))*(COMBIN(4,0))/(COMBIN(10,5))</f>
        <v>2.3809523809523808E-2</v>
      </c>
      <c r="H89" s="2" t="s">
        <v>18</v>
      </c>
      <c r="I89">
        <f>_xlfn.HYPGEOM.DIST(5,6,5,10,FALSE)</f>
        <v>2.3809523809523791E-2</v>
      </c>
    </row>
    <row r="90" spans="1:9" x14ac:dyDescent="0.3">
      <c r="H90" s="2"/>
    </row>
    <row r="91" spans="1:9" x14ac:dyDescent="0.3">
      <c r="H91" s="2"/>
    </row>
    <row r="92" spans="1:9" x14ac:dyDescent="0.3">
      <c r="H92" s="2"/>
    </row>
    <row r="93" spans="1:9" x14ac:dyDescent="0.3">
      <c r="H93" s="2"/>
    </row>
    <row r="94" spans="1:9" x14ac:dyDescent="0.3">
      <c r="H94" s="2"/>
    </row>
    <row r="95" spans="1:9" x14ac:dyDescent="0.3">
      <c r="H95" s="2"/>
    </row>
    <row r="96" spans="1:9" x14ac:dyDescent="0.3">
      <c r="H96" s="2"/>
    </row>
    <row r="97" spans="1:8" x14ac:dyDescent="0.3">
      <c r="H97" s="2"/>
    </row>
    <row r="99" spans="1:8" x14ac:dyDescent="0.3">
      <c r="A99" s="17" t="s">
        <v>103</v>
      </c>
      <c r="B99" t="s">
        <v>104</v>
      </c>
    </row>
    <row r="100" spans="1:8" x14ac:dyDescent="0.3">
      <c r="B100" t="s">
        <v>105</v>
      </c>
    </row>
    <row r="101" spans="1:8" x14ac:dyDescent="0.3">
      <c r="B101" t="s">
        <v>106</v>
      </c>
    </row>
    <row r="102" spans="1:8" x14ac:dyDescent="0.3">
      <c r="B102" t="s">
        <v>107</v>
      </c>
    </row>
    <row r="104" spans="1:8" x14ac:dyDescent="0.3">
      <c r="B104" t="s">
        <v>108</v>
      </c>
      <c r="F104">
        <f>(COMBIN(2,0))*(COMBIN(4,3))/(COMBIN(6,3))</f>
        <v>0.2</v>
      </c>
      <c r="G104" s="2" t="s">
        <v>18</v>
      </c>
      <c r="H104">
        <f>_xlfn.HYPGEOM.DIST(0,2,3,6,FALSE)</f>
        <v>0.20000000000000004</v>
      </c>
    </row>
    <row r="105" spans="1:8" x14ac:dyDescent="0.3">
      <c r="B105" t="s">
        <v>109</v>
      </c>
      <c r="F105">
        <f>(COMBIN(2,1))*(COMBIN(4,2))/(COMBIN(6,3))</f>
        <v>0.6</v>
      </c>
      <c r="G105" s="2" t="s">
        <v>18</v>
      </c>
      <c r="H105">
        <f>_xlfn.HYPGEOM.DIST(1,2,3,6,FALSE)</f>
        <v>0.60000000000000031</v>
      </c>
    </row>
    <row r="106" spans="1:8" x14ac:dyDescent="0.3">
      <c r="B106" t="s">
        <v>110</v>
      </c>
      <c r="F106">
        <f>(COMBIN(2,2))*(COMBIN(4,1))/(COMBIN(6,3))</f>
        <v>0.2</v>
      </c>
      <c r="G106" s="2" t="s">
        <v>18</v>
      </c>
      <c r="H106">
        <f>_xlfn.HYPGEOM.DIST(2,2,3,6,FALSE)</f>
        <v>0.20000000000000004</v>
      </c>
    </row>
    <row r="107" spans="1:8" x14ac:dyDescent="0.3">
      <c r="G107" s="2"/>
    </row>
    <row r="108" spans="1:8" x14ac:dyDescent="0.3">
      <c r="G108" s="2"/>
    </row>
    <row r="109" spans="1:8" x14ac:dyDescent="0.3">
      <c r="G109" s="2"/>
    </row>
    <row r="110" spans="1:8" x14ac:dyDescent="0.3">
      <c r="G110" s="2"/>
    </row>
    <row r="111" spans="1:8" x14ac:dyDescent="0.3">
      <c r="G111" s="2"/>
    </row>
    <row r="112" spans="1:8" x14ac:dyDescent="0.3">
      <c r="G112" s="2"/>
    </row>
    <row r="113" spans="1:8" x14ac:dyDescent="0.3">
      <c r="G113" s="2"/>
    </row>
    <row r="114" spans="1:8" x14ac:dyDescent="0.3">
      <c r="G114" s="2"/>
    </row>
    <row r="115" spans="1:8" x14ac:dyDescent="0.3">
      <c r="G115" s="2"/>
    </row>
    <row r="117" spans="1:8" x14ac:dyDescent="0.3">
      <c r="A117" s="17" t="s">
        <v>111</v>
      </c>
      <c r="B117" t="s">
        <v>112</v>
      </c>
    </row>
    <row r="118" spans="1:8" x14ac:dyDescent="0.3">
      <c r="B118" t="s">
        <v>113</v>
      </c>
    </row>
    <row r="119" spans="1:8" x14ac:dyDescent="0.3">
      <c r="B119" t="s">
        <v>114</v>
      </c>
    </row>
    <row r="120" spans="1:8" x14ac:dyDescent="0.3">
      <c r="B120" t="s">
        <v>115</v>
      </c>
    </row>
    <row r="122" spans="1:8" x14ac:dyDescent="0.3">
      <c r="B122" s="11" t="s">
        <v>23</v>
      </c>
      <c r="C122" t="s">
        <v>116</v>
      </c>
      <c r="F122">
        <f>(COMBIN(2,0))*(COMBIN(3,2))/(COMBIN(5,2))</f>
        <v>0.3</v>
      </c>
      <c r="G122" s="2" t="s">
        <v>18</v>
      </c>
      <c r="H122">
        <f>_xlfn.HYPGEOM.DIST(0,2,2,5,FALSE)</f>
        <v>0.30000000000000004</v>
      </c>
    </row>
    <row r="123" spans="1:8" x14ac:dyDescent="0.3">
      <c r="C123" t="s">
        <v>117</v>
      </c>
      <c r="F123">
        <f>(COMBIN(2,1))*(COMBIN(3,1))/(COMBIN(5,2))</f>
        <v>0.6</v>
      </c>
      <c r="G123" s="2" t="s">
        <v>18</v>
      </c>
      <c r="H123">
        <f>_xlfn.HYPGEOM.DIST(1,2,2,5,FALSE)</f>
        <v>0.6</v>
      </c>
    </row>
    <row r="124" spans="1:8" x14ac:dyDescent="0.3">
      <c r="C124" t="s">
        <v>118</v>
      </c>
      <c r="F124">
        <f>(COMBIN(2,2))*(COMBIN(3,0))/(COMBIN(5,2))</f>
        <v>0.1</v>
      </c>
      <c r="G124" s="2" t="s">
        <v>18</v>
      </c>
      <c r="H124">
        <f>_xlfn.HYPGEOM.DIST(2,2,2,5,FALSE)</f>
        <v>0.1</v>
      </c>
    </row>
    <row r="126" spans="1:8" x14ac:dyDescent="0.3">
      <c r="B126" s="11" t="s">
        <v>29</v>
      </c>
    </row>
    <row r="127" spans="1:8" x14ac:dyDescent="0.3">
      <c r="C127" s="19"/>
    </row>
    <row r="134" spans="2:5" x14ac:dyDescent="0.3">
      <c r="C134" t="s">
        <v>34</v>
      </c>
      <c r="D134">
        <v>2</v>
      </c>
      <c r="E134" t="s">
        <v>119</v>
      </c>
    </row>
    <row r="135" spans="2:5" x14ac:dyDescent="0.3">
      <c r="C135" t="s">
        <v>87</v>
      </c>
      <c r="D135">
        <v>2</v>
      </c>
      <c r="E135" t="s">
        <v>120</v>
      </c>
    </row>
    <row r="136" spans="2:5" x14ac:dyDescent="0.3">
      <c r="C136" t="s">
        <v>86</v>
      </c>
      <c r="D136">
        <v>5</v>
      </c>
      <c r="E136" t="s">
        <v>121</v>
      </c>
    </row>
    <row r="138" spans="2:5" x14ac:dyDescent="0.3">
      <c r="C138" s="19" t="s">
        <v>88</v>
      </c>
      <c r="D138">
        <f>D134*(D135/D136)</f>
        <v>0.8</v>
      </c>
    </row>
    <row r="139" spans="2:5" ht="16.2" x14ac:dyDescent="0.3">
      <c r="C139" s="19" t="s">
        <v>146</v>
      </c>
      <c r="D139">
        <f>D138*((D136-D135)/D136)*((D136-D134)/(D136-1))</f>
        <v>0.36</v>
      </c>
    </row>
    <row r="140" spans="2:5" x14ac:dyDescent="0.3">
      <c r="C140" s="19" t="s">
        <v>85</v>
      </c>
      <c r="D140">
        <f>SQRT(D139)</f>
        <v>0.6</v>
      </c>
    </row>
    <row r="142" spans="2:5" x14ac:dyDescent="0.3">
      <c r="B142" s="11" t="s">
        <v>25</v>
      </c>
      <c r="C142" s="18" t="s">
        <v>0</v>
      </c>
      <c r="D142" s="18" t="s">
        <v>1</v>
      </c>
    </row>
    <row r="143" spans="2:5" x14ac:dyDescent="0.3">
      <c r="C143" s="2">
        <v>0</v>
      </c>
      <c r="D143" s="2">
        <f>F122</f>
        <v>0.3</v>
      </c>
    </row>
    <row r="144" spans="2:5" x14ac:dyDescent="0.3">
      <c r="C144" s="2">
        <v>1</v>
      </c>
      <c r="D144" s="2">
        <f t="shared" ref="D144:D145" si="0">F123</f>
        <v>0.6</v>
      </c>
    </row>
    <row r="145" spans="3:4" x14ac:dyDescent="0.3">
      <c r="C145" s="2">
        <v>2</v>
      </c>
      <c r="D145" s="2">
        <f t="shared" si="0"/>
        <v>0.1</v>
      </c>
    </row>
    <row r="178" spans="1:8" x14ac:dyDescent="0.3">
      <c r="A178" s="17" t="s">
        <v>122</v>
      </c>
      <c r="B178" s="11" t="s">
        <v>23</v>
      </c>
      <c r="C178" t="s">
        <v>123</v>
      </c>
    </row>
    <row r="179" spans="1:8" x14ac:dyDescent="0.3">
      <c r="C179" t="s">
        <v>124</v>
      </c>
    </row>
    <row r="180" spans="1:8" x14ac:dyDescent="0.3">
      <c r="C180" t="s">
        <v>125</v>
      </c>
    </row>
    <row r="181" spans="1:8" x14ac:dyDescent="0.3">
      <c r="C181" t="s">
        <v>126</v>
      </c>
    </row>
    <row r="182" spans="1:8" x14ac:dyDescent="0.3">
      <c r="C182" t="s">
        <v>127</v>
      </c>
    </row>
    <row r="184" spans="1:8" x14ac:dyDescent="0.3">
      <c r="B184" s="11" t="s">
        <v>29</v>
      </c>
      <c r="C184" t="s">
        <v>128</v>
      </c>
      <c r="F184">
        <f>(COMBIN(5,3))*(COMBIN(3,0))/(COMBIN(8,3))</f>
        <v>0.17857142857142858</v>
      </c>
      <c r="G184" s="2" t="s">
        <v>18</v>
      </c>
      <c r="H184">
        <f>_xlfn.HYPGEOM.DIST(3,5,3,8,FALSE)</f>
        <v>0.17857142857142855</v>
      </c>
    </row>
    <row r="185" spans="1:8" x14ac:dyDescent="0.3">
      <c r="B185" s="11" t="s">
        <v>25</v>
      </c>
      <c r="C185" t="s">
        <v>129</v>
      </c>
      <c r="F185">
        <f>(COMBIN(5,0))*(COMBIN(3,3))/(COMBIN(8,3))</f>
        <v>1.7857142857142856E-2</v>
      </c>
      <c r="G185" s="2" t="s">
        <v>18</v>
      </c>
      <c r="H185">
        <f>_xlfn.HYPGEOM.DIST(0,5,3,8,FALSE)</f>
        <v>1.785714285714286E-2</v>
      </c>
    </row>
    <row r="186" spans="1:8" x14ac:dyDescent="0.3">
      <c r="B186" s="11" t="s">
        <v>27</v>
      </c>
      <c r="C186" t="s">
        <v>130</v>
      </c>
      <c r="F186">
        <f>(COMBIN(5,0))*(COMBIN(3,3))/(COMBIN(8,3))+(COMBIN(5,1))*(COMBIN(3,2))/(COMBIN(8,3))</f>
        <v>0.2857142857142857</v>
      </c>
      <c r="G186" s="2" t="s">
        <v>18</v>
      </c>
      <c r="H186">
        <f>_xlfn.HYPGEOM.DIST(1,5,3,8,TRUE)</f>
        <v>0.28571428571428553</v>
      </c>
    </row>
    <row r="187" spans="1:8" x14ac:dyDescent="0.3">
      <c r="B187" s="11"/>
      <c r="G187" s="2"/>
    </row>
    <row r="188" spans="1:8" x14ac:dyDescent="0.3">
      <c r="B188" s="11"/>
      <c r="G188" s="2"/>
    </row>
    <row r="189" spans="1:8" x14ac:dyDescent="0.3">
      <c r="B189" s="11"/>
      <c r="G189" s="2"/>
    </row>
    <row r="190" spans="1:8" x14ac:dyDescent="0.3">
      <c r="B190" s="11"/>
      <c r="G190" s="2"/>
    </row>
    <row r="191" spans="1:8" x14ac:dyDescent="0.3">
      <c r="B191" s="11"/>
      <c r="G191" s="2"/>
    </row>
    <row r="192" spans="1:8" x14ac:dyDescent="0.3">
      <c r="B192" s="11"/>
      <c r="G192" s="2"/>
    </row>
    <row r="193" spans="1:8" x14ac:dyDescent="0.3">
      <c r="B193" s="11"/>
      <c r="G193" s="2"/>
    </row>
    <row r="194" spans="1:8" x14ac:dyDescent="0.3">
      <c r="B194" s="11"/>
      <c r="G194" s="2"/>
    </row>
    <row r="195" spans="1:8" x14ac:dyDescent="0.3">
      <c r="B195" s="11"/>
      <c r="G195" s="2"/>
    </row>
    <row r="196" spans="1:8" x14ac:dyDescent="0.3">
      <c r="B196" s="11"/>
      <c r="G196" s="2"/>
    </row>
    <row r="197" spans="1:8" x14ac:dyDescent="0.3">
      <c r="B197" s="11"/>
      <c r="G197" s="2"/>
    </row>
    <row r="198" spans="1:8" x14ac:dyDescent="0.3">
      <c r="B198" s="11"/>
      <c r="G198" s="2"/>
    </row>
    <row r="199" spans="1:8" x14ac:dyDescent="0.3">
      <c r="B199" s="11"/>
      <c r="G199" s="2"/>
    </row>
    <row r="201" spans="1:8" x14ac:dyDescent="0.3">
      <c r="A201" s="17" t="s">
        <v>131</v>
      </c>
      <c r="B201" t="s">
        <v>123</v>
      </c>
    </row>
    <row r="202" spans="1:8" x14ac:dyDescent="0.3">
      <c r="B202" t="s">
        <v>132</v>
      </c>
    </row>
    <row r="203" spans="1:8" x14ac:dyDescent="0.3">
      <c r="B203" t="s">
        <v>133</v>
      </c>
    </row>
    <row r="204" spans="1:8" x14ac:dyDescent="0.3">
      <c r="B204" t="s">
        <v>134</v>
      </c>
    </row>
    <row r="205" spans="1:8" x14ac:dyDescent="0.3">
      <c r="B205" t="s">
        <v>135</v>
      </c>
    </row>
    <row r="207" spans="1:8" x14ac:dyDescent="0.3">
      <c r="B207" s="11" t="s">
        <v>23</v>
      </c>
      <c r="C207" t="s">
        <v>69</v>
      </c>
      <c r="F207">
        <f>(COMBIN(5,4))*(COMBIN(5,0))/(COMBIN(10,4))</f>
        <v>2.3809523809523812E-2</v>
      </c>
      <c r="G207" s="2" t="s">
        <v>18</v>
      </c>
      <c r="H207">
        <f>_xlfn.HYPGEOM.DIST(4,5,4,10,FALSE)</f>
        <v>2.3809523809523801E-2</v>
      </c>
    </row>
    <row r="208" spans="1:8" x14ac:dyDescent="0.3">
      <c r="B208" s="11" t="s">
        <v>29</v>
      </c>
      <c r="C208" t="s">
        <v>136</v>
      </c>
      <c r="F208">
        <f>1-F207</f>
        <v>0.97619047619047616</v>
      </c>
    </row>
    <row r="209" spans="1:9" x14ac:dyDescent="0.3">
      <c r="B209" s="11" t="s">
        <v>25</v>
      </c>
      <c r="C209" t="s">
        <v>137</v>
      </c>
      <c r="F209">
        <f>(COMBIN(5,2))*(COMBIN(5,2))/(COMBIN(10,4))+(COMBIN(5,3))*(COMBIN(5,1))/(COMBIN(10,4))</f>
        <v>0.71428571428571441</v>
      </c>
      <c r="H209">
        <f>_xlfn.HYPGEOM.DIST(3,5,4,10,TRUE)-_xlfn.HYPGEOM.DIST(1,5,4,10,TRUE)</f>
        <v>0.71428571428571441</v>
      </c>
      <c r="I209" t="s">
        <v>138</v>
      </c>
    </row>
    <row r="210" spans="1:9" x14ac:dyDescent="0.3">
      <c r="B210" s="11"/>
    </row>
    <row r="211" spans="1:9" x14ac:dyDescent="0.3">
      <c r="B211" s="11"/>
    </row>
    <row r="212" spans="1:9" x14ac:dyDescent="0.3">
      <c r="B212" s="11"/>
    </row>
    <row r="213" spans="1:9" x14ac:dyDescent="0.3">
      <c r="B213" s="11"/>
    </row>
    <row r="214" spans="1:9" x14ac:dyDescent="0.3">
      <c r="B214" s="11"/>
    </row>
    <row r="215" spans="1:9" x14ac:dyDescent="0.3">
      <c r="B215" s="11"/>
    </row>
    <row r="216" spans="1:9" x14ac:dyDescent="0.3">
      <c r="A216" s="17" t="s">
        <v>139</v>
      </c>
      <c r="B216" t="s">
        <v>123</v>
      </c>
    </row>
    <row r="217" spans="1:9" x14ac:dyDescent="0.3">
      <c r="B217" t="s">
        <v>140</v>
      </c>
    </row>
    <row r="218" spans="1:9" x14ac:dyDescent="0.3">
      <c r="B218" t="s">
        <v>141</v>
      </c>
    </row>
    <row r="219" spans="1:9" x14ac:dyDescent="0.3">
      <c r="B219" t="s">
        <v>142</v>
      </c>
    </row>
    <row r="220" spans="1:9" x14ac:dyDescent="0.3">
      <c r="B220" t="s">
        <v>143</v>
      </c>
    </row>
    <row r="222" spans="1:9" x14ac:dyDescent="0.3">
      <c r="B222" t="s">
        <v>144</v>
      </c>
      <c r="E222">
        <f>(COMBIN(2,0))*(COMBIN(6,4))/(COMBIN(8,4))</f>
        <v>0.21428571428571427</v>
      </c>
      <c r="F222" s="2" t="s">
        <v>18</v>
      </c>
      <c r="G222">
        <f>_xlfn.HYPGEOM.DIST(0,4,2,8,FALSE)</f>
        <v>0.21428571428571427</v>
      </c>
    </row>
    <row r="223" spans="1:9" x14ac:dyDescent="0.3">
      <c r="B223" t="s">
        <v>145</v>
      </c>
      <c r="E223">
        <f>(COMBIN(2,2))*(COMBIN(6,2))/(COMBIN(8,4))</f>
        <v>0.21428571428571427</v>
      </c>
      <c r="F223" s="2" t="s">
        <v>18</v>
      </c>
      <c r="G223">
        <f>_xlfn.HYPGEOM.DIST(2,4,2,8,FALSE)</f>
        <v>0.21428571428571433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1932-9492-412B-AE3E-29EF3EFE2E06}">
  <sheetPr codeName="Sheet5"/>
  <dimension ref="D20:N143"/>
  <sheetViews>
    <sheetView topLeftCell="A61" zoomScale="85" zoomScaleNormal="85" workbookViewId="0">
      <selection activeCell="J78" sqref="J78"/>
    </sheetView>
  </sheetViews>
  <sheetFormatPr defaultRowHeight="14.4" x14ac:dyDescent="0.3"/>
  <cols>
    <col min="8" max="8" width="14.44140625" customWidth="1"/>
    <col min="9" max="9" width="10.33203125" customWidth="1"/>
    <col min="10" max="10" width="8.77734375" customWidth="1"/>
  </cols>
  <sheetData>
    <row r="20" spans="4:8" x14ac:dyDescent="0.3">
      <c r="D20" s="15" t="s">
        <v>23</v>
      </c>
      <c r="E20" s="16" t="s">
        <v>40</v>
      </c>
      <c r="F20">
        <v>2.5</v>
      </c>
    </row>
    <row r="21" spans="4:8" x14ac:dyDescent="0.3">
      <c r="E21" t="s">
        <v>41</v>
      </c>
      <c r="F21">
        <f>_xlfn.POISSON.DIST(2,F20,FALSE)</f>
        <v>0.25651562069968376</v>
      </c>
    </row>
    <row r="22" spans="4:8" x14ac:dyDescent="0.3">
      <c r="D22" s="15" t="s">
        <v>29</v>
      </c>
      <c r="E22" s="16" t="s">
        <v>40</v>
      </c>
      <c r="F22">
        <v>8</v>
      </c>
    </row>
    <row r="23" spans="4:8" x14ac:dyDescent="0.3">
      <c r="E23" t="s">
        <v>36</v>
      </c>
      <c r="F23">
        <f>_xlfn.POISSON.DIST(8,F22,FALSE)</f>
        <v>0.13958653195059695</v>
      </c>
    </row>
    <row r="24" spans="4:8" x14ac:dyDescent="0.3">
      <c r="D24" s="15" t="s">
        <v>25</v>
      </c>
      <c r="E24" s="16" t="s">
        <v>40</v>
      </c>
      <c r="F24">
        <v>0.5</v>
      </c>
    </row>
    <row r="25" spans="4:8" x14ac:dyDescent="0.3">
      <c r="E25" t="s">
        <v>39</v>
      </c>
      <c r="F25">
        <f>_xlfn.POISSON.DIST(1,F24,FALSE)</f>
        <v>0.30326532985631671</v>
      </c>
    </row>
    <row r="26" spans="4:8" x14ac:dyDescent="0.3">
      <c r="D26" s="15" t="s">
        <v>27</v>
      </c>
      <c r="E26" s="16" t="s">
        <v>40</v>
      </c>
      <c r="F26">
        <v>3.7</v>
      </c>
    </row>
    <row r="27" spans="4:8" x14ac:dyDescent="0.3">
      <c r="E27" t="s">
        <v>35</v>
      </c>
      <c r="F27">
        <f>_xlfn.POISSON.DIST(0,F26,FALSE)</f>
        <v>2.4723526470339388E-2</v>
      </c>
    </row>
    <row r="30" spans="4:8" x14ac:dyDescent="0.3">
      <c r="D30" s="15" t="s">
        <v>23</v>
      </c>
      <c r="E30" s="16" t="s">
        <v>40</v>
      </c>
      <c r="F30">
        <v>2</v>
      </c>
    </row>
    <row r="31" spans="4:8" x14ac:dyDescent="0.3">
      <c r="E31" t="s">
        <v>44</v>
      </c>
      <c r="H31">
        <f>1-_xlfn.POISSON.DIST(1,F30,TRUE)</f>
        <v>0.59399415029016189</v>
      </c>
    </row>
    <row r="32" spans="4:8" x14ac:dyDescent="0.3">
      <c r="D32" s="15" t="s">
        <v>29</v>
      </c>
      <c r="E32" s="16" t="s">
        <v>40</v>
      </c>
      <c r="F32">
        <v>8</v>
      </c>
    </row>
    <row r="33" spans="4:9" x14ac:dyDescent="0.3">
      <c r="E33" t="s">
        <v>46</v>
      </c>
      <c r="H33">
        <f>1-_xlfn.POISSON.DIST(2,F32,TRUE)</f>
        <v>0.98624603225599705</v>
      </c>
    </row>
    <row r="34" spans="4:9" x14ac:dyDescent="0.3">
      <c r="D34" s="15" t="s">
        <v>25</v>
      </c>
      <c r="E34" s="16" t="s">
        <v>40</v>
      </c>
      <c r="F34">
        <v>0.5</v>
      </c>
    </row>
    <row r="35" spans="4:9" x14ac:dyDescent="0.3">
      <c r="E35" t="s">
        <v>42</v>
      </c>
      <c r="H35">
        <f>_xlfn.POISSON.DIST(1,F34,TRUE)</f>
        <v>0.90979598956895014</v>
      </c>
    </row>
    <row r="36" spans="4:9" x14ac:dyDescent="0.3">
      <c r="D36" s="15" t="s">
        <v>27</v>
      </c>
      <c r="E36" s="16" t="s">
        <v>40</v>
      </c>
      <c r="F36">
        <v>4</v>
      </c>
    </row>
    <row r="37" spans="4:9" x14ac:dyDescent="0.3">
      <c r="E37" t="s">
        <v>45</v>
      </c>
      <c r="H37">
        <f>1-_xlfn.POISSON.DIST(0,F36,TRUE)</f>
        <v>0.98168436111126578</v>
      </c>
    </row>
    <row r="38" spans="4:9" x14ac:dyDescent="0.3">
      <c r="D38" s="15" t="s">
        <v>37</v>
      </c>
      <c r="E38" s="16" t="s">
        <v>40</v>
      </c>
      <c r="F38">
        <v>5</v>
      </c>
    </row>
    <row r="39" spans="4:9" x14ac:dyDescent="0.3">
      <c r="E39" t="s">
        <v>43</v>
      </c>
      <c r="H39">
        <f>_xlfn.POISSON.DIST(3,F38,TRUE)</f>
        <v>0.26502591529736169</v>
      </c>
    </row>
    <row r="40" spans="4:9" x14ac:dyDescent="0.3">
      <c r="D40" t="s">
        <v>47</v>
      </c>
      <c r="E40" s="16" t="s">
        <v>40</v>
      </c>
      <c r="F40">
        <v>3</v>
      </c>
    </row>
    <row r="41" spans="4:9" x14ac:dyDescent="0.3">
      <c r="E41" t="s">
        <v>48</v>
      </c>
      <c r="H41">
        <f>_xlfn.POISSON.DIST(2,F40,TRUE)</f>
        <v>0.42319008112684342</v>
      </c>
    </row>
    <row r="42" spans="4:9" x14ac:dyDescent="0.3">
      <c r="D42" t="s">
        <v>47</v>
      </c>
      <c r="E42" s="16" t="s">
        <v>40</v>
      </c>
      <c r="F42">
        <v>1</v>
      </c>
    </row>
    <row r="43" spans="4:9" x14ac:dyDescent="0.3">
      <c r="E43" t="s">
        <v>49</v>
      </c>
      <c r="H43">
        <f>1-_xlfn.POISSON.DIST(2,F42,TRUE)</f>
        <v>8.0301397071394165E-2</v>
      </c>
    </row>
    <row r="44" spans="4:9" x14ac:dyDescent="0.3">
      <c r="D44" t="s">
        <v>47</v>
      </c>
      <c r="E44" s="16" t="s">
        <v>40</v>
      </c>
      <c r="F44">
        <v>4</v>
      </c>
    </row>
    <row r="45" spans="4:9" x14ac:dyDescent="0.3">
      <c r="E45" t="s">
        <v>39</v>
      </c>
      <c r="H45">
        <f>_xlfn.POISSON.DIST(1,F44,FALSE)</f>
        <v>7.3262555554936715E-2</v>
      </c>
    </row>
    <row r="48" spans="4:9" x14ac:dyDescent="0.3">
      <c r="H48" s="16" t="s">
        <v>40</v>
      </c>
      <c r="I48">
        <v>5</v>
      </c>
    </row>
    <row r="49" spans="7:10" x14ac:dyDescent="0.3">
      <c r="G49" s="15" t="s">
        <v>23</v>
      </c>
      <c r="H49" t="s">
        <v>39</v>
      </c>
      <c r="J49">
        <f>_xlfn.POISSON.DIST(1,I48,FALSE)</f>
        <v>3.368973499542733E-2</v>
      </c>
    </row>
    <row r="50" spans="7:10" x14ac:dyDescent="0.3">
      <c r="G50" s="15" t="s">
        <v>29</v>
      </c>
      <c r="H50" t="s">
        <v>210</v>
      </c>
      <c r="I50" t="s">
        <v>181</v>
      </c>
      <c r="J50">
        <f>_xlfn.POISSON.DIST(0,$I$48,FALSE)</f>
        <v>6.737946999085467E-3</v>
      </c>
    </row>
    <row r="51" spans="7:10" x14ac:dyDescent="0.3">
      <c r="G51" s="15" t="s">
        <v>25</v>
      </c>
      <c r="H51" t="s">
        <v>213</v>
      </c>
      <c r="I51" t="s">
        <v>212</v>
      </c>
      <c r="J51">
        <f>1-_xlfn.POISSON.DIST(1,I48,TRUE)</f>
        <v>0.95957231800548715</v>
      </c>
    </row>
    <row r="52" spans="7:10" x14ac:dyDescent="0.3">
      <c r="G52" s="15" t="s">
        <v>27</v>
      </c>
      <c r="H52" t="s">
        <v>214</v>
      </c>
      <c r="I52" t="s">
        <v>211</v>
      </c>
      <c r="J52">
        <f>_xlfn.POISSON.DIST(1,$I$48,TRUE)</f>
        <v>4.0427681994512799E-2</v>
      </c>
    </row>
    <row r="53" spans="7:10" x14ac:dyDescent="0.3">
      <c r="G53" s="15"/>
    </row>
    <row r="54" spans="7:10" x14ac:dyDescent="0.3">
      <c r="G54" s="15"/>
    </row>
    <row r="55" spans="7:10" x14ac:dyDescent="0.3">
      <c r="G55" s="15"/>
    </row>
    <row r="56" spans="7:10" x14ac:dyDescent="0.3">
      <c r="G56" s="15"/>
    </row>
    <row r="57" spans="7:10" x14ac:dyDescent="0.3">
      <c r="G57" s="15"/>
    </row>
    <row r="58" spans="7:10" x14ac:dyDescent="0.3">
      <c r="H58" s="16" t="s">
        <v>40</v>
      </c>
      <c r="I58">
        <v>6</v>
      </c>
    </row>
    <row r="59" spans="7:10" x14ac:dyDescent="0.3">
      <c r="G59" s="15" t="s">
        <v>23</v>
      </c>
      <c r="H59" t="s">
        <v>215</v>
      </c>
      <c r="J59">
        <f>_xlfn.POISSON.DIST(5,I58,TRUE)</f>
        <v>0.44567964136461113</v>
      </c>
    </row>
    <row r="60" spans="7:10" x14ac:dyDescent="0.3">
      <c r="G60" s="15" t="s">
        <v>29</v>
      </c>
      <c r="H60" t="s">
        <v>216</v>
      </c>
      <c r="J60">
        <f>_xlfn.POISSON.DIST(5,I58,0)</f>
        <v>0.16062314104798003</v>
      </c>
    </row>
    <row r="61" spans="7:10" x14ac:dyDescent="0.3">
      <c r="G61" s="15" t="s">
        <v>25</v>
      </c>
      <c r="H61" t="s">
        <v>217</v>
      </c>
      <c r="J61">
        <f>1-_xlfn.POISSON.DIST(4,I58,1)</f>
        <v>0.71494349968336879</v>
      </c>
    </row>
    <row r="62" spans="7:10" x14ac:dyDescent="0.3">
      <c r="G62" s="15" t="s">
        <v>27</v>
      </c>
      <c r="H62" t="s">
        <v>218</v>
      </c>
      <c r="J62">
        <f>_xlfn.POISSON.DIST(4,I58,0)+J60</f>
        <v>0.29447575858796338</v>
      </c>
    </row>
    <row r="63" spans="7:10" x14ac:dyDescent="0.3">
      <c r="G63" s="15"/>
    </row>
    <row r="64" spans="7:10" x14ac:dyDescent="0.3">
      <c r="G64" s="15"/>
    </row>
    <row r="65" spans="7:14" x14ac:dyDescent="0.3">
      <c r="G65" s="15"/>
    </row>
    <row r="66" spans="7:14" x14ac:dyDescent="0.3">
      <c r="G66" s="15"/>
    </row>
    <row r="67" spans="7:14" x14ac:dyDescent="0.3">
      <c r="G67" s="15"/>
      <c r="H67" t="s">
        <v>220</v>
      </c>
    </row>
    <row r="68" spans="7:14" x14ac:dyDescent="0.3">
      <c r="G68" s="15"/>
      <c r="H68" t="s">
        <v>221</v>
      </c>
    </row>
    <row r="69" spans="7:14" x14ac:dyDescent="0.3">
      <c r="G69" s="15"/>
      <c r="H69" t="s">
        <v>219</v>
      </c>
    </row>
    <row r="70" spans="7:14" x14ac:dyDescent="0.3">
      <c r="G70" s="15"/>
      <c r="H70" t="s">
        <v>223</v>
      </c>
      <c r="I70" t="s">
        <v>222</v>
      </c>
      <c r="L70" s="2"/>
      <c r="M70">
        <f>_xlfn.POISSON.DIST(3,6,TRUE)</f>
        <v>0.15120388277664787</v>
      </c>
    </row>
    <row r="71" spans="7:14" x14ac:dyDescent="0.3">
      <c r="G71" s="15"/>
      <c r="H71" t="s">
        <v>224</v>
      </c>
    </row>
    <row r="72" spans="7:14" x14ac:dyDescent="0.3">
      <c r="G72" s="15"/>
      <c r="H72" t="s">
        <v>225</v>
      </c>
      <c r="N72">
        <f>100*0.1512</f>
        <v>15.120000000000001</v>
      </c>
    </row>
    <row r="73" spans="7:14" x14ac:dyDescent="0.3">
      <c r="G73" s="15"/>
      <c r="H73" t="s">
        <v>226</v>
      </c>
    </row>
    <row r="74" spans="7:14" x14ac:dyDescent="0.3">
      <c r="H74" t="s">
        <v>227</v>
      </c>
    </row>
    <row r="75" spans="7:14" x14ac:dyDescent="0.3">
      <c r="G75" s="15"/>
    </row>
    <row r="76" spans="7:14" x14ac:dyDescent="0.3">
      <c r="G76" s="15"/>
      <c r="H76" s="15"/>
    </row>
    <row r="77" spans="7:14" x14ac:dyDescent="0.3">
      <c r="G77" s="15"/>
      <c r="H77" s="16" t="s">
        <v>40</v>
      </c>
      <c r="I77">
        <v>3.5</v>
      </c>
    </row>
    <row r="78" spans="7:14" x14ac:dyDescent="0.3">
      <c r="G78" s="15" t="s">
        <v>23</v>
      </c>
      <c r="H78" s="15" t="s">
        <v>190</v>
      </c>
      <c r="I78">
        <f>_xlfn.POISSON.DIST(0,I77,0)</f>
        <v>3.0197383422318501E-2</v>
      </c>
    </row>
    <row r="79" spans="7:14" x14ac:dyDescent="0.3">
      <c r="G79" s="15" t="s">
        <v>29</v>
      </c>
      <c r="H79" s="15" t="s">
        <v>192</v>
      </c>
      <c r="I79">
        <f>_xlfn.POISSON.DIST(1,I77,0)</f>
        <v>0.10569084197811476</v>
      </c>
    </row>
    <row r="80" spans="7:14" x14ac:dyDescent="0.3">
      <c r="G80" s="15" t="s">
        <v>25</v>
      </c>
      <c r="H80" s="15" t="s">
        <v>160</v>
      </c>
      <c r="I80">
        <f>1-_xlfn.POISSON.DIST(1,I77,TRUE)</f>
        <v>0.86411177459956678</v>
      </c>
    </row>
    <row r="81" spans="6:9" x14ac:dyDescent="0.3">
      <c r="G81" s="15" t="s">
        <v>27</v>
      </c>
      <c r="H81" s="15" t="s">
        <v>191</v>
      </c>
      <c r="I81">
        <f>_xlfn.POISSON.DIST(1,I77,1)</f>
        <v>0.13588822540043324</v>
      </c>
    </row>
    <row r="82" spans="6:9" x14ac:dyDescent="0.3">
      <c r="G82" s="15"/>
      <c r="H82" s="15"/>
    </row>
    <row r="83" spans="6:9" x14ac:dyDescent="0.3">
      <c r="G83" s="15"/>
      <c r="H83" s="15"/>
    </row>
    <row r="84" spans="6:9" x14ac:dyDescent="0.3">
      <c r="G84" s="15"/>
      <c r="H84" s="15"/>
    </row>
    <row r="85" spans="6:9" x14ac:dyDescent="0.3">
      <c r="H85" s="15"/>
    </row>
    <row r="86" spans="6:9" x14ac:dyDescent="0.3">
      <c r="H86" s="15"/>
    </row>
    <row r="88" spans="6:9" x14ac:dyDescent="0.3">
      <c r="F88" s="15" t="s">
        <v>23</v>
      </c>
    </row>
    <row r="101" spans="6:11" x14ac:dyDescent="0.3">
      <c r="G101" s="16" t="s">
        <v>40</v>
      </c>
      <c r="H101">
        <v>1.48</v>
      </c>
    </row>
    <row r="102" spans="6:11" x14ac:dyDescent="0.3">
      <c r="F102" s="15" t="s">
        <v>29</v>
      </c>
      <c r="G102" t="s">
        <v>35</v>
      </c>
      <c r="H102">
        <f>_xlfn.POISSON.DIST(0,H101,FALSE)</f>
        <v>0.22763768838381274</v>
      </c>
    </row>
    <row r="103" spans="6:11" x14ac:dyDescent="0.3">
      <c r="F103" s="15" t="s">
        <v>25</v>
      </c>
      <c r="G103" t="s">
        <v>38</v>
      </c>
      <c r="H103">
        <f>_xlfn.POISSON.DIST(2,H101,TRUE)</f>
        <v>0.81385026350980727</v>
      </c>
    </row>
    <row r="104" spans="6:11" x14ac:dyDescent="0.3">
      <c r="F104" s="15" t="s">
        <v>27</v>
      </c>
    </row>
    <row r="110" spans="6:11" ht="15" thickBot="1" x14ac:dyDescent="0.35">
      <c r="G110" s="50" t="s">
        <v>50</v>
      </c>
      <c r="H110" s="50"/>
      <c r="I110" s="2"/>
      <c r="J110" s="50" t="s">
        <v>51</v>
      </c>
      <c r="K110" s="50"/>
    </row>
    <row r="111" spans="6:11" ht="15" thickTop="1" x14ac:dyDescent="0.3">
      <c r="G111" s="16" t="s">
        <v>40</v>
      </c>
      <c r="H111">
        <v>1.48</v>
      </c>
      <c r="J111" s="16" t="s">
        <v>40</v>
      </c>
      <c r="K111">
        <v>1.08</v>
      </c>
    </row>
    <row r="112" spans="6:11" x14ac:dyDescent="0.3">
      <c r="F112" s="15" t="s">
        <v>23</v>
      </c>
      <c r="G112" t="s">
        <v>35</v>
      </c>
      <c r="H112">
        <f>_xlfn.POISSON.DIST(0,H111,FALSE)</f>
        <v>0.22763768838381274</v>
      </c>
      <c r="I112" s="15" t="s">
        <v>23</v>
      </c>
      <c r="J112" t="s">
        <v>35</v>
      </c>
      <c r="K112">
        <f>_xlfn.POISSON.DIST(0,K111,FALSE)</f>
        <v>0.33959552564493911</v>
      </c>
    </row>
    <row r="113" spans="6:11" x14ac:dyDescent="0.3">
      <c r="F113" s="15" t="s">
        <v>29</v>
      </c>
      <c r="G113" t="s">
        <v>38</v>
      </c>
      <c r="H113">
        <f>_xlfn.POISSON.DIST(2,H111,TRUE)</f>
        <v>0.81385026350980727</v>
      </c>
      <c r="I113" s="15" t="s">
        <v>29</v>
      </c>
      <c r="J113" t="s">
        <v>38</v>
      </c>
      <c r="K113">
        <f>_xlfn.POISSON.DIST(2,K111,TRUE)</f>
        <v>0.90441080389760198</v>
      </c>
    </row>
    <row r="114" spans="6:11" x14ac:dyDescent="0.3">
      <c r="F114" s="15" t="s">
        <v>25</v>
      </c>
    </row>
    <row r="120" spans="6:11" x14ac:dyDescent="0.3">
      <c r="F120" s="15" t="s">
        <v>23</v>
      </c>
    </row>
    <row r="131" spans="6:10" x14ac:dyDescent="0.3">
      <c r="G131" s="16" t="s">
        <v>40</v>
      </c>
      <c r="H131">
        <v>0.8</v>
      </c>
    </row>
    <row r="132" spans="6:10" x14ac:dyDescent="0.3">
      <c r="F132" s="15" t="s">
        <v>29</v>
      </c>
      <c r="G132" t="s">
        <v>35</v>
      </c>
      <c r="J132">
        <f>_xlfn.POISSON.DIST(0,H131,FALSE)</f>
        <v>0.44932896411722156</v>
      </c>
    </row>
    <row r="133" spans="6:10" x14ac:dyDescent="0.3">
      <c r="F133" s="15" t="s">
        <v>25</v>
      </c>
      <c r="G133" t="s">
        <v>52</v>
      </c>
      <c r="J133">
        <f>1-_xlfn.POISSON.DIST(2,J132,TRUE)</f>
        <v>1.0836057880113881E-2</v>
      </c>
    </row>
    <row r="134" spans="6:10" x14ac:dyDescent="0.3">
      <c r="F134" s="15" t="s">
        <v>27</v>
      </c>
      <c r="G134" t="s">
        <v>53</v>
      </c>
    </row>
    <row r="135" spans="6:10" x14ac:dyDescent="0.3">
      <c r="G135" t="s">
        <v>54</v>
      </c>
    </row>
    <row r="137" spans="6:10" x14ac:dyDescent="0.3">
      <c r="G137" t="s">
        <v>56</v>
      </c>
      <c r="H137">
        <f>_xlfn.POISSON.DIST(0,H$131,TRUE)</f>
        <v>0.44932896411722156</v>
      </c>
    </row>
    <row r="138" spans="6:10" x14ac:dyDescent="0.3">
      <c r="G138" t="s">
        <v>57</v>
      </c>
      <c r="H138">
        <f>_xlfn.POISSON.DIST(1,H$131,TRUE)</f>
        <v>0.80879213541099892</v>
      </c>
    </row>
    <row r="139" spans="6:10" x14ac:dyDescent="0.3">
      <c r="G139" t="s">
        <v>58</v>
      </c>
      <c r="H139">
        <f>_xlfn.POISSON.DIST(2,H$131,TRUE)</f>
        <v>0.95257740392850976</v>
      </c>
    </row>
    <row r="140" spans="6:10" x14ac:dyDescent="0.3">
      <c r="G140" t="s">
        <v>59</v>
      </c>
      <c r="H140">
        <f>_xlfn.POISSON.DIST(3,H$131,TRUE)</f>
        <v>0.99092014219984603</v>
      </c>
    </row>
    <row r="141" spans="6:10" x14ac:dyDescent="0.3">
      <c r="G141" t="s">
        <v>60</v>
      </c>
      <c r="H141">
        <f>_xlfn.POISSON.DIST(4,H$131,TRUE)</f>
        <v>0.9985886898541132</v>
      </c>
    </row>
    <row r="142" spans="6:10" x14ac:dyDescent="0.3">
      <c r="G142" t="s">
        <v>61</v>
      </c>
      <c r="H142">
        <f>_xlfn.POISSON.DIST(5,H$131,TRUE)</f>
        <v>0.99981565747879597</v>
      </c>
    </row>
    <row r="143" spans="6:10" x14ac:dyDescent="0.3">
      <c r="G143" t="s">
        <v>55</v>
      </c>
      <c r="H143">
        <f>_xlfn.POISSON.DIST(6,H$131,TRUE)</f>
        <v>0.99997925316208702</v>
      </c>
      <c r="I143" t="s">
        <v>62</v>
      </c>
    </row>
  </sheetData>
  <mergeCells count="2">
    <mergeCell ref="G110:H110"/>
    <mergeCell ref="J110:K1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0F99-B724-4B6D-9F3E-F1826B00A631}">
  <sheetPr codeName="Sheet6"/>
  <dimension ref="I4:K50"/>
  <sheetViews>
    <sheetView zoomScale="85" zoomScaleNormal="85" workbookViewId="0">
      <selection activeCell="J4" sqref="J4"/>
    </sheetView>
  </sheetViews>
  <sheetFormatPr defaultRowHeight="14.4" x14ac:dyDescent="0.3"/>
  <cols>
    <col min="10" max="10" width="14" customWidth="1"/>
  </cols>
  <sheetData>
    <row r="4" spans="9:10" x14ac:dyDescent="0.3">
      <c r="J4" s="45" t="s">
        <v>243</v>
      </c>
    </row>
    <row r="5" spans="9:10" x14ac:dyDescent="0.3">
      <c r="I5" s="15" t="s">
        <v>23</v>
      </c>
    </row>
    <row r="6" spans="9:10" x14ac:dyDescent="0.3">
      <c r="I6" s="15" t="s">
        <v>29</v>
      </c>
    </row>
    <row r="7" spans="9:10" x14ac:dyDescent="0.3">
      <c r="I7" s="15"/>
    </row>
    <row r="8" spans="9:10" x14ac:dyDescent="0.3">
      <c r="I8" s="15"/>
    </row>
    <row r="9" spans="9:10" x14ac:dyDescent="0.3">
      <c r="I9" s="15"/>
      <c r="J9" t="s">
        <v>228</v>
      </c>
    </row>
    <row r="10" spans="9:10" x14ac:dyDescent="0.3">
      <c r="I10" s="15"/>
    </row>
    <row r="11" spans="9:10" x14ac:dyDescent="0.3">
      <c r="I11" s="15"/>
    </row>
    <row r="12" spans="9:10" x14ac:dyDescent="0.3">
      <c r="I12" s="15"/>
    </row>
    <row r="13" spans="9:10" x14ac:dyDescent="0.3">
      <c r="I13" s="15"/>
    </row>
    <row r="14" spans="9:10" x14ac:dyDescent="0.3">
      <c r="I14" s="15"/>
    </row>
    <row r="15" spans="9:10" x14ac:dyDescent="0.3">
      <c r="I15" s="15"/>
    </row>
    <row r="16" spans="9:10" x14ac:dyDescent="0.3">
      <c r="I16" s="15"/>
    </row>
    <row r="17" spans="9:11" x14ac:dyDescent="0.3">
      <c r="I17" s="15"/>
    </row>
    <row r="18" spans="9:11" x14ac:dyDescent="0.3">
      <c r="I18" s="15"/>
    </row>
    <row r="19" spans="9:11" x14ac:dyDescent="0.3">
      <c r="I19" s="15"/>
    </row>
    <row r="20" spans="9:11" x14ac:dyDescent="0.3">
      <c r="I20" s="15"/>
    </row>
    <row r="21" spans="9:11" x14ac:dyDescent="0.3">
      <c r="I21" s="15"/>
    </row>
    <row r="22" spans="9:11" x14ac:dyDescent="0.3">
      <c r="I22" s="15"/>
    </row>
    <row r="23" spans="9:11" x14ac:dyDescent="0.3">
      <c r="I23" s="15"/>
    </row>
    <row r="24" spans="9:11" x14ac:dyDescent="0.3">
      <c r="I24" s="15"/>
    </row>
    <row r="25" spans="9:11" x14ac:dyDescent="0.3">
      <c r="I25" s="15"/>
      <c r="J25" s="44" t="s">
        <v>229</v>
      </c>
    </row>
    <row r="26" spans="9:11" x14ac:dyDescent="0.3">
      <c r="I26" s="15" t="s">
        <v>23</v>
      </c>
      <c r="J26" t="s">
        <v>230</v>
      </c>
      <c r="K26">
        <f>(20-0)/(120-0)</f>
        <v>0.16666666666666666</v>
      </c>
    </row>
    <row r="27" spans="9:11" x14ac:dyDescent="0.3">
      <c r="I27" s="15" t="s">
        <v>29</v>
      </c>
      <c r="J27" t="s">
        <v>231</v>
      </c>
      <c r="K27">
        <f>(30-10)/(120-0)</f>
        <v>0.16666666666666666</v>
      </c>
    </row>
    <row r="28" spans="9:11" x14ac:dyDescent="0.3">
      <c r="I28" s="15" t="s">
        <v>25</v>
      </c>
      <c r="J28" t="s">
        <v>232</v>
      </c>
      <c r="K28">
        <f>(35-0)/(120-0)</f>
        <v>0.29166666666666669</v>
      </c>
    </row>
    <row r="29" spans="9:11" x14ac:dyDescent="0.3">
      <c r="I29" s="15" t="s">
        <v>27</v>
      </c>
      <c r="J29" s="42" t="s">
        <v>235</v>
      </c>
      <c r="K29">
        <f>(0+120)/2</f>
        <v>60</v>
      </c>
    </row>
    <row r="30" spans="9:11" ht="16.8" x14ac:dyDescent="0.3">
      <c r="I30" s="15"/>
      <c r="J30" s="42" t="s">
        <v>233</v>
      </c>
      <c r="K30">
        <f>(120-0)^2/12</f>
        <v>1200</v>
      </c>
    </row>
    <row r="31" spans="9:11" x14ac:dyDescent="0.3">
      <c r="I31" s="15"/>
      <c r="J31" t="s">
        <v>234</v>
      </c>
      <c r="K31">
        <f>SQRT(K30)</f>
        <v>34.641016151377549</v>
      </c>
    </row>
    <row r="32" spans="9:11" x14ac:dyDescent="0.3">
      <c r="I32" s="15"/>
    </row>
    <row r="33" spans="9:11" x14ac:dyDescent="0.3">
      <c r="I33" s="15"/>
    </row>
    <row r="40" spans="9:11" x14ac:dyDescent="0.3">
      <c r="J40" t="s">
        <v>236</v>
      </c>
      <c r="K40">
        <v>0</v>
      </c>
    </row>
    <row r="41" spans="9:11" x14ac:dyDescent="0.3">
      <c r="J41" t="s">
        <v>237</v>
      </c>
      <c r="K41">
        <v>100</v>
      </c>
    </row>
    <row r="42" spans="9:11" x14ac:dyDescent="0.3">
      <c r="J42" t="s">
        <v>238</v>
      </c>
      <c r="K42">
        <v>3.5</v>
      </c>
    </row>
    <row r="43" spans="9:11" x14ac:dyDescent="0.3">
      <c r="J43" t="s">
        <v>239</v>
      </c>
      <c r="K43">
        <v>5.5</v>
      </c>
    </row>
    <row r="45" spans="9:11" x14ac:dyDescent="0.3">
      <c r="I45" s="15" t="s">
        <v>23</v>
      </c>
      <c r="J45" t="s">
        <v>240</v>
      </c>
      <c r="K45">
        <f>(4.5-3.5)/(K41-K40)</f>
        <v>0.01</v>
      </c>
    </row>
    <row r="46" spans="9:11" x14ac:dyDescent="0.3">
      <c r="I46" s="15" t="s">
        <v>29</v>
      </c>
      <c r="J46" t="s">
        <v>241</v>
      </c>
      <c r="K46">
        <f>(5.5-4)/(K41-K40)</f>
        <v>1.4999999999999999E-2</v>
      </c>
    </row>
    <row r="47" spans="9:11" x14ac:dyDescent="0.3">
      <c r="I47" s="15" t="s">
        <v>25</v>
      </c>
      <c r="J47" t="s">
        <v>242</v>
      </c>
      <c r="K47">
        <f>(4.5-4)/(K41-K40)</f>
        <v>5.0000000000000001E-3</v>
      </c>
    </row>
    <row r="48" spans="9:11" x14ac:dyDescent="0.3">
      <c r="I48" s="15" t="s">
        <v>27</v>
      </c>
      <c r="J48" s="42" t="s">
        <v>235</v>
      </c>
      <c r="K48">
        <f>(0+100)/2</f>
        <v>50</v>
      </c>
    </row>
    <row r="49" spans="9:11" ht="16.8" x14ac:dyDescent="0.3">
      <c r="I49" s="15"/>
      <c r="J49" s="42" t="s">
        <v>233</v>
      </c>
      <c r="K49">
        <f>(100-0)^2/12</f>
        <v>833.33333333333337</v>
      </c>
    </row>
    <row r="50" spans="9:11" x14ac:dyDescent="0.3">
      <c r="J50" t="s">
        <v>234</v>
      </c>
      <c r="K50">
        <f>SQRT(K49)</f>
        <v>28.867513459481287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Status</vt:lpstr>
      <vt:lpstr>Problems 5.2, 5.6 &amp; 5.7</vt:lpstr>
      <vt:lpstr>Problems 5.13, 5.14 &amp; 5.16</vt:lpstr>
      <vt:lpstr>HypergeometricDist</vt:lpstr>
      <vt:lpstr>Problems 5.20, 5.22, 5.23, 5.26</vt:lpstr>
      <vt:lpstr>6.17, 6.24 &amp; 6.26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Susan L</dc:creator>
  <cp:lastModifiedBy>DELL</cp:lastModifiedBy>
  <dcterms:created xsi:type="dcterms:W3CDTF">2021-12-17T20:59:30Z</dcterms:created>
  <dcterms:modified xsi:type="dcterms:W3CDTF">2022-12-28T09:11:26Z</dcterms:modified>
</cp:coreProperties>
</file>