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ty\Dropbox\Documents\ecu\year_1\sem_1\CSG1132_communicating_in_an_it_environment\0c_assignment_2\dev\rstudio\"/>
    </mc:Choice>
  </mc:AlternateContent>
  <bookViews>
    <workbookView xWindow="0" yWindow="0" windowWidth="17475" windowHeight="12150"/>
  </bookViews>
  <sheets>
    <sheet name="MASTER" sheetId="1" r:id="rId1"/>
    <sheet name="FB FRIENDS" sheetId="3" r:id="rId2"/>
    <sheet name="FB LOGINS" sheetId="2" r:id="rId3"/>
    <sheet name="FB HOURS" sheetId="6" r:id="rId4"/>
    <sheet name="CLOSE FRIENDS" sheetId="4" r:id="rId5"/>
    <sheet name="SOCIABILITY" sheetId="5" r:id="rId6"/>
  </sheets>
  <externalReferences>
    <externalReference r:id="rId7"/>
  </externalReferences>
  <calcPr calcId="152511"/>
</workbook>
</file>

<file path=xl/calcChain.xml><?xml version="1.0" encoding="utf-8"?>
<calcChain xmlns="http://schemas.openxmlformats.org/spreadsheetml/2006/main">
  <c r="AB3" i="3" l="1"/>
  <c r="AC3" i="3"/>
  <c r="AB4" i="3"/>
  <c r="AC4" i="3"/>
  <c r="AB12" i="3" s="1"/>
  <c r="AB13" i="3" s="1"/>
  <c r="AB16" i="3" s="1"/>
  <c r="P5" i="3"/>
  <c r="Q5" i="3"/>
  <c r="R5" i="3"/>
  <c r="S5" i="3"/>
  <c r="AB5" i="3"/>
  <c r="AC5" i="3"/>
  <c r="P6" i="3"/>
  <c r="Q6" i="3"/>
  <c r="R6" i="3"/>
  <c r="S6" i="3"/>
  <c r="U14" i="3"/>
  <c r="T16" i="3"/>
  <c r="X16" i="3" s="1"/>
  <c r="T17" i="3"/>
  <c r="X17" i="3" s="1"/>
  <c r="L7" i="3"/>
  <c r="D7" i="3" a="1"/>
  <c r="D7" i="3" s="1"/>
  <c r="E7" i="3" s="1"/>
  <c r="L6" i="3"/>
  <c r="D6" i="3"/>
  <c r="C6" i="3"/>
  <c r="B6" i="3"/>
  <c r="B7" i="3" s="1"/>
  <c r="G7" i="3" s="1"/>
  <c r="A6" i="3"/>
  <c r="D5" i="3"/>
  <c r="C5" i="3"/>
  <c r="B5" i="3"/>
  <c r="A5" i="3"/>
  <c r="M4" i="3"/>
  <c r="L4" i="3"/>
  <c r="M3" i="3"/>
  <c r="L3" i="3"/>
  <c r="K17" i="2"/>
  <c r="O17" i="2" s="1"/>
  <c r="K16" i="2"/>
  <c r="O16" i="2" s="1"/>
  <c r="L14" i="2"/>
  <c r="J6" i="2"/>
  <c r="I6" i="2"/>
  <c r="H6" i="2"/>
  <c r="G6" i="2"/>
  <c r="T5" i="2"/>
  <c r="S5" i="2"/>
  <c r="J5" i="2"/>
  <c r="I5" i="2"/>
  <c r="H5" i="2"/>
  <c r="J11" i="2" s="1"/>
  <c r="G5" i="2"/>
  <c r="T4" i="2"/>
  <c r="S4" i="2"/>
  <c r="T3" i="2"/>
  <c r="S3" i="2"/>
  <c r="B7" i="2"/>
  <c r="B14" i="2" s="1"/>
  <c r="B6" i="2"/>
  <c r="C4" i="2"/>
  <c r="B4" i="2"/>
  <c r="C3" i="2"/>
  <c r="B3" i="2"/>
  <c r="AB6" i="3"/>
  <c r="AC6" i="3"/>
  <c r="L22" i="3"/>
  <c r="M22" i="3"/>
  <c r="L10" i="3"/>
  <c r="T6" i="2"/>
  <c r="S6" i="2"/>
  <c r="B22" i="2"/>
  <c r="C22" i="2"/>
  <c r="B10" i="2"/>
  <c r="Q16" i="3" l="1"/>
  <c r="S7" i="3"/>
  <c r="Q11" i="3" s="1"/>
  <c r="Q12" i="3" s="1"/>
  <c r="S16" i="3"/>
  <c r="S17" i="3" s="1"/>
  <c r="U17" i="3" s="1"/>
  <c r="W17" i="3" s="1"/>
  <c r="AC7" i="3"/>
  <c r="AB7" i="3"/>
  <c r="AB11" i="3" s="1"/>
  <c r="AB14" i="3" s="1"/>
  <c r="Q17" i="3"/>
  <c r="R16" i="3"/>
  <c r="V17" i="3"/>
  <c r="J7" i="2"/>
  <c r="H11" i="2" s="1"/>
  <c r="H12" i="2" s="1"/>
  <c r="U16" i="3"/>
  <c r="S11" i="3"/>
  <c r="S12" i="2"/>
  <c r="R11" i="3"/>
  <c r="AC16" i="3"/>
  <c r="C7" i="3"/>
  <c r="M23" i="3"/>
  <c r="L23" i="3"/>
  <c r="C11" i="3"/>
  <c r="C12" i="3"/>
  <c r="E12" i="3" s="1"/>
  <c r="F7" i="3"/>
  <c r="H7" i="3"/>
  <c r="H16" i="2"/>
  <c r="H17" i="2" s="1"/>
  <c r="L14" i="3"/>
  <c r="S7" i="2"/>
  <c r="S11" i="2" s="1"/>
  <c r="T7" i="2"/>
  <c r="J12" i="2"/>
  <c r="L12" i="2" s="1"/>
  <c r="M12" i="2" s="1"/>
  <c r="L11" i="2"/>
  <c r="J16" i="2"/>
  <c r="I11" i="2"/>
  <c r="C23" i="2"/>
  <c r="B23" i="2"/>
  <c r="B15" i="2"/>
  <c r="C18" i="2" s="1"/>
  <c r="D12" i="3" l="1"/>
  <c r="K7" i="2"/>
  <c r="T7" i="3"/>
  <c r="U11" i="3"/>
  <c r="S12" i="3"/>
  <c r="U12" i="3" s="1"/>
  <c r="S13" i="2"/>
  <c r="T16" i="2" s="1"/>
  <c r="Y16" i="3"/>
  <c r="Y17" i="3" s="1"/>
  <c r="R17" i="3"/>
  <c r="AB17" i="3"/>
  <c r="AB15" i="3"/>
  <c r="Y11" i="3"/>
  <c r="Y12" i="3" s="1"/>
  <c r="R12" i="3"/>
  <c r="T12" i="3" s="1"/>
  <c r="X12" i="3" s="1"/>
  <c r="T11" i="3"/>
  <c r="X11" i="3" s="1"/>
  <c r="L15" i="3"/>
  <c r="L18" i="3" s="1"/>
  <c r="M18" i="3"/>
  <c r="I16" i="2"/>
  <c r="P16" i="2" s="1"/>
  <c r="P17" i="2" s="1"/>
  <c r="B12" i="3"/>
  <c r="F12" i="3" s="1"/>
  <c r="B11" i="3"/>
  <c r="F11" i="3" s="1"/>
  <c r="I7" i="3"/>
  <c r="L16" i="3"/>
  <c r="L16" i="2"/>
  <c r="J17" i="2"/>
  <c r="L17" i="2" s="1"/>
  <c r="I17" i="2"/>
  <c r="N12" i="2"/>
  <c r="P11" i="2"/>
  <c r="P12" i="2" s="1"/>
  <c r="I12" i="2"/>
  <c r="K12" i="2" s="1"/>
  <c r="O12" i="2" s="1"/>
  <c r="K11" i="2"/>
  <c r="O11" i="2" s="1"/>
  <c r="B18" i="2"/>
  <c r="B16" i="2"/>
  <c r="S14" i="2" l="1"/>
  <c r="AC17" i="3"/>
  <c r="W12" i="3"/>
  <c r="V12" i="3"/>
  <c r="S16" i="2"/>
  <c r="L19" i="3"/>
  <c r="L17" i="3"/>
  <c r="L8" i="3"/>
  <c r="L9" i="3" s="1"/>
  <c r="S17" i="2"/>
  <c r="S15" i="2"/>
  <c r="M17" i="2"/>
  <c r="N17" i="2"/>
  <c r="B8" i="2"/>
  <c r="B9" i="2" s="1"/>
  <c r="B17" i="2"/>
  <c r="B19" i="2"/>
  <c r="M19" i="3" l="1"/>
  <c r="M20" i="3" s="1"/>
  <c r="L20" i="3"/>
  <c r="S18" i="2"/>
  <c r="T17" i="2"/>
  <c r="T18" i="2" s="1"/>
  <c r="C19" i="2"/>
  <c r="C20" i="2" s="1"/>
  <c r="B20" i="2"/>
</calcChain>
</file>

<file path=xl/sharedStrings.xml><?xml version="1.0" encoding="utf-8"?>
<sst xmlns="http://schemas.openxmlformats.org/spreadsheetml/2006/main" count="176" uniqueCount="59">
  <si>
    <t>Age</t>
  </si>
  <si>
    <t>Gender</t>
  </si>
  <si>
    <t>FB_Logins</t>
  </si>
  <si>
    <t>Hours</t>
  </si>
  <si>
    <t>FB_friends</t>
  </si>
  <si>
    <t>Close_friends</t>
  </si>
  <si>
    <t>Sociability</t>
  </si>
  <si>
    <t>Extraversion</t>
  </si>
  <si>
    <t>Self_esteem</t>
  </si>
  <si>
    <t>Social_anxiety</t>
  </si>
  <si>
    <t>T Test: Two Independent Samples</t>
  </si>
  <si>
    <t>SUMMARY</t>
  </si>
  <si>
    <t>Hyp Mean Diff</t>
  </si>
  <si>
    <t>Groups</t>
  </si>
  <si>
    <t>Count</t>
  </si>
  <si>
    <t>Mean</t>
  </si>
  <si>
    <t>Variance</t>
  </si>
  <si>
    <t>Cohen d</t>
  </si>
  <si>
    <t>Pooled</t>
  </si>
  <si>
    <t>T TEST: Equal Variances</t>
  </si>
  <si>
    <t>Alpha</t>
  </si>
  <si>
    <t xml:space="preserve"> </t>
  </si>
  <si>
    <t>std err</t>
  </si>
  <si>
    <t>t-stat</t>
  </si>
  <si>
    <t>df</t>
  </si>
  <si>
    <t>p-value</t>
  </si>
  <si>
    <t>t-crit</t>
  </si>
  <si>
    <t>lower</t>
  </si>
  <si>
    <t>upper</t>
  </si>
  <si>
    <t>sig</t>
  </si>
  <si>
    <t>effect r</t>
  </si>
  <si>
    <t>One Tail</t>
  </si>
  <si>
    <t>Two Tail</t>
  </si>
  <si>
    <t>T TEST: Unequal Variances</t>
  </si>
  <si>
    <t>Mann-Whitney Test for Two Independent Samples</t>
  </si>
  <si>
    <t>count</t>
  </si>
  <si>
    <t>median</t>
  </si>
  <si>
    <t>rank sum</t>
  </si>
  <si>
    <t>U</t>
  </si>
  <si>
    <t>one tail</t>
  </si>
  <si>
    <t>two tail</t>
  </si>
  <si>
    <t>alpha</t>
  </si>
  <si>
    <t>mean</t>
  </si>
  <si>
    <t>std dev</t>
  </si>
  <si>
    <t>z-score</t>
  </si>
  <si>
    <t>U-crit</t>
  </si>
  <si>
    <t>Wilcoxon Signed-Rank Test for Paired Samples</t>
  </si>
  <si>
    <t># unequal</t>
  </si>
  <si>
    <t>T+</t>
  </si>
  <si>
    <t>T-</t>
  </si>
  <si>
    <t>T</t>
  </si>
  <si>
    <t>T-crit</t>
  </si>
  <si>
    <t>T Test: Two Paired Samples</t>
  </si>
  <si>
    <t>Std Dev</t>
  </si>
  <si>
    <t>Std Err</t>
  </si>
  <si>
    <t>t</t>
  </si>
  <si>
    <t>Effect r</t>
  </si>
  <si>
    <t>Difference</t>
  </si>
  <si>
    <t>T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</si>
</sst>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18" fillId="0" borderId="10" xfId="0" applyFont="1" applyBorder="1" applyAlignment="1">
      <alignment horizontal="center"/>
    </xf>
    <xf numFmtId="0" fontId="0" fillId="0" borderId="11" xfId="0" applyBorder="1"/>
    <xf numFmtId="0" fontId="0" fillId="0" borderId="0" xfId="0" applyAlignment="1">
      <alignment horizontal="center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0" xfId="0" applyAlignment="1">
      <alignment horizontal="right"/>
    </xf>
    <xf numFmtId="0" fontId="0" fillId="0" borderId="18" xfId="0" applyBorder="1"/>
    <xf numFmtId="0" fontId="0" fillId="0" borderId="19" xfId="0" applyBorder="1"/>
    <xf numFmtId="0" fontId="0" fillId="0" borderId="20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21" xfId="0" applyBorder="1"/>
    <xf numFmtId="0" fontId="0" fillId="0" borderId="22" xfId="0" applyBorder="1"/>
    <xf numFmtId="0" fontId="0" fillId="0" borderId="2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rty/AppData/Roaming/Microsoft/AddIns/RealStats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ilcoxon Table"/>
      <sheetName val="Mann Table"/>
      <sheetName val="RSign Table"/>
      <sheetName val="Runs Table"/>
      <sheetName val="KS Table"/>
      <sheetName val="SW Table"/>
      <sheetName val="Stud. Q Table"/>
      <sheetName val="Stud. Q Table 2"/>
      <sheetName val="Sp Rho Table"/>
      <sheetName val="Ken Tau Table"/>
    </sheetNames>
    <definedNames>
      <definedName name="RANK_SUM"/>
      <definedName name="SRankCRIT"/>
      <definedName name="SRankPair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tabSelected="1" workbookViewId="0">
      <pane ySplit="1" topLeftCell="A2" activePane="bottomLeft" state="frozen"/>
      <selection pane="bottomLeft" activeCell="H10" sqref="H10"/>
    </sheetView>
  </sheetViews>
  <sheetFormatPr defaultRowHeight="15" x14ac:dyDescent="0.25"/>
  <cols>
    <col min="1" max="1" width="4.42578125" bestFit="1" customWidth="1"/>
    <col min="2" max="2" width="7.5703125" bestFit="1" customWidth="1"/>
    <col min="3" max="3" width="9.7109375" bestFit="1" customWidth="1"/>
    <col min="4" max="4" width="6.140625" bestFit="1" customWidth="1"/>
    <col min="5" max="5" width="10.42578125" bestFit="1" customWidth="1"/>
    <col min="6" max="6" width="13.28515625" bestFit="1" customWidth="1"/>
    <col min="7" max="7" width="10.140625" bestFit="1" customWidth="1"/>
    <col min="8" max="8" width="12" bestFit="1" customWidth="1"/>
    <col min="9" max="9" width="12.140625" bestFit="1" customWidth="1"/>
    <col min="10" max="10" width="13.85546875" bestFit="1" customWidth="1"/>
    <col min="28" max="28" width="11" bestFit="1" customWidth="1"/>
    <col min="30" max="30" width="13.140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26</v>
      </c>
      <c r="B2">
        <v>1</v>
      </c>
      <c r="C2">
        <v>13</v>
      </c>
      <c r="D2">
        <v>15</v>
      </c>
      <c r="E2">
        <v>186</v>
      </c>
      <c r="F2">
        <v>9</v>
      </c>
      <c r="G2">
        <v>2</v>
      </c>
      <c r="H2">
        <v>12</v>
      </c>
      <c r="I2">
        <v>14</v>
      </c>
      <c r="J2">
        <v>55</v>
      </c>
    </row>
    <row r="3" spans="1:10" x14ac:dyDescent="0.25">
      <c r="A3">
        <v>18</v>
      </c>
      <c r="B3">
        <v>1</v>
      </c>
      <c r="C3">
        <v>13</v>
      </c>
      <c r="D3">
        <v>5</v>
      </c>
      <c r="E3">
        <v>188</v>
      </c>
      <c r="F3">
        <v>11</v>
      </c>
      <c r="G3">
        <v>3</v>
      </c>
      <c r="H3">
        <v>12</v>
      </c>
      <c r="I3">
        <v>22</v>
      </c>
      <c r="J3">
        <v>10</v>
      </c>
    </row>
    <row r="4" spans="1:10" x14ac:dyDescent="0.25">
      <c r="A4">
        <v>20</v>
      </c>
      <c r="B4">
        <v>1</v>
      </c>
      <c r="C4">
        <v>5</v>
      </c>
      <c r="D4">
        <v>19</v>
      </c>
      <c r="E4">
        <v>129</v>
      </c>
      <c r="F4">
        <v>23</v>
      </c>
      <c r="G4">
        <v>4</v>
      </c>
      <c r="H4">
        <v>10</v>
      </c>
      <c r="I4">
        <v>12</v>
      </c>
      <c r="J4">
        <v>60</v>
      </c>
    </row>
    <row r="5" spans="1:10" x14ac:dyDescent="0.25">
      <c r="A5">
        <v>20</v>
      </c>
      <c r="B5">
        <v>1</v>
      </c>
      <c r="C5">
        <v>19</v>
      </c>
      <c r="D5">
        <v>31</v>
      </c>
      <c r="E5">
        <v>384</v>
      </c>
      <c r="F5">
        <v>18</v>
      </c>
      <c r="G5">
        <v>4</v>
      </c>
      <c r="H5">
        <v>17</v>
      </c>
      <c r="I5">
        <v>9</v>
      </c>
      <c r="J5">
        <v>65</v>
      </c>
    </row>
    <row r="6" spans="1:10" x14ac:dyDescent="0.25">
      <c r="A6">
        <v>21</v>
      </c>
      <c r="B6">
        <v>1</v>
      </c>
      <c r="C6">
        <v>24</v>
      </c>
      <c r="D6">
        <v>25</v>
      </c>
      <c r="E6">
        <v>607</v>
      </c>
      <c r="F6">
        <v>53</v>
      </c>
      <c r="G6">
        <v>4</v>
      </c>
      <c r="H6">
        <v>22</v>
      </c>
      <c r="I6">
        <v>11</v>
      </c>
      <c r="J6">
        <v>65</v>
      </c>
    </row>
    <row r="7" spans="1:10" x14ac:dyDescent="0.25">
      <c r="A7">
        <v>19</v>
      </c>
      <c r="B7">
        <v>0</v>
      </c>
      <c r="C7">
        <v>29</v>
      </c>
      <c r="D7">
        <v>31</v>
      </c>
      <c r="E7">
        <v>798</v>
      </c>
      <c r="F7">
        <v>33</v>
      </c>
      <c r="G7">
        <v>5</v>
      </c>
      <c r="H7">
        <v>23</v>
      </c>
      <c r="I7">
        <v>9</v>
      </c>
      <c r="J7">
        <v>70</v>
      </c>
    </row>
    <row r="8" spans="1:10" x14ac:dyDescent="0.25">
      <c r="A8">
        <v>20</v>
      </c>
      <c r="B8">
        <v>0</v>
      </c>
      <c r="C8">
        <v>22</v>
      </c>
      <c r="D8">
        <v>26</v>
      </c>
      <c r="E8">
        <v>269</v>
      </c>
      <c r="F8">
        <v>10</v>
      </c>
      <c r="G8">
        <v>2</v>
      </c>
      <c r="H8">
        <v>11</v>
      </c>
      <c r="I8">
        <v>9</v>
      </c>
      <c r="J8">
        <v>67</v>
      </c>
    </row>
    <row r="9" spans="1:10" x14ac:dyDescent="0.25">
      <c r="A9">
        <v>18</v>
      </c>
      <c r="B9">
        <v>1</v>
      </c>
      <c r="C9">
        <v>9</v>
      </c>
      <c r="D9">
        <v>5</v>
      </c>
      <c r="E9">
        <v>298</v>
      </c>
      <c r="F9">
        <v>13</v>
      </c>
      <c r="G9">
        <v>3</v>
      </c>
      <c r="H9">
        <v>13</v>
      </c>
      <c r="I9">
        <v>18</v>
      </c>
      <c r="J9">
        <v>12</v>
      </c>
    </row>
    <row r="10" spans="1:10" x14ac:dyDescent="0.25">
      <c r="A10">
        <v>17</v>
      </c>
      <c r="B10">
        <v>1</v>
      </c>
      <c r="C10">
        <v>14</v>
      </c>
      <c r="D10">
        <v>21</v>
      </c>
      <c r="E10">
        <v>72</v>
      </c>
      <c r="F10">
        <v>23</v>
      </c>
      <c r="G10">
        <v>4</v>
      </c>
      <c r="H10">
        <v>5</v>
      </c>
      <c r="I10">
        <v>11</v>
      </c>
      <c r="J10">
        <v>58</v>
      </c>
    </row>
    <row r="11" spans="1:10" x14ac:dyDescent="0.25">
      <c r="A11">
        <v>27</v>
      </c>
      <c r="B11">
        <v>1</v>
      </c>
      <c r="C11">
        <v>2</v>
      </c>
      <c r="D11">
        <v>2</v>
      </c>
      <c r="E11">
        <v>281</v>
      </c>
      <c r="F11">
        <v>26</v>
      </c>
      <c r="G11">
        <v>4</v>
      </c>
      <c r="H11">
        <v>12</v>
      </c>
      <c r="I11">
        <v>22</v>
      </c>
      <c r="J11">
        <v>3</v>
      </c>
    </row>
    <row r="12" spans="1:10" x14ac:dyDescent="0.25">
      <c r="A12">
        <v>27</v>
      </c>
      <c r="B12">
        <v>1</v>
      </c>
      <c r="C12">
        <v>1</v>
      </c>
      <c r="D12">
        <v>2</v>
      </c>
      <c r="E12">
        <v>342</v>
      </c>
      <c r="F12">
        <v>23</v>
      </c>
      <c r="G12">
        <v>5</v>
      </c>
      <c r="H12">
        <v>13</v>
      </c>
      <c r="I12">
        <v>19</v>
      </c>
      <c r="J12">
        <v>5</v>
      </c>
    </row>
    <row r="13" spans="1:10" x14ac:dyDescent="0.25">
      <c r="A13">
        <v>18</v>
      </c>
      <c r="B13">
        <v>1</v>
      </c>
      <c r="C13">
        <v>13</v>
      </c>
      <c r="D13">
        <v>8</v>
      </c>
      <c r="E13">
        <v>366</v>
      </c>
      <c r="F13">
        <v>23</v>
      </c>
      <c r="G13">
        <v>4</v>
      </c>
      <c r="H13">
        <v>12</v>
      </c>
      <c r="I13">
        <v>16</v>
      </c>
      <c r="J13">
        <v>8</v>
      </c>
    </row>
    <row r="14" spans="1:10" x14ac:dyDescent="0.25">
      <c r="A14">
        <v>19</v>
      </c>
      <c r="B14">
        <v>1</v>
      </c>
      <c r="C14">
        <v>6</v>
      </c>
      <c r="D14">
        <v>4</v>
      </c>
      <c r="E14">
        <v>303</v>
      </c>
      <c r="F14">
        <v>33</v>
      </c>
      <c r="G14">
        <v>4</v>
      </c>
      <c r="H14">
        <v>13</v>
      </c>
      <c r="I14">
        <v>18</v>
      </c>
      <c r="J14">
        <v>3</v>
      </c>
    </row>
    <row r="15" spans="1:10" x14ac:dyDescent="0.25">
      <c r="A15">
        <v>17</v>
      </c>
      <c r="B15">
        <v>1</v>
      </c>
      <c r="C15">
        <v>1</v>
      </c>
      <c r="D15">
        <v>3</v>
      </c>
      <c r="E15">
        <v>125</v>
      </c>
      <c r="F15">
        <v>23</v>
      </c>
      <c r="G15">
        <v>3</v>
      </c>
      <c r="H15">
        <v>9</v>
      </c>
      <c r="I15">
        <v>19</v>
      </c>
      <c r="J15">
        <v>4</v>
      </c>
    </row>
    <row r="16" spans="1:10" x14ac:dyDescent="0.25">
      <c r="A16">
        <v>19</v>
      </c>
      <c r="B16">
        <v>1</v>
      </c>
      <c r="C16">
        <v>15</v>
      </c>
      <c r="D16">
        <v>15</v>
      </c>
      <c r="E16">
        <v>500</v>
      </c>
      <c r="F16">
        <v>6</v>
      </c>
      <c r="G16">
        <v>3</v>
      </c>
      <c r="H16">
        <v>18</v>
      </c>
      <c r="I16">
        <v>14</v>
      </c>
      <c r="J16">
        <v>57</v>
      </c>
    </row>
    <row r="17" spans="1:10" x14ac:dyDescent="0.25">
      <c r="A17">
        <v>19</v>
      </c>
      <c r="B17">
        <v>1</v>
      </c>
      <c r="C17">
        <v>6</v>
      </c>
      <c r="D17">
        <v>29</v>
      </c>
      <c r="E17">
        <v>557</v>
      </c>
      <c r="F17">
        <v>7</v>
      </c>
      <c r="G17">
        <v>3</v>
      </c>
      <c r="H17">
        <v>20</v>
      </c>
      <c r="I17">
        <v>11</v>
      </c>
      <c r="J17">
        <v>63</v>
      </c>
    </row>
    <row r="18" spans="1:10" x14ac:dyDescent="0.25">
      <c r="A18">
        <v>17</v>
      </c>
      <c r="B18">
        <v>1</v>
      </c>
      <c r="C18">
        <v>29</v>
      </c>
      <c r="D18">
        <v>8</v>
      </c>
      <c r="E18">
        <v>648</v>
      </c>
      <c r="F18">
        <v>9</v>
      </c>
      <c r="G18">
        <v>4</v>
      </c>
      <c r="H18">
        <v>18</v>
      </c>
      <c r="I18">
        <v>17</v>
      </c>
      <c r="J18">
        <v>15</v>
      </c>
    </row>
    <row r="19" spans="1:10" x14ac:dyDescent="0.25">
      <c r="A19">
        <v>18</v>
      </c>
      <c r="B19">
        <v>1</v>
      </c>
      <c r="C19">
        <v>6</v>
      </c>
      <c r="D19">
        <v>8</v>
      </c>
      <c r="E19">
        <v>288</v>
      </c>
      <c r="F19">
        <v>23</v>
      </c>
      <c r="G19">
        <v>5</v>
      </c>
      <c r="H19">
        <v>10</v>
      </c>
      <c r="I19">
        <v>16</v>
      </c>
      <c r="J19">
        <v>12</v>
      </c>
    </row>
    <row r="20" spans="1:10" x14ac:dyDescent="0.25">
      <c r="A20">
        <v>18</v>
      </c>
      <c r="B20">
        <v>1</v>
      </c>
      <c r="C20">
        <v>3</v>
      </c>
      <c r="D20">
        <v>7</v>
      </c>
      <c r="E20">
        <v>33</v>
      </c>
      <c r="F20">
        <v>15</v>
      </c>
      <c r="G20">
        <v>2</v>
      </c>
      <c r="H20">
        <v>7</v>
      </c>
      <c r="I20">
        <v>21</v>
      </c>
      <c r="J20">
        <v>5</v>
      </c>
    </row>
    <row r="21" spans="1:10" x14ac:dyDescent="0.25">
      <c r="A21">
        <v>19</v>
      </c>
      <c r="B21">
        <v>1</v>
      </c>
      <c r="C21">
        <v>1</v>
      </c>
      <c r="D21">
        <v>2</v>
      </c>
      <c r="E21">
        <v>86</v>
      </c>
      <c r="F21">
        <v>23</v>
      </c>
      <c r="G21">
        <v>3</v>
      </c>
      <c r="H21">
        <v>9</v>
      </c>
      <c r="I21">
        <v>19</v>
      </c>
      <c r="J21">
        <v>2</v>
      </c>
    </row>
    <row r="22" spans="1:10" x14ac:dyDescent="0.25">
      <c r="A22">
        <v>19</v>
      </c>
      <c r="B22">
        <v>1</v>
      </c>
      <c r="C22">
        <v>9</v>
      </c>
      <c r="D22">
        <v>11</v>
      </c>
      <c r="E22">
        <v>522</v>
      </c>
      <c r="F22">
        <v>25</v>
      </c>
      <c r="G22">
        <v>4</v>
      </c>
      <c r="H22">
        <v>17</v>
      </c>
      <c r="I22">
        <v>17</v>
      </c>
      <c r="J22">
        <v>12</v>
      </c>
    </row>
    <row r="23" spans="1:10" x14ac:dyDescent="0.25">
      <c r="A23">
        <v>18</v>
      </c>
      <c r="B23">
        <v>1</v>
      </c>
      <c r="C23">
        <v>9</v>
      </c>
      <c r="D23">
        <v>6</v>
      </c>
      <c r="E23">
        <v>209</v>
      </c>
      <c r="F23">
        <v>23</v>
      </c>
      <c r="G23">
        <v>4</v>
      </c>
      <c r="H23">
        <v>13</v>
      </c>
      <c r="I23">
        <v>20</v>
      </c>
      <c r="J23">
        <v>5</v>
      </c>
    </row>
    <row r="24" spans="1:10" x14ac:dyDescent="0.25">
      <c r="A24">
        <v>17</v>
      </c>
      <c r="B24">
        <v>1</v>
      </c>
      <c r="C24">
        <v>13</v>
      </c>
      <c r="D24">
        <v>8</v>
      </c>
      <c r="E24">
        <v>523</v>
      </c>
      <c r="F24">
        <v>13</v>
      </c>
      <c r="G24">
        <v>2</v>
      </c>
      <c r="H24">
        <v>18</v>
      </c>
      <c r="I24">
        <v>18</v>
      </c>
      <c r="J24">
        <v>7</v>
      </c>
    </row>
    <row r="25" spans="1:10" x14ac:dyDescent="0.25">
      <c r="A25">
        <v>18</v>
      </c>
      <c r="B25">
        <v>1</v>
      </c>
      <c r="C25">
        <v>9</v>
      </c>
      <c r="D25">
        <v>3</v>
      </c>
      <c r="E25">
        <v>162</v>
      </c>
      <c r="F25">
        <v>10</v>
      </c>
      <c r="G25">
        <v>3</v>
      </c>
      <c r="H25">
        <v>15</v>
      </c>
      <c r="I25">
        <v>22</v>
      </c>
      <c r="J25">
        <v>10</v>
      </c>
    </row>
    <row r="26" spans="1:10" x14ac:dyDescent="0.25">
      <c r="A26">
        <v>19</v>
      </c>
      <c r="B26">
        <v>1</v>
      </c>
      <c r="C26">
        <v>19</v>
      </c>
      <c r="D26">
        <v>7</v>
      </c>
      <c r="E26">
        <v>440</v>
      </c>
      <c r="F26">
        <v>33</v>
      </c>
      <c r="G26">
        <v>4</v>
      </c>
      <c r="H26">
        <v>9</v>
      </c>
      <c r="I26">
        <v>20</v>
      </c>
      <c r="J26">
        <v>12</v>
      </c>
    </row>
    <row r="27" spans="1:10" x14ac:dyDescent="0.25">
      <c r="A27">
        <v>18</v>
      </c>
      <c r="B27">
        <v>1</v>
      </c>
      <c r="C27">
        <v>6</v>
      </c>
      <c r="D27">
        <v>2</v>
      </c>
      <c r="E27">
        <v>186</v>
      </c>
      <c r="F27">
        <v>11</v>
      </c>
      <c r="G27">
        <v>3</v>
      </c>
      <c r="H27">
        <v>12</v>
      </c>
      <c r="I27">
        <v>23</v>
      </c>
      <c r="J27">
        <v>7</v>
      </c>
    </row>
    <row r="28" spans="1:10" x14ac:dyDescent="0.25">
      <c r="A28">
        <v>21</v>
      </c>
      <c r="B28">
        <v>1</v>
      </c>
      <c r="C28">
        <v>9</v>
      </c>
      <c r="D28">
        <v>5</v>
      </c>
      <c r="E28">
        <v>268</v>
      </c>
      <c r="F28">
        <v>18</v>
      </c>
      <c r="G28">
        <v>3</v>
      </c>
      <c r="H28">
        <v>12</v>
      </c>
      <c r="I28">
        <v>22</v>
      </c>
      <c r="J28">
        <v>4</v>
      </c>
    </row>
    <row r="29" spans="1:10" x14ac:dyDescent="0.25">
      <c r="A29">
        <v>19</v>
      </c>
      <c r="B29">
        <v>1</v>
      </c>
      <c r="C29">
        <v>19</v>
      </c>
      <c r="D29">
        <v>15</v>
      </c>
      <c r="E29">
        <v>298</v>
      </c>
      <c r="F29">
        <v>18</v>
      </c>
      <c r="G29">
        <v>4</v>
      </c>
      <c r="H29">
        <v>14</v>
      </c>
      <c r="I29">
        <v>16</v>
      </c>
      <c r="J29">
        <v>55</v>
      </c>
    </row>
    <row r="30" spans="1:10" x14ac:dyDescent="0.25">
      <c r="A30">
        <v>24</v>
      </c>
      <c r="B30">
        <v>1</v>
      </c>
      <c r="C30">
        <v>34</v>
      </c>
      <c r="D30">
        <v>6</v>
      </c>
      <c r="E30">
        <v>217</v>
      </c>
      <c r="F30">
        <v>12</v>
      </c>
      <c r="G30">
        <v>3</v>
      </c>
      <c r="H30">
        <v>13</v>
      </c>
      <c r="I30">
        <v>22</v>
      </c>
      <c r="J30">
        <v>13</v>
      </c>
    </row>
    <row r="31" spans="1:10" x14ac:dyDescent="0.25">
      <c r="A31">
        <v>17</v>
      </c>
      <c r="B31">
        <v>1</v>
      </c>
      <c r="C31">
        <v>1</v>
      </c>
      <c r="D31">
        <v>25</v>
      </c>
      <c r="E31">
        <v>322</v>
      </c>
      <c r="F31">
        <v>13</v>
      </c>
      <c r="G31">
        <v>4</v>
      </c>
      <c r="H31">
        <v>15</v>
      </c>
      <c r="I31">
        <v>12</v>
      </c>
      <c r="J31">
        <v>60</v>
      </c>
    </row>
    <row r="32" spans="1:10" x14ac:dyDescent="0.25">
      <c r="A32">
        <v>23</v>
      </c>
      <c r="B32">
        <v>1</v>
      </c>
      <c r="C32">
        <v>2</v>
      </c>
      <c r="D32">
        <v>3</v>
      </c>
      <c r="E32">
        <v>218</v>
      </c>
      <c r="F32">
        <v>18</v>
      </c>
      <c r="G32">
        <v>4</v>
      </c>
      <c r="H32">
        <v>12</v>
      </c>
      <c r="I32">
        <v>22</v>
      </c>
      <c r="J32">
        <v>5</v>
      </c>
    </row>
    <row r="33" spans="1:10" x14ac:dyDescent="0.25">
      <c r="A33">
        <v>22</v>
      </c>
      <c r="B33">
        <v>0</v>
      </c>
      <c r="C33">
        <v>3</v>
      </c>
      <c r="D33">
        <v>3</v>
      </c>
      <c r="E33">
        <v>448</v>
      </c>
      <c r="F33">
        <v>33</v>
      </c>
      <c r="G33">
        <v>4</v>
      </c>
      <c r="H33">
        <v>19</v>
      </c>
      <c r="I33">
        <v>21</v>
      </c>
      <c r="J33">
        <v>8</v>
      </c>
    </row>
    <row r="34" spans="1:10" x14ac:dyDescent="0.25">
      <c r="A34">
        <v>21</v>
      </c>
      <c r="B34">
        <v>1</v>
      </c>
      <c r="C34">
        <v>1</v>
      </c>
      <c r="D34">
        <v>2</v>
      </c>
      <c r="E34">
        <v>373</v>
      </c>
      <c r="F34">
        <v>28</v>
      </c>
      <c r="G34">
        <v>5</v>
      </c>
      <c r="H34">
        <v>14</v>
      </c>
      <c r="I34">
        <v>22</v>
      </c>
      <c r="J34">
        <v>0</v>
      </c>
    </row>
    <row r="35" spans="1:10" x14ac:dyDescent="0.25">
      <c r="A35">
        <v>19</v>
      </c>
      <c r="B35">
        <v>1</v>
      </c>
      <c r="C35">
        <v>6</v>
      </c>
      <c r="D35">
        <v>16</v>
      </c>
      <c r="E35">
        <v>108</v>
      </c>
      <c r="F35">
        <v>20</v>
      </c>
      <c r="G35">
        <v>4</v>
      </c>
      <c r="H35">
        <v>9</v>
      </c>
      <c r="I35">
        <v>14</v>
      </c>
      <c r="J35">
        <v>55</v>
      </c>
    </row>
    <row r="36" spans="1:10" x14ac:dyDescent="0.25">
      <c r="A36">
        <v>22</v>
      </c>
      <c r="B36">
        <v>1</v>
      </c>
      <c r="C36">
        <v>6</v>
      </c>
      <c r="D36">
        <v>3</v>
      </c>
      <c r="E36">
        <v>93</v>
      </c>
      <c r="F36">
        <v>13</v>
      </c>
      <c r="G36">
        <v>4</v>
      </c>
      <c r="H36">
        <v>9</v>
      </c>
      <c r="I36">
        <v>17</v>
      </c>
      <c r="J36">
        <v>5</v>
      </c>
    </row>
    <row r="37" spans="1:10" x14ac:dyDescent="0.25">
      <c r="A37">
        <v>19</v>
      </c>
      <c r="B37">
        <v>1</v>
      </c>
      <c r="C37">
        <v>6</v>
      </c>
      <c r="D37">
        <v>16</v>
      </c>
      <c r="E37">
        <v>290</v>
      </c>
      <c r="F37">
        <v>35</v>
      </c>
      <c r="G37">
        <v>4</v>
      </c>
      <c r="H37">
        <v>12</v>
      </c>
      <c r="I37">
        <v>14</v>
      </c>
      <c r="J37">
        <v>48</v>
      </c>
    </row>
    <row r="38" spans="1:10" x14ac:dyDescent="0.25">
      <c r="A38">
        <v>19</v>
      </c>
      <c r="B38">
        <v>1</v>
      </c>
      <c r="C38">
        <v>1</v>
      </c>
      <c r="D38">
        <v>8</v>
      </c>
      <c r="E38">
        <v>163</v>
      </c>
      <c r="F38">
        <v>38</v>
      </c>
      <c r="G38">
        <v>4</v>
      </c>
      <c r="H38">
        <v>8</v>
      </c>
      <c r="I38">
        <v>17</v>
      </c>
      <c r="J38">
        <v>14</v>
      </c>
    </row>
    <row r="39" spans="1:10" x14ac:dyDescent="0.25">
      <c r="A39">
        <v>29</v>
      </c>
      <c r="B39">
        <v>1</v>
      </c>
      <c r="C39">
        <v>20</v>
      </c>
      <c r="D39">
        <v>8</v>
      </c>
      <c r="E39">
        <v>45</v>
      </c>
      <c r="F39">
        <v>13</v>
      </c>
      <c r="G39">
        <v>4</v>
      </c>
      <c r="H39">
        <v>12</v>
      </c>
      <c r="I39">
        <v>14</v>
      </c>
      <c r="J39">
        <v>12</v>
      </c>
    </row>
    <row r="40" spans="1:10" x14ac:dyDescent="0.25">
      <c r="A40">
        <v>26</v>
      </c>
      <c r="B40">
        <v>1</v>
      </c>
      <c r="C40">
        <v>11</v>
      </c>
      <c r="D40">
        <v>8</v>
      </c>
      <c r="E40">
        <v>134</v>
      </c>
      <c r="F40">
        <v>9</v>
      </c>
      <c r="G40">
        <v>3</v>
      </c>
      <c r="H40">
        <v>11</v>
      </c>
      <c r="I40">
        <v>18</v>
      </c>
      <c r="J40">
        <v>8</v>
      </c>
    </row>
    <row r="41" spans="1:10" x14ac:dyDescent="0.25">
      <c r="A41">
        <v>19</v>
      </c>
      <c r="B41">
        <v>1</v>
      </c>
      <c r="C41">
        <v>7</v>
      </c>
      <c r="D41">
        <v>22</v>
      </c>
      <c r="E41">
        <v>330</v>
      </c>
      <c r="F41">
        <v>53</v>
      </c>
      <c r="G41">
        <v>4</v>
      </c>
      <c r="H41">
        <v>16</v>
      </c>
      <c r="I41">
        <v>23</v>
      </c>
      <c r="J41">
        <v>57</v>
      </c>
    </row>
    <row r="42" spans="1:10" x14ac:dyDescent="0.25">
      <c r="A42">
        <v>18</v>
      </c>
      <c r="B42">
        <v>1</v>
      </c>
      <c r="C42">
        <v>14</v>
      </c>
      <c r="D42">
        <v>26</v>
      </c>
      <c r="E42">
        <v>400</v>
      </c>
      <c r="F42">
        <v>23</v>
      </c>
      <c r="G42">
        <v>4</v>
      </c>
      <c r="H42">
        <v>18</v>
      </c>
      <c r="I42">
        <v>12</v>
      </c>
      <c r="J42">
        <v>52</v>
      </c>
    </row>
    <row r="43" spans="1:10" x14ac:dyDescent="0.25">
      <c r="A43">
        <v>24</v>
      </c>
      <c r="B43">
        <v>1</v>
      </c>
      <c r="C43">
        <v>6</v>
      </c>
      <c r="D43">
        <v>7</v>
      </c>
      <c r="E43">
        <v>178</v>
      </c>
      <c r="F43">
        <v>38</v>
      </c>
      <c r="G43">
        <v>4</v>
      </c>
      <c r="H43">
        <v>14</v>
      </c>
      <c r="I43">
        <v>16</v>
      </c>
      <c r="J43">
        <v>9</v>
      </c>
    </row>
    <row r="44" spans="1:10" x14ac:dyDescent="0.25">
      <c r="A44">
        <v>21</v>
      </c>
      <c r="B44">
        <v>1</v>
      </c>
      <c r="C44">
        <v>2</v>
      </c>
      <c r="D44">
        <v>5</v>
      </c>
      <c r="E44">
        <v>167</v>
      </c>
      <c r="F44">
        <v>48</v>
      </c>
      <c r="G44">
        <v>4</v>
      </c>
      <c r="H44">
        <v>12</v>
      </c>
      <c r="I44">
        <v>19</v>
      </c>
      <c r="J44">
        <v>12</v>
      </c>
    </row>
    <row r="45" spans="1:10" x14ac:dyDescent="0.25">
      <c r="A45">
        <v>25</v>
      </c>
      <c r="B45">
        <v>1</v>
      </c>
      <c r="C45">
        <v>19</v>
      </c>
      <c r="D45">
        <v>3</v>
      </c>
      <c r="E45">
        <v>248</v>
      </c>
      <c r="F45">
        <v>9</v>
      </c>
      <c r="G45">
        <v>3</v>
      </c>
      <c r="H45">
        <v>14</v>
      </c>
      <c r="I45">
        <v>20</v>
      </c>
      <c r="J45">
        <v>6</v>
      </c>
    </row>
    <row r="46" spans="1:10" x14ac:dyDescent="0.25">
      <c r="A46">
        <v>26</v>
      </c>
      <c r="B46">
        <v>1</v>
      </c>
      <c r="C46">
        <v>29</v>
      </c>
      <c r="D46">
        <v>7</v>
      </c>
      <c r="E46">
        <v>630</v>
      </c>
      <c r="F46">
        <v>48</v>
      </c>
      <c r="G46">
        <v>4</v>
      </c>
      <c r="H46">
        <v>22</v>
      </c>
      <c r="I46">
        <v>17</v>
      </c>
      <c r="J46">
        <v>2</v>
      </c>
    </row>
    <row r="47" spans="1:10" x14ac:dyDescent="0.25">
      <c r="A47">
        <v>22</v>
      </c>
      <c r="B47">
        <v>1</v>
      </c>
      <c r="C47">
        <v>9</v>
      </c>
      <c r="D47">
        <v>2</v>
      </c>
      <c r="E47">
        <v>118</v>
      </c>
      <c r="F47">
        <v>13</v>
      </c>
      <c r="G47">
        <v>4</v>
      </c>
      <c r="H47">
        <v>13</v>
      </c>
      <c r="I47">
        <v>22</v>
      </c>
      <c r="J47">
        <v>5</v>
      </c>
    </row>
    <row r="48" spans="1:10" x14ac:dyDescent="0.25">
      <c r="A48">
        <v>22</v>
      </c>
      <c r="B48">
        <v>1</v>
      </c>
      <c r="C48">
        <v>9</v>
      </c>
      <c r="D48">
        <v>6</v>
      </c>
      <c r="E48">
        <v>306</v>
      </c>
      <c r="F48">
        <v>13</v>
      </c>
      <c r="G48">
        <v>4</v>
      </c>
      <c r="H48">
        <v>17</v>
      </c>
      <c r="I48">
        <v>18</v>
      </c>
      <c r="J48">
        <v>9</v>
      </c>
    </row>
    <row r="49" spans="1:10" x14ac:dyDescent="0.25">
      <c r="A49">
        <v>26</v>
      </c>
      <c r="B49">
        <v>1</v>
      </c>
      <c r="C49">
        <v>29</v>
      </c>
      <c r="D49">
        <v>6</v>
      </c>
      <c r="E49">
        <v>98</v>
      </c>
      <c r="F49">
        <v>11</v>
      </c>
      <c r="G49">
        <v>4</v>
      </c>
      <c r="H49">
        <v>8</v>
      </c>
      <c r="I49">
        <v>18</v>
      </c>
      <c r="J49">
        <v>11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3"/>
  <sheetViews>
    <sheetView workbookViewId="0">
      <selection activeCell="O17" sqref="O17"/>
    </sheetView>
  </sheetViews>
  <sheetFormatPr defaultRowHeight="15" x14ac:dyDescent="0.25"/>
  <sheetData>
    <row r="1" spans="1:29" x14ac:dyDescent="0.25">
      <c r="A1" t="s">
        <v>52</v>
      </c>
      <c r="K1" t="s">
        <v>46</v>
      </c>
      <c r="P1" t="s">
        <v>10</v>
      </c>
      <c r="AA1" t="s">
        <v>34</v>
      </c>
    </row>
    <row r="3" spans="1:29" ht="15.75" thickBot="1" x14ac:dyDescent="0.3">
      <c r="A3" t="s">
        <v>11</v>
      </c>
      <c r="D3" t="s">
        <v>20</v>
      </c>
      <c r="E3">
        <v>0.05</v>
      </c>
      <c r="G3" t="s">
        <v>12</v>
      </c>
      <c r="H3">
        <v>0</v>
      </c>
      <c r="L3">
        <f>MASTER!B2</f>
        <v>1</v>
      </c>
      <c r="M3">
        <f>MASTER!E2</f>
        <v>186</v>
      </c>
      <c r="P3" t="s">
        <v>11</v>
      </c>
      <c r="S3" t="s">
        <v>12</v>
      </c>
      <c r="T3">
        <v>0</v>
      </c>
      <c r="AB3">
        <f>MASTER!B2</f>
        <v>1</v>
      </c>
      <c r="AC3">
        <f>MASTER!E2</f>
        <v>186</v>
      </c>
    </row>
    <row r="4" spans="1:29" ht="15.75" thickTop="1" x14ac:dyDescent="0.25">
      <c r="A4" s="1" t="s">
        <v>13</v>
      </c>
      <c r="B4" s="1" t="s">
        <v>14</v>
      </c>
      <c r="C4" s="1" t="s">
        <v>15</v>
      </c>
      <c r="D4" s="1" t="s">
        <v>53</v>
      </c>
      <c r="E4" s="1" t="s">
        <v>54</v>
      </c>
      <c r="F4" s="1" t="s">
        <v>55</v>
      </c>
      <c r="G4" s="1" t="s">
        <v>24</v>
      </c>
      <c r="H4" s="1" t="s">
        <v>17</v>
      </c>
      <c r="I4" s="1" t="s">
        <v>56</v>
      </c>
      <c r="K4" t="s">
        <v>36</v>
      </c>
      <c r="L4" s="15">
        <f>MEDIAN(MASTER!B3:B49)</f>
        <v>1</v>
      </c>
      <c r="M4" s="16">
        <f>MEDIAN(MASTER!E3:E49)</f>
        <v>281</v>
      </c>
      <c r="P4" s="1" t="s">
        <v>13</v>
      </c>
      <c r="Q4" s="1" t="s">
        <v>14</v>
      </c>
      <c r="R4" s="1" t="s">
        <v>15</v>
      </c>
      <c r="S4" s="1" t="s">
        <v>16</v>
      </c>
      <c r="T4" s="1" t="s">
        <v>17</v>
      </c>
      <c r="AA4" t="s">
        <v>35</v>
      </c>
      <c r="AB4" s="4">
        <f>COUNT(MASTER!B3:B49)</f>
        <v>47</v>
      </c>
      <c r="AC4" s="5">
        <f>COUNT(MASTER!E3:E49)</f>
        <v>47</v>
      </c>
    </row>
    <row r="5" spans="1:29" x14ac:dyDescent="0.25">
      <c r="A5">
        <f>MASTER!B2</f>
        <v>1</v>
      </c>
      <c r="B5">
        <f>COUNT(MASTER!B3:B49)</f>
        <v>47</v>
      </c>
      <c r="C5">
        <f>AVERAGE(MASTER!B3:B49)</f>
        <v>0.93617021276595747</v>
      </c>
      <c r="D5">
        <f>STDEV(MASTER!B3:B49)</f>
        <v>0.24709224814516553</v>
      </c>
      <c r="P5">
        <f>MASTER!B2</f>
        <v>1</v>
      </c>
      <c r="Q5">
        <f>COUNT(MASTER!B3:B49)</f>
        <v>47</v>
      </c>
      <c r="R5">
        <f>AVERAGE(MASTER!B3:B49)</f>
        <v>0.93617021276595747</v>
      </c>
      <c r="S5">
        <f>VAR(MASTER!B3:B49)</f>
        <v>6.1054579093432065E-2</v>
      </c>
      <c r="AA5" t="s">
        <v>36</v>
      </c>
      <c r="AB5" s="6">
        <f>MEDIAN(MASTER!B3:B49)</f>
        <v>1</v>
      </c>
      <c r="AC5" s="7">
        <f>MEDIAN(MASTER!E3:E49)</f>
        <v>281</v>
      </c>
    </row>
    <row r="6" spans="1:29" x14ac:dyDescent="0.25">
      <c r="A6">
        <f>MASTER!E2</f>
        <v>186</v>
      </c>
      <c r="B6">
        <f>COUNT(MASTER!E3:E49)</f>
        <v>47</v>
      </c>
      <c r="C6">
        <f>AVERAGE(MASTER!E3:E49)</f>
        <v>292.93617021276594</v>
      </c>
      <c r="D6">
        <f>STDEV(MASTER!E3:E49)</f>
        <v>177.21828890987609</v>
      </c>
      <c r="K6" t="s">
        <v>35</v>
      </c>
      <c r="L6" s="11">
        <f>SUMPRODUCT(--ISNUMBER(MASTER!B3:B49),--ISNUMBER(MASTER!E3:E49))</f>
        <v>47</v>
      </c>
      <c r="P6">
        <f>MASTER!E2</f>
        <v>186</v>
      </c>
      <c r="Q6">
        <f>COUNT(MASTER!E3:E49)</f>
        <v>47</v>
      </c>
      <c r="R6">
        <f>AVERAGE(MASTER!E3:E49)</f>
        <v>292.93617021276594</v>
      </c>
      <c r="S6">
        <f>VAR(MASTER!E3:E49)</f>
        <v>31406.321924144311</v>
      </c>
      <c r="AA6" t="s">
        <v>37</v>
      </c>
      <c r="AB6" s="6">
        <f>[1]!RANK_SUM(MASTER!B3:B49,MASTER!E3:E49,1)</f>
        <v>1128</v>
      </c>
      <c r="AC6" s="7">
        <f>[1]!RANK_SUM(MASTER!E3:E49,MASTER!B3:B49,1)</f>
        <v>3337</v>
      </c>
    </row>
    <row r="7" spans="1:29" x14ac:dyDescent="0.25">
      <c r="A7" s="2" t="s">
        <v>57</v>
      </c>
      <c r="B7" s="2">
        <f>B6</f>
        <v>47</v>
      </c>
      <c r="C7" s="2">
        <f>C5-C6</f>
        <v>-292</v>
      </c>
      <c r="D7" s="2">
        <f t="array" ref="D7">STDEV(MASTER!B3:B49-MASTER!E3:E49)</f>
        <v>177.29648467541838</v>
      </c>
      <c r="E7" s="2">
        <f>D7/SQRT(B7)</f>
        <v>25.861350229786495</v>
      </c>
      <c r="F7" s="2">
        <f>(C5-C6-H3)/E7</f>
        <v>-11.290980455602092</v>
      </c>
      <c r="G7" s="2">
        <f>B7-1</f>
        <v>46</v>
      </c>
      <c r="H7" s="2">
        <f>ABS(C5-C6-H3)/D7</f>
        <v>1.6469587681592928</v>
      </c>
      <c r="I7" s="2">
        <f>SQRT(F7^2/(F7^2+G7))</f>
        <v>0.85723350832705414</v>
      </c>
      <c r="K7" t="s">
        <v>47</v>
      </c>
      <c r="L7" s="12">
        <f>SUMPRODUCT(--ISNUMBER(MASTER!B3:B49),--ISNUMBER(MASTER!E3:E49),--(MASTER!B3:B49&lt;&gt;MASTER!E3:E49))</f>
        <v>47</v>
      </c>
      <c r="P7" s="2" t="s">
        <v>18</v>
      </c>
      <c r="Q7" s="2"/>
      <c r="R7" s="2"/>
      <c r="S7" s="2">
        <f>((Q5-1)*S5+(Q6-1)*S6)/(Q5+Q6-2)</f>
        <v>15703.191489361703</v>
      </c>
      <c r="T7" s="2">
        <f>ABS(R5-R6-T3)/SQRT(S7)</f>
        <v>2.3301768759952988</v>
      </c>
      <c r="AA7" t="s">
        <v>38</v>
      </c>
      <c r="AB7" s="8">
        <f>AB4*AC4+AB4*(AB4+1)/2-AB6</f>
        <v>2209</v>
      </c>
      <c r="AC7" s="9">
        <f>AB4*AC4+AC4*(AC4+1)/2-AC6</f>
        <v>0</v>
      </c>
    </row>
    <row r="8" spans="1:29" x14ac:dyDescent="0.25">
      <c r="K8" t="s">
        <v>48</v>
      </c>
      <c r="L8" s="12">
        <f>IF(L16&lt;=0,L10,L7*(L7+1)/2)</f>
        <v>0</v>
      </c>
    </row>
    <row r="9" spans="1:29" ht="15.75" thickBot="1" x14ac:dyDescent="0.3">
      <c r="A9" t="s">
        <v>58</v>
      </c>
      <c r="K9" t="s">
        <v>49</v>
      </c>
      <c r="L9" s="12">
        <f>L7*(L7+1)/2-L8</f>
        <v>1128</v>
      </c>
      <c r="P9" t="s">
        <v>19</v>
      </c>
      <c r="T9" t="s">
        <v>20</v>
      </c>
      <c r="U9">
        <v>0.05</v>
      </c>
      <c r="AB9" s="10" t="s">
        <v>39</v>
      </c>
      <c r="AC9" s="10" t="s">
        <v>40</v>
      </c>
    </row>
    <row r="10" spans="1:29" ht="15.75" thickTop="1" x14ac:dyDescent="0.25">
      <c r="A10" s="1" t="s">
        <v>21</v>
      </c>
      <c r="B10" s="1" t="s">
        <v>25</v>
      </c>
      <c r="C10" s="1" t="s">
        <v>26</v>
      </c>
      <c r="D10" s="1" t="s">
        <v>27</v>
      </c>
      <c r="E10" s="1" t="s">
        <v>28</v>
      </c>
      <c r="F10" s="1" t="s">
        <v>29</v>
      </c>
      <c r="K10" t="s">
        <v>50</v>
      </c>
      <c r="L10" s="17">
        <f>[1]!SRankPair(MASTER!B3:B49,MASTER!E3:E49)</f>
        <v>0</v>
      </c>
      <c r="P10" s="1" t="s">
        <v>21</v>
      </c>
      <c r="Q10" s="1" t="s">
        <v>22</v>
      </c>
      <c r="R10" s="1" t="s">
        <v>23</v>
      </c>
      <c r="S10" s="1" t="s">
        <v>24</v>
      </c>
      <c r="T10" s="1" t="s">
        <v>25</v>
      </c>
      <c r="U10" s="1" t="s">
        <v>26</v>
      </c>
      <c r="V10" s="1" t="s">
        <v>27</v>
      </c>
      <c r="W10" s="1" t="s">
        <v>28</v>
      </c>
      <c r="X10" s="1" t="s">
        <v>29</v>
      </c>
      <c r="Y10" s="1" t="s">
        <v>30</v>
      </c>
      <c r="AA10" t="s">
        <v>41</v>
      </c>
      <c r="AB10" s="11">
        <v>0.05</v>
      </c>
    </row>
    <row r="11" spans="1:29" x14ac:dyDescent="0.25">
      <c r="A11" t="s">
        <v>31</v>
      </c>
      <c r="B11">
        <f>TDIST(ABS(F7),G7,1)</f>
        <v>3.7256161814235617E-15</v>
      </c>
      <c r="C11">
        <f>TINV(E3*2,G7)</f>
        <v>1.678660413556865</v>
      </c>
      <c r="F11" s="3" t="str">
        <f>IF(B11&lt;E3,"yes","no")</f>
        <v>yes</v>
      </c>
      <c r="P11" t="s">
        <v>31</v>
      </c>
      <c r="Q11">
        <f>SQRT(S7*(1/Q5+1/Q6))</f>
        <v>25.849969331527717</v>
      </c>
      <c r="R11">
        <f>(ABS(R5-R6-T3))/Q11</f>
        <v>11.295951505979717</v>
      </c>
      <c r="S11">
        <f>Q5+Q6-2</f>
        <v>92</v>
      </c>
      <c r="T11">
        <f>TDIST(R11,S11,1)</f>
        <v>2.2477296844761177E-19</v>
      </c>
      <c r="U11">
        <f>TINV(U9*2,S11)</f>
        <v>1.6615853969032315</v>
      </c>
      <c r="X11" s="3" t="str">
        <f>IF(T11&lt;U9,"yes","no")</f>
        <v>yes</v>
      </c>
      <c r="Y11">
        <f>SQRT(R11^2/(R11^2+S11))</f>
        <v>0.76226874763037888</v>
      </c>
      <c r="AA11" t="s">
        <v>38</v>
      </c>
      <c r="AB11" s="12">
        <f>MIN(AB7,AC7)</f>
        <v>0</v>
      </c>
    </row>
    <row r="12" spans="1:29" x14ac:dyDescent="0.25">
      <c r="A12" t="s">
        <v>32</v>
      </c>
      <c r="B12">
        <f>TDIST(ABS(F7),G7,2)</f>
        <v>7.4512323628471234E-15</v>
      </c>
      <c r="C12">
        <f>TINV(E3,G7)</f>
        <v>2.0128955989194299</v>
      </c>
      <c r="D12">
        <f>(C5-C6)-E7*C12</f>
        <v>-344.05619805965125</v>
      </c>
      <c r="E12">
        <f>(C5-C6)+E7*C12</f>
        <v>-239.94380194034878</v>
      </c>
      <c r="F12" s="3" t="str">
        <f>IF(B12&lt;E3,"yes","no")</f>
        <v>yes</v>
      </c>
      <c r="L12" s="10" t="s">
        <v>39</v>
      </c>
      <c r="M12" s="10" t="s">
        <v>40</v>
      </c>
      <c r="P12" t="s">
        <v>32</v>
      </c>
      <c r="Q12">
        <f>Q11</f>
        <v>25.849969331527717</v>
      </c>
      <c r="R12">
        <f>R11</f>
        <v>11.295951505979717</v>
      </c>
      <c r="S12">
        <f>S11</f>
        <v>92</v>
      </c>
      <c r="T12">
        <f>TDIST(R12,S12,2)</f>
        <v>4.4954593689522353E-19</v>
      </c>
      <c r="U12">
        <f>TINV(U9,S12)</f>
        <v>1.9860863169511298</v>
      </c>
      <c r="V12">
        <f>(R5-R6)-U12*Q12</f>
        <v>-343.34027038295352</v>
      </c>
      <c r="W12">
        <f>(R5-R6)+U12*Q12</f>
        <v>-240.65972961704645</v>
      </c>
      <c r="X12" s="3" t="str">
        <f>IF(T12&lt;U9,"yes","no")</f>
        <v>yes</v>
      </c>
      <c r="Y12">
        <f>Y11</f>
        <v>0.76226874763037888</v>
      </c>
      <c r="AA12" t="s">
        <v>42</v>
      </c>
      <c r="AB12" s="12">
        <f>AB4*AC4/2</f>
        <v>1104.5</v>
      </c>
    </row>
    <row r="13" spans="1:29" x14ac:dyDescent="0.25">
      <c r="A13" s="2"/>
      <c r="B13" s="2"/>
      <c r="C13" s="2"/>
      <c r="D13" s="2"/>
      <c r="E13" s="2"/>
      <c r="F13" s="2"/>
      <c r="K13" t="s">
        <v>41</v>
      </c>
      <c r="L13" s="11">
        <v>0.05</v>
      </c>
      <c r="P13" s="2"/>
      <c r="Q13" s="2"/>
      <c r="R13" s="2"/>
      <c r="S13" s="2"/>
      <c r="T13" s="2"/>
      <c r="U13" s="2"/>
      <c r="V13" s="2"/>
      <c r="W13" s="2"/>
      <c r="X13" s="2"/>
      <c r="Y13" s="2"/>
      <c r="AA13" t="s">
        <v>43</v>
      </c>
      <c r="AB13" s="12">
        <f>SQRT(AB12*(AB4+AC4+1)/6)</f>
        <v>132.24188695971736</v>
      </c>
    </row>
    <row r="14" spans="1:29" ht="15.75" thickBot="1" x14ac:dyDescent="0.3">
      <c r="K14" t="s">
        <v>42</v>
      </c>
      <c r="L14" s="12">
        <f>L7*(L7+1)/4</f>
        <v>564</v>
      </c>
      <c r="P14" t="s">
        <v>33</v>
      </c>
      <c r="T14" t="s">
        <v>20</v>
      </c>
      <c r="U14">
        <f>U9</f>
        <v>0.05</v>
      </c>
      <c r="AA14" t="s">
        <v>44</v>
      </c>
      <c r="AB14" s="12">
        <f>STANDARDIZE(AB11,AB12,AB13)</f>
        <v>-8.3521191764032032</v>
      </c>
    </row>
    <row r="15" spans="1:29" ht="15.75" thickTop="1" x14ac:dyDescent="0.25">
      <c r="K15" t="s">
        <v>43</v>
      </c>
      <c r="L15" s="12">
        <f>SQRT(L14*(2*L7+1)/6)</f>
        <v>94.498677239419607</v>
      </c>
      <c r="P15" s="1" t="s">
        <v>21</v>
      </c>
      <c r="Q15" s="1" t="s">
        <v>22</v>
      </c>
      <c r="R15" s="1" t="s">
        <v>23</v>
      </c>
      <c r="S15" s="1" t="s">
        <v>24</v>
      </c>
      <c r="T15" s="1" t="s">
        <v>25</v>
      </c>
      <c r="U15" s="1" t="s">
        <v>26</v>
      </c>
      <c r="V15" s="1" t="s">
        <v>27</v>
      </c>
      <c r="W15" s="1" t="s">
        <v>28</v>
      </c>
      <c r="X15" s="1" t="s">
        <v>29</v>
      </c>
      <c r="Y15" s="1" t="s">
        <v>30</v>
      </c>
      <c r="AA15" t="s">
        <v>30</v>
      </c>
      <c r="AB15" s="12">
        <f>ABS(AB14)/SQRT(AB4+AC4)</f>
        <v>0.86145531698277589</v>
      </c>
    </row>
    <row r="16" spans="1:29" x14ac:dyDescent="0.25">
      <c r="K16" t="s">
        <v>44</v>
      </c>
      <c r="L16" s="12">
        <f>STANDARDIZE(L10,L14,L15)</f>
        <v>-5.9683375098580793</v>
      </c>
      <c r="P16" t="s">
        <v>31</v>
      </c>
      <c r="Q16">
        <f>SQRT(S5/Q5+S6/Q6)</f>
        <v>25.849969331527717</v>
      </c>
      <c r="R16">
        <f>(ABS(R5-R6-T3))/Q16</f>
        <v>11.295951505979717</v>
      </c>
      <c r="S16">
        <f>(S5/Q5+S6/Q6)^2/((S5/Q5)^2/(Q5-1)+(S6/Q6)^2/(Q6-1))</f>
        <v>46.000178850019118</v>
      </c>
      <c r="T16">
        <f>TTEST(MASTER!B3:B49,MASTER!E3:E49,1,3)</f>
        <v>3.6699817063510989E-15</v>
      </c>
      <c r="U16">
        <f>TINV(U14*2,ROUND(S16,0))</f>
        <v>1.678660413556865</v>
      </c>
      <c r="X16" s="3" t="str">
        <f>IF(T16&lt;U14,"yes","no")</f>
        <v>yes</v>
      </c>
      <c r="Y16">
        <f>SQRT(R16^2/(R16^2+S16))</f>
        <v>0.85733308919558748</v>
      </c>
      <c r="AA16" t="s">
        <v>45</v>
      </c>
      <c r="AB16" s="11">
        <f>AB12+AB13*NORMSINV(AB10)-0.5</f>
        <v>886.48145259940225</v>
      </c>
      <c r="AC16" s="5">
        <f>AB12+AB13*NORMSINV(AB10/2)-0.5</f>
        <v>844.81066431133695</v>
      </c>
    </row>
    <row r="17" spans="11:29" x14ac:dyDescent="0.25">
      <c r="K17" t="s">
        <v>30</v>
      </c>
      <c r="L17" s="12">
        <f>ABS(L16)/SQRT(2*L6)</f>
        <v>0.61558701125109239</v>
      </c>
      <c r="P17" t="s">
        <v>32</v>
      </c>
      <c r="Q17">
        <f>Q16</f>
        <v>25.849969331527717</v>
      </c>
      <c r="R17">
        <f>R16</f>
        <v>11.295951505979717</v>
      </c>
      <c r="S17">
        <f>S16</f>
        <v>46.000178850019118</v>
      </c>
      <c r="T17">
        <f>TTEST(MASTER!B3:B49,MASTER!E3:E49,2,3)</f>
        <v>7.3399634127021977E-15</v>
      </c>
      <c r="U17">
        <f>TINV(U14,ROUND(S17,0))</f>
        <v>2.0128955989194299</v>
      </c>
      <c r="V17">
        <f>(R5-R6)-U17*Q17</f>
        <v>-344.03328949963441</v>
      </c>
      <c r="W17">
        <f>(R5-R6)+U17*Q17</f>
        <v>-239.96671050036562</v>
      </c>
      <c r="X17" s="3" t="str">
        <f>IF(T17&lt;U14,"yes","no")</f>
        <v>yes</v>
      </c>
      <c r="Y17">
        <f>Y16</f>
        <v>0.85733308919558748</v>
      </c>
      <c r="AA17" t="s">
        <v>25</v>
      </c>
      <c r="AB17" s="12">
        <f>NORMSDIST(AB14)</f>
        <v>3.352447925008832E-17</v>
      </c>
      <c r="AC17" s="7">
        <f>2*AB17</f>
        <v>6.7048958500176641E-17</v>
      </c>
    </row>
    <row r="18" spans="11:29" x14ac:dyDescent="0.25">
      <c r="K18" t="s">
        <v>51</v>
      </c>
      <c r="L18" s="11">
        <f>L14+L15*NORMSINV(L13)-0.5</f>
        <v>408.0635080006241</v>
      </c>
      <c r="M18" s="5">
        <f>L14+L15*NORMSINV(L13/2)-0.5</f>
        <v>378.28599602406268</v>
      </c>
    </row>
    <row r="19" spans="11:29" x14ac:dyDescent="0.25">
      <c r="K19" t="s">
        <v>25</v>
      </c>
      <c r="L19" s="12">
        <f>NORMSDIST(L16)</f>
        <v>1.1984158815131263E-9</v>
      </c>
      <c r="M19" s="7">
        <f>2*L19</f>
        <v>2.3968317630262525E-9</v>
      </c>
    </row>
    <row r="20" spans="11:29" x14ac:dyDescent="0.25">
      <c r="K20" t="s">
        <v>29</v>
      </c>
      <c r="L20" s="13" t="str">
        <f>IF(L19&lt;L13,"yes","no")</f>
        <v>yes</v>
      </c>
      <c r="M20" s="14" t="str">
        <f>IF(M19&lt;L13,"yes","no")</f>
        <v>yes</v>
      </c>
    </row>
    <row r="22" spans="11:29" x14ac:dyDescent="0.25">
      <c r="K22" t="s">
        <v>51</v>
      </c>
      <c r="L22" s="11">
        <f>[1]!SRankCRIT(L7,L13,1)</f>
        <v>407</v>
      </c>
      <c r="M22" s="11">
        <f>[1]!SRankCRIT(L7,L13,2)</f>
        <v>378</v>
      </c>
    </row>
    <row r="23" spans="11:29" x14ac:dyDescent="0.25">
      <c r="K23" t="s">
        <v>29</v>
      </c>
      <c r="L23" s="13" t="str">
        <f>IF(L10&lt;L22,"yes","no")</f>
        <v>yes</v>
      </c>
      <c r="M23" s="13" t="str">
        <f>IF(L10&lt;M22,"yes","no")</f>
        <v>yes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"/>
  <sheetViews>
    <sheetView workbookViewId="0">
      <selection activeCell="C18" sqref="C18"/>
    </sheetView>
  </sheetViews>
  <sheetFormatPr defaultRowHeight="15" x14ac:dyDescent="0.25"/>
  <sheetData>
    <row r="1" spans="1:20" x14ac:dyDescent="0.25">
      <c r="A1" t="s">
        <v>46</v>
      </c>
      <c r="G1" t="s">
        <v>10</v>
      </c>
      <c r="R1" t="s">
        <v>34</v>
      </c>
    </row>
    <row r="3" spans="1:20" ht="15.75" thickBot="1" x14ac:dyDescent="0.3">
      <c r="B3">
        <f>MASTER!B2</f>
        <v>1</v>
      </c>
      <c r="C3">
        <f>MASTER!C2</f>
        <v>13</v>
      </c>
      <c r="G3" t="s">
        <v>11</v>
      </c>
      <c r="J3" t="s">
        <v>12</v>
      </c>
      <c r="K3">
        <v>0</v>
      </c>
      <c r="S3">
        <f>MASTER!B2</f>
        <v>1</v>
      </c>
      <c r="T3">
        <f>MASTER!C2</f>
        <v>13</v>
      </c>
    </row>
    <row r="4" spans="1:20" ht="15.75" thickTop="1" x14ac:dyDescent="0.25">
      <c r="A4" t="s">
        <v>36</v>
      </c>
      <c r="B4" s="15">
        <f>MEDIAN(MASTER!B3:B49)</f>
        <v>1</v>
      </c>
      <c r="C4" s="16">
        <f>MEDIAN(MASTER!C3:C49)</f>
        <v>9</v>
      </c>
      <c r="G4" s="1" t="s">
        <v>13</v>
      </c>
      <c r="H4" s="1" t="s">
        <v>14</v>
      </c>
      <c r="I4" s="1" t="s">
        <v>15</v>
      </c>
      <c r="J4" s="1" t="s">
        <v>16</v>
      </c>
      <c r="K4" s="1" t="s">
        <v>17</v>
      </c>
      <c r="R4" t="s">
        <v>35</v>
      </c>
      <c r="S4" s="4">
        <f>COUNT(MASTER!B3:B49)</f>
        <v>47</v>
      </c>
      <c r="T4" s="5">
        <f>COUNT(MASTER!C3:C49)</f>
        <v>47</v>
      </c>
    </row>
    <row r="5" spans="1:20" x14ac:dyDescent="0.25">
      <c r="G5">
        <f>MASTER!B2</f>
        <v>1</v>
      </c>
      <c r="H5">
        <f>COUNT(MASTER!B3:B49)</f>
        <v>47</v>
      </c>
      <c r="I5">
        <f>AVERAGE(MASTER!B3:B49)</f>
        <v>0.93617021276595747</v>
      </c>
      <c r="J5">
        <f>VAR(MASTER!B3:B49)</f>
        <v>6.1054579093432065E-2</v>
      </c>
      <c r="R5" t="s">
        <v>36</v>
      </c>
      <c r="S5" s="6">
        <f>MEDIAN(MASTER!B3:B49)</f>
        <v>1</v>
      </c>
      <c r="T5" s="7">
        <f>MEDIAN(MASTER!C3:C49)</f>
        <v>9</v>
      </c>
    </row>
    <row r="6" spans="1:20" x14ac:dyDescent="0.25">
      <c r="A6" t="s">
        <v>35</v>
      </c>
      <c r="B6" s="11">
        <f>SUMPRODUCT(--ISNUMBER(MASTER!B3:B49),--ISNUMBER(MASTER!C3:C49))</f>
        <v>47</v>
      </c>
      <c r="G6">
        <f>MASTER!C2</f>
        <v>13</v>
      </c>
      <c r="H6">
        <f>COUNT(MASTER!C3:C49)</f>
        <v>47</v>
      </c>
      <c r="I6">
        <f>AVERAGE(MASTER!C3:C49)</f>
        <v>11.191489361702128</v>
      </c>
      <c r="J6">
        <f>VAR(MASTER!C3:C49)</f>
        <v>81.462534690101762</v>
      </c>
      <c r="R6" t="s">
        <v>37</v>
      </c>
      <c r="S6" s="6">
        <f>[1]!RANK_SUM(MASTER!B3:B49,MASTER!C3:C49,1)</f>
        <v>1260</v>
      </c>
      <c r="T6" s="7">
        <f>[1]!RANK_SUM(MASTER!C3:C49,MASTER!B3:B49,1)</f>
        <v>3205</v>
      </c>
    </row>
    <row r="7" spans="1:20" x14ac:dyDescent="0.25">
      <c r="A7" t="s">
        <v>47</v>
      </c>
      <c r="B7" s="12">
        <f>SUMPRODUCT(--ISNUMBER(MASTER!B3:B49),--ISNUMBER(MASTER!C3:C49),--(MASTER!B3:B49&lt;&gt;MASTER!C3:C49))</f>
        <v>41</v>
      </c>
      <c r="G7" s="2" t="s">
        <v>18</v>
      </c>
      <c r="H7" s="2"/>
      <c r="I7" s="2"/>
      <c r="J7" s="2">
        <f>((H5-1)*J5+(H6-1)*J6)/(H5+H6-2)</f>
        <v>40.761794634597592</v>
      </c>
      <c r="K7" s="2">
        <f>ABS(I5-I6-K3)/SQRT(J7)</f>
        <v>1.6062847344595905</v>
      </c>
      <c r="R7" t="s">
        <v>38</v>
      </c>
      <c r="S7" s="8">
        <f>S4*T4+S4*(S4+1)/2-S6</f>
        <v>2077</v>
      </c>
      <c r="T7" s="9">
        <f>S4*T4+T4*(T4+1)/2-T6</f>
        <v>132</v>
      </c>
    </row>
    <row r="8" spans="1:20" x14ac:dyDescent="0.25">
      <c r="A8" t="s">
        <v>48</v>
      </c>
      <c r="B8" s="12">
        <f>IF(B16&lt;=0,B10,B7*(B7+1)/2)</f>
        <v>0</v>
      </c>
    </row>
    <row r="9" spans="1:20" ht="15.75" thickBot="1" x14ac:dyDescent="0.3">
      <c r="A9" t="s">
        <v>49</v>
      </c>
      <c r="B9" s="12">
        <f>B7*(B7+1)/2-B8</f>
        <v>861</v>
      </c>
      <c r="G9" t="s">
        <v>19</v>
      </c>
      <c r="K9" t="s">
        <v>20</v>
      </c>
      <c r="L9">
        <v>0.05</v>
      </c>
      <c r="S9" s="10" t="s">
        <v>39</v>
      </c>
      <c r="T9" s="10" t="s">
        <v>40</v>
      </c>
    </row>
    <row r="10" spans="1:20" ht="15.75" thickTop="1" x14ac:dyDescent="0.25">
      <c r="A10" t="s">
        <v>50</v>
      </c>
      <c r="B10" s="17">
        <f>[1]!SRankPair(MASTER!B3:B49,MASTER!C3:C49)</f>
        <v>0</v>
      </c>
      <c r="G10" s="1" t="s">
        <v>21</v>
      </c>
      <c r="H10" s="1" t="s">
        <v>22</v>
      </c>
      <c r="I10" s="1" t="s">
        <v>23</v>
      </c>
      <c r="J10" s="1" t="s">
        <v>24</v>
      </c>
      <c r="K10" s="1" t="s">
        <v>25</v>
      </c>
      <c r="L10" s="1" t="s">
        <v>26</v>
      </c>
      <c r="M10" s="1" t="s">
        <v>27</v>
      </c>
      <c r="N10" s="1" t="s">
        <v>28</v>
      </c>
      <c r="O10" s="1" t="s">
        <v>29</v>
      </c>
      <c r="P10" s="1" t="s">
        <v>30</v>
      </c>
      <c r="R10" t="s">
        <v>41</v>
      </c>
      <c r="S10" s="11">
        <v>0.05</v>
      </c>
    </row>
    <row r="11" spans="1:20" x14ac:dyDescent="0.25">
      <c r="G11" t="s">
        <v>31</v>
      </c>
      <c r="H11">
        <f>SQRT(J7*(1/H5+1/H6))</f>
        <v>1.3170210524270551</v>
      </c>
      <c r="I11">
        <f>(ABS(I5-I6-K3))/H11</f>
        <v>7.7867541525150932</v>
      </c>
      <c r="J11">
        <f>H5+H6-2</f>
        <v>92</v>
      </c>
      <c r="K11">
        <f>TDIST(I11,J11,1)</f>
        <v>4.9876075573289816E-12</v>
      </c>
      <c r="L11">
        <f>TINV(L9*2,J11)</f>
        <v>1.6615853969032315</v>
      </c>
      <c r="O11" s="3" t="str">
        <f>IF(K11&lt;L9,"yes","no")</f>
        <v>yes</v>
      </c>
      <c r="P11">
        <f>SQRT(I11^2/(I11^2+J11))</f>
        <v>0.63027702205848279</v>
      </c>
      <c r="R11" t="s">
        <v>38</v>
      </c>
      <c r="S11" s="12">
        <f>MIN(S7,T7)</f>
        <v>132</v>
      </c>
    </row>
    <row r="12" spans="1:20" x14ac:dyDescent="0.25">
      <c r="B12" s="10" t="s">
        <v>39</v>
      </c>
      <c r="C12" s="10" t="s">
        <v>40</v>
      </c>
      <c r="G12" t="s">
        <v>32</v>
      </c>
      <c r="H12">
        <f>H11</f>
        <v>1.3170210524270551</v>
      </c>
      <c r="I12">
        <f>I11</f>
        <v>7.7867541525150932</v>
      </c>
      <c r="J12">
        <f>J11</f>
        <v>92</v>
      </c>
      <c r="K12">
        <f>TDIST(I12,J12,2)</f>
        <v>9.9752151146579631E-12</v>
      </c>
      <c r="L12">
        <f>TINV(L9,J12)</f>
        <v>1.9860863169511298</v>
      </c>
      <c r="M12">
        <f>(I5-I6)-L12*H12</f>
        <v>-12.87103664029812</v>
      </c>
      <c r="N12">
        <f>(I5-I6)+L12*H12</f>
        <v>-7.6396016575742198</v>
      </c>
      <c r="O12" s="3" t="str">
        <f>IF(K12&lt;L9,"yes","no")</f>
        <v>yes</v>
      </c>
      <c r="P12">
        <f>P11</f>
        <v>0.63027702205848279</v>
      </c>
      <c r="R12" t="s">
        <v>42</v>
      </c>
      <c r="S12" s="12">
        <f>S4*T4/2</f>
        <v>1104.5</v>
      </c>
    </row>
    <row r="13" spans="1:20" x14ac:dyDescent="0.25">
      <c r="A13" t="s">
        <v>41</v>
      </c>
      <c r="B13" s="11">
        <v>0.05</v>
      </c>
      <c r="G13" s="2"/>
      <c r="H13" s="2"/>
      <c r="I13" s="2"/>
      <c r="J13" s="2"/>
      <c r="K13" s="2"/>
      <c r="L13" s="2"/>
      <c r="M13" s="2"/>
      <c r="N13" s="2"/>
      <c r="O13" s="2"/>
      <c r="P13" s="2"/>
      <c r="R13" t="s">
        <v>43</v>
      </c>
      <c r="S13" s="12">
        <f>SQRT(S12*(S4+T4+1)/6)</f>
        <v>132.24188695971736</v>
      </c>
    </row>
    <row r="14" spans="1:20" ht="15.75" thickBot="1" x14ac:dyDescent="0.3">
      <c r="A14" t="s">
        <v>42</v>
      </c>
      <c r="B14" s="12">
        <f>B7*(B7+1)/4</f>
        <v>430.5</v>
      </c>
      <c r="G14" t="s">
        <v>33</v>
      </c>
      <c r="K14" t="s">
        <v>20</v>
      </c>
      <c r="L14">
        <f>L9</f>
        <v>0.05</v>
      </c>
      <c r="R14" t="s">
        <v>44</v>
      </c>
      <c r="S14" s="12">
        <f>STANDARDIZE(S11,S12,S13)</f>
        <v>-7.3539483015410729</v>
      </c>
    </row>
    <row r="15" spans="1:20" ht="15.75" thickTop="1" x14ac:dyDescent="0.25">
      <c r="A15" t="s">
        <v>43</v>
      </c>
      <c r="B15" s="12">
        <f>SQRT(B14*(2*B7+1)/6)</f>
        <v>77.170266294732969</v>
      </c>
      <c r="G15" s="1" t="s">
        <v>21</v>
      </c>
      <c r="H15" s="1" t="s">
        <v>22</v>
      </c>
      <c r="I15" s="1" t="s">
        <v>23</v>
      </c>
      <c r="J15" s="1" t="s">
        <v>24</v>
      </c>
      <c r="K15" s="1" t="s">
        <v>25</v>
      </c>
      <c r="L15" s="1" t="s">
        <v>26</v>
      </c>
      <c r="M15" s="1" t="s">
        <v>27</v>
      </c>
      <c r="N15" s="1" t="s">
        <v>28</v>
      </c>
      <c r="O15" s="1" t="s">
        <v>29</v>
      </c>
      <c r="P15" s="1" t="s">
        <v>30</v>
      </c>
      <c r="R15" t="s">
        <v>30</v>
      </c>
      <c r="S15" s="12">
        <f>ABS(S14)/SQRT(S4+T4)</f>
        <v>0.75850185220982302</v>
      </c>
    </row>
    <row r="16" spans="1:20" x14ac:dyDescent="0.25">
      <c r="A16" t="s">
        <v>44</v>
      </c>
      <c r="B16" s="12">
        <f>STANDARDIZE(B10,B14,B15)</f>
        <v>-5.5785734670891314</v>
      </c>
      <c r="G16" t="s">
        <v>31</v>
      </c>
      <c r="H16">
        <f>SQRT(J5/H5+J6/H6)</f>
        <v>1.3170210524270551</v>
      </c>
      <c r="I16">
        <f>(ABS(I5-I6-K3))/H16</f>
        <v>7.7867541525150932</v>
      </c>
      <c r="J16">
        <f>(J5/H5+J6/H6)^2/((J5/H5)^2/(H5-1)+(J6/H6)^2/(H6-1))</f>
        <v>46.068952164854274</v>
      </c>
      <c r="K16">
        <f>TTEST(MASTER!B3:B49,MASTER!C3:C49,1,3)</f>
        <v>3.0252273344736947E-10</v>
      </c>
      <c r="L16">
        <f>TINV(L14*2,ROUND(J16,0))</f>
        <v>1.678660413556865</v>
      </c>
      <c r="O16" s="3" t="str">
        <f>IF(K16&lt;L14,"yes","no")</f>
        <v>yes</v>
      </c>
      <c r="P16">
        <f>SQRT(I16^2/(I16^2+J16))</f>
        <v>0.75382264768946539</v>
      </c>
      <c r="R16" t="s">
        <v>45</v>
      </c>
      <c r="S16" s="11">
        <f>S12+S13*NORMSINV(S10)-0.5</f>
        <v>886.48145259940225</v>
      </c>
      <c r="T16" s="5">
        <f>S12+S13*NORMSINV(S10/2)-0.5</f>
        <v>844.81066431133695</v>
      </c>
    </row>
    <row r="17" spans="1:20" x14ac:dyDescent="0.25">
      <c r="A17" t="s">
        <v>30</v>
      </c>
      <c r="B17" s="12">
        <f>ABS(B16)/SQRT(2*B6)</f>
        <v>0.57538591977713094</v>
      </c>
      <c r="G17" t="s">
        <v>32</v>
      </c>
      <c r="H17">
        <f>H16</f>
        <v>1.3170210524270551</v>
      </c>
      <c r="I17">
        <f>I16</f>
        <v>7.7867541525150932</v>
      </c>
      <c r="J17">
        <f>J16</f>
        <v>46.068952164854274</v>
      </c>
      <c r="K17">
        <f>TTEST(MASTER!B3:B49,MASTER!C3:C49,2,3)</f>
        <v>6.0504546689473894E-10</v>
      </c>
      <c r="L17">
        <f>TINV(L14,ROUND(J17,0))</f>
        <v>2.0128955989194299</v>
      </c>
      <c r="M17">
        <f>(I5-I6)-L17*H17</f>
        <v>-12.906345029050826</v>
      </c>
      <c r="N17">
        <f>(I5-I6)+L17*H17</f>
        <v>-7.6042932688215146</v>
      </c>
      <c r="O17" s="3" t="str">
        <f>IF(K17&lt;L14,"yes","no")</f>
        <v>yes</v>
      </c>
      <c r="P17">
        <f>P16</f>
        <v>0.75382264768946539</v>
      </c>
      <c r="R17" t="s">
        <v>25</v>
      </c>
      <c r="S17" s="12">
        <f>NORMSDIST(S14)</f>
        <v>9.6218093733880899E-14</v>
      </c>
      <c r="T17" s="7">
        <f>2*S17</f>
        <v>1.924361874677618E-13</v>
      </c>
    </row>
    <row r="18" spans="1:20" x14ac:dyDescent="0.25">
      <c r="A18" t="s">
        <v>51</v>
      </c>
      <c r="B18" s="11">
        <f>B14+B15*NORMSINV(B13)-0.5</f>
        <v>303.06620759229747</v>
      </c>
      <c r="C18" s="5">
        <f>B14+B15*NORMSINV(B13/2)-0.5</f>
        <v>278.74905738495818</v>
      </c>
      <c r="G18" s="2"/>
      <c r="H18" s="2"/>
      <c r="I18" s="2"/>
      <c r="J18" s="2"/>
      <c r="K18" s="2"/>
      <c r="L18" s="2"/>
      <c r="M18" s="2"/>
      <c r="N18" s="2"/>
      <c r="O18" s="2"/>
      <c r="P18" s="2"/>
      <c r="R18" t="s">
        <v>29</v>
      </c>
      <c r="S18" s="13" t="str">
        <f>IF(S17&lt;S10,"yes","no")</f>
        <v>yes</v>
      </c>
      <c r="T18" s="14" t="str">
        <f>IF(T17&lt;S10,"yes","no")</f>
        <v>yes</v>
      </c>
    </row>
    <row r="19" spans="1:20" x14ac:dyDescent="0.25">
      <c r="A19" t="s">
        <v>25</v>
      </c>
      <c r="B19" s="12">
        <f>NORMSDIST(B16)</f>
        <v>1.2124952670501762E-8</v>
      </c>
      <c r="C19" s="7">
        <f>2*B19</f>
        <v>2.4249905341003525E-8</v>
      </c>
    </row>
    <row r="20" spans="1:20" x14ac:dyDescent="0.25">
      <c r="A20" t="s">
        <v>29</v>
      </c>
      <c r="B20" s="13" t="str">
        <f>IF(B19&lt;B13,"yes","no")</f>
        <v>yes</v>
      </c>
      <c r="C20" s="14" t="str">
        <f>IF(C19&lt;B13,"yes","no")</f>
        <v>yes</v>
      </c>
    </row>
    <row r="22" spans="1:20" x14ac:dyDescent="0.25">
      <c r="A22" t="s">
        <v>51</v>
      </c>
      <c r="B22" s="11">
        <f>[1]!SRankCRIT(B7,B13,1)</f>
        <v>302</v>
      </c>
      <c r="C22" s="11">
        <f>[1]!SRankCRIT(B7,B13,2)</f>
        <v>279</v>
      </c>
    </row>
    <row r="23" spans="1:20" x14ac:dyDescent="0.25">
      <c r="A23" t="s">
        <v>29</v>
      </c>
      <c r="B23" s="13" t="str">
        <f>IF(B10&lt;B22,"yes","no")</f>
        <v>yes</v>
      </c>
      <c r="C23" s="13" t="str">
        <f>IF(B10&lt;C22,"yes","no")</f>
        <v>yes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37" sqref="G37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40" sqref="H40"/>
    </sheetView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37" sqref="I3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MASTER</vt:lpstr>
      <vt:lpstr>FB FRIENDS</vt:lpstr>
      <vt:lpstr>FB LOGINS</vt:lpstr>
      <vt:lpstr>FB HOURS</vt:lpstr>
      <vt:lpstr>CLOSE FRIENDS</vt:lpstr>
      <vt:lpstr>SOCIABILITY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marty</dc:creator>
  <cp:lastModifiedBy>marty</cp:lastModifiedBy>
  <dcterms:created xsi:type="dcterms:W3CDTF">2014-10-14T03:29:50Z</dcterms:created>
  <dcterms:modified xsi:type="dcterms:W3CDTF">2014-10-14T13:04:48Z</dcterms:modified>
</cp:coreProperties>
</file>