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vestment Banking\"/>
    </mc:Choice>
  </mc:AlternateContent>
  <xr:revisionPtr revIDLastSave="0" documentId="13_ncr:1_{FEAE1831-D54A-4085-94FD-57016E58C647}" xr6:coauthVersionLast="47" xr6:coauthVersionMax="47" xr10:uidLastSave="{00000000-0000-0000-0000-000000000000}"/>
  <bookViews>
    <workbookView xWindow="-120" yWindow="-120" windowWidth="29040" windowHeight="16440" activeTab="4" xr2:uid="{76D83269-D24A-4E51-B373-271C59433DC9}"/>
  </bookViews>
  <sheets>
    <sheet name="Assumption" sheetId="1" r:id="rId1"/>
    <sheet name="FCF Forecast" sheetId="2" r:id="rId2"/>
    <sheet name="DCF" sheetId="3" r:id="rId3"/>
    <sheet name="Sensitivity" sheetId="4" r:id="rId4"/>
    <sheet name="Football Field" sheetId="5" r:id="rId5"/>
    <sheet name="EV-EBITDA Comps" sheetId="8" r:id="rId6"/>
    <sheet name="LBO" sheetId="6" r:id="rId7"/>
    <sheet name="Precedents" sheetId="7" r:id="rId8"/>
  </sheets>
  <definedNames>
    <definedName name="_xlchart.v1.0" hidden="1">LBO!$A$26:$A$30</definedName>
    <definedName name="_xlchart.v1.1" hidden="1">LBO!$B$26:$B$30</definedName>
    <definedName name="_xlchart.v1.2" hidden="1">LBO!$A$26:$A$30</definedName>
    <definedName name="_xlchart.v1.3" hidden="1">LBO!$B$26:$B$30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2" i="4"/>
  <c r="K6" i="5"/>
  <c r="I4" i="5"/>
  <c r="H4" i="5"/>
  <c r="H5" i="5"/>
  <c r="B4" i="5"/>
  <c r="D4" i="5"/>
  <c r="C4" i="5"/>
  <c r="B13" i="8"/>
  <c r="B11" i="8"/>
  <c r="B9" i="8"/>
  <c r="B12" i="8"/>
  <c r="B10" i="8"/>
  <c r="B8" i="8"/>
  <c r="B7" i="8"/>
  <c r="D5" i="8"/>
  <c r="D3" i="8"/>
  <c r="D4" i="8"/>
  <c r="D2" i="8"/>
  <c r="K5" i="5"/>
  <c r="J5" i="5"/>
  <c r="I5" i="5"/>
  <c r="I6" i="5"/>
  <c r="H12" i="7"/>
  <c r="H14" i="7"/>
  <c r="H13" i="7"/>
  <c r="H11" i="7"/>
  <c r="H10" i="7"/>
  <c r="H9" i="7"/>
  <c r="H7" i="7"/>
  <c r="H8" i="7"/>
  <c r="H3" i="7"/>
  <c r="E3" i="7"/>
  <c r="E4" i="7"/>
  <c r="E5" i="7"/>
  <c r="E6" i="7"/>
  <c r="E2" i="7"/>
  <c r="H6" i="7" s="1"/>
  <c r="C5" i="5" s="1"/>
  <c r="B30" i="6"/>
  <c r="B29" i="6"/>
  <c r="B28" i="6"/>
  <c r="B27" i="6"/>
  <c r="B26" i="6"/>
  <c r="B23" i="6"/>
  <c r="B22" i="6"/>
  <c r="B21" i="6"/>
  <c r="H6" i="5"/>
  <c r="J6" i="5" s="1"/>
  <c r="C6" i="5"/>
  <c r="E6" i="5" s="1"/>
  <c r="B6" i="5"/>
  <c r="D6" i="5" s="1"/>
  <c r="G9" i="6"/>
  <c r="B11" i="6"/>
  <c r="G10" i="6"/>
  <c r="B10" i="6"/>
  <c r="B3" i="6"/>
  <c r="B19" i="1"/>
  <c r="B2" i="6"/>
  <c r="C2" i="6" s="1"/>
  <c r="I3" i="5"/>
  <c r="H3" i="5"/>
  <c r="J3" i="5" s="1"/>
  <c r="J4" i="5"/>
  <c r="E4" i="5"/>
  <c r="B3" i="5"/>
  <c r="D3" i="5" s="1"/>
  <c r="C3" i="5"/>
  <c r="C3" i="3"/>
  <c r="D3" i="3"/>
  <c r="E3" i="3"/>
  <c r="F3" i="3"/>
  <c r="B11" i="3"/>
  <c r="B9" i="3"/>
  <c r="B7" i="2"/>
  <c r="B2" i="2"/>
  <c r="B6" i="2" s="1"/>
  <c r="H2" i="7" l="1"/>
  <c r="H4" i="7" s="1"/>
  <c r="H5" i="7"/>
  <c r="B5" i="6"/>
  <c r="B6" i="6" s="1"/>
  <c r="C3" i="6" s="1"/>
  <c r="C5" i="6"/>
  <c r="D2" i="6"/>
  <c r="B4" i="6"/>
  <c r="B3" i="2"/>
  <c r="B8" i="2"/>
  <c r="C2" i="2"/>
  <c r="K4" i="5"/>
  <c r="K3" i="5"/>
  <c r="E3" i="5"/>
  <c r="B3" i="3"/>
  <c r="B5" i="5" l="1"/>
  <c r="D5" i="5" s="1"/>
  <c r="C6" i="6"/>
  <c r="D3" i="6" s="1"/>
  <c r="D4" i="6" s="1"/>
  <c r="C4" i="6"/>
  <c r="D5" i="6"/>
  <c r="D6" i="6" s="1"/>
  <c r="E3" i="6" s="1"/>
  <c r="E2" i="6"/>
  <c r="E4" i="6"/>
  <c r="B4" i="2"/>
  <c r="B5" i="2"/>
  <c r="B9" i="2" s="1"/>
  <c r="B2" i="3" s="1"/>
  <c r="B4" i="3" s="1"/>
  <c r="C6" i="2"/>
  <c r="D2" i="2"/>
  <c r="C8" i="2"/>
  <c r="C7" i="2"/>
  <c r="C3" i="2"/>
  <c r="E5" i="5" l="1"/>
  <c r="F2" i="6"/>
  <c r="E5" i="6"/>
  <c r="E6" i="6" s="1"/>
  <c r="F3" i="6" s="1"/>
  <c r="C4" i="2"/>
  <c r="C5" i="2" s="1"/>
  <c r="C9" i="2" s="1"/>
  <c r="C2" i="3" s="1"/>
  <c r="C4" i="3" s="1"/>
  <c r="E2" i="2"/>
  <c r="D6" i="2"/>
  <c r="D8" i="2"/>
  <c r="D7" i="2"/>
  <c r="D3" i="2"/>
  <c r="G2" i="6" l="1"/>
  <c r="F5" i="6"/>
  <c r="F6" i="6" s="1"/>
  <c r="G3" i="6" s="1"/>
  <c r="F4" i="6"/>
  <c r="F2" i="2"/>
  <c r="E3" i="2"/>
  <c r="E6" i="2"/>
  <c r="E8" i="2"/>
  <c r="E7" i="2"/>
  <c r="D4" i="2"/>
  <c r="D5" i="2" s="1"/>
  <c r="D9" i="2" s="1"/>
  <c r="D2" i="3" s="1"/>
  <c r="D4" i="3" s="1"/>
  <c r="G7" i="6" l="1"/>
  <c r="G5" i="6"/>
  <c r="G6" i="6" s="1"/>
  <c r="G8" i="6" s="1"/>
  <c r="G4" i="6"/>
  <c r="E4" i="2"/>
  <c r="E5" i="2" s="1"/>
  <c r="E9" i="2" s="1"/>
  <c r="E2" i="3" s="1"/>
  <c r="E4" i="3" s="1"/>
  <c r="F3" i="2"/>
  <c r="F6" i="2"/>
  <c r="F8" i="2"/>
  <c r="F7" i="2"/>
  <c r="F4" i="2" l="1"/>
  <c r="F5" i="2" s="1"/>
  <c r="F9" i="2" s="1"/>
  <c r="F2" i="3" s="1"/>
  <c r="F5" i="3" l="1"/>
  <c r="F6" i="3" s="1"/>
  <c r="F4" i="3"/>
  <c r="B7" i="3" l="1"/>
  <c r="B8" i="3" s="1"/>
  <c r="A2" i="4" l="1"/>
  <c r="B10" i="3"/>
  <c r="B12" i="3" s="1"/>
  <c r="A8" i="4" s="1"/>
</calcChain>
</file>

<file path=xl/sharedStrings.xml><?xml version="1.0" encoding="utf-8"?>
<sst xmlns="http://schemas.openxmlformats.org/spreadsheetml/2006/main" count="184" uniqueCount="116">
  <si>
    <t>Value</t>
  </si>
  <si>
    <t>Revenue (Year 1)</t>
  </si>
  <si>
    <t>Growth Rate</t>
  </si>
  <si>
    <t>Assumption</t>
  </si>
  <si>
    <t>Operating Margin</t>
  </si>
  <si>
    <t>Tax Rate</t>
  </si>
  <si>
    <t>Depreciation (% of Revenue)</t>
  </si>
  <si>
    <t>CapEx (% of Revenue)</t>
  </si>
  <si>
    <t>Change in NWC (% of Rev)</t>
  </si>
  <si>
    <t>Discount Rate (WACC)</t>
  </si>
  <si>
    <t>Terminal Growth Rate</t>
  </si>
  <si>
    <t>Forecast Period</t>
  </si>
  <si>
    <t>Year 1</t>
  </si>
  <si>
    <t>Year 2</t>
  </si>
  <si>
    <t>Year 3</t>
  </si>
  <si>
    <t>Year 4</t>
  </si>
  <si>
    <t>Year 5</t>
  </si>
  <si>
    <t>Revenue</t>
  </si>
  <si>
    <t>EBIT</t>
  </si>
  <si>
    <t>Taxes</t>
  </si>
  <si>
    <t>NOPAT</t>
  </si>
  <si>
    <t>Depreciation</t>
  </si>
  <si>
    <t>CapEx</t>
  </si>
  <si>
    <t>Change in NWC</t>
  </si>
  <si>
    <t>Free Cash Flow</t>
  </si>
  <si>
    <t>Discount Factor</t>
  </si>
  <si>
    <t>Discounted FCF</t>
  </si>
  <si>
    <t>Terminal Value</t>
  </si>
  <si>
    <t>Discounted TV</t>
  </si>
  <si>
    <t>Total Enterprise Value</t>
  </si>
  <si>
    <t>-</t>
  </si>
  <si>
    <t>Enterprise Value</t>
  </si>
  <si>
    <t>Less: Net Debt</t>
  </si>
  <si>
    <t>Equity Value</t>
  </si>
  <si>
    <t>Shares Outstanding</t>
  </si>
  <si>
    <t>Implied Share Price</t>
  </si>
  <si>
    <t>Total Debt</t>
  </si>
  <si>
    <t>Cash</t>
  </si>
  <si>
    <t>WACC (helper)</t>
  </si>
  <si>
    <t>Growth (helper)</t>
  </si>
  <si>
    <t>Method</t>
  </si>
  <si>
    <t>Low</t>
  </si>
  <si>
    <t>High</t>
  </si>
  <si>
    <t>DCF</t>
  </si>
  <si>
    <t>EV/EBITDA Comps</t>
  </si>
  <si>
    <t>Start</t>
  </si>
  <si>
    <t>Width</t>
  </si>
  <si>
    <t>Precedent Transactions</t>
  </si>
  <si>
    <t>LBO Exit Value</t>
  </si>
  <si>
    <t>Enterprise Value Sensitivity Table</t>
  </si>
  <si>
    <t>Implied Share Price Sensitivity Table</t>
  </si>
  <si>
    <t>EBITDA</t>
  </si>
  <si>
    <t>Interest Expense</t>
  </si>
  <si>
    <t>Debt Repayment</t>
  </si>
  <si>
    <t>Ending Debt</t>
  </si>
  <si>
    <t>MOIC</t>
  </si>
  <si>
    <t>IRR</t>
  </si>
  <si>
    <t>LBO Assumption</t>
  </si>
  <si>
    <t>Purchase Price (EV)</t>
  </si>
  <si>
    <t>Debt % of Purchase Price</t>
  </si>
  <si>
    <t>Equity % of Purchase Price</t>
  </si>
  <si>
    <t>Entry EBITDA</t>
  </si>
  <si>
    <t>EBITDA Growth Rate</t>
  </si>
  <si>
    <t>Exit Multiple (EV/EBITDA)</t>
  </si>
  <si>
    <t>Interest Rate on Debt</t>
  </si>
  <si>
    <t>Debt Paydown % of EBITDA</t>
  </si>
  <si>
    <t>Years to Exit</t>
  </si>
  <si>
    <t>Debt Balance (Start)</t>
  </si>
  <si>
    <t>Exit EV (only in Year 5)</t>
  </si>
  <si>
    <t>Exit Equity Value</t>
  </si>
  <si>
    <t>Year 0</t>
  </si>
  <si>
    <t>Cash Flow</t>
  </si>
  <si>
    <t>Scenario</t>
  </si>
  <si>
    <t>Bull</t>
  </si>
  <si>
    <t>Base</t>
  </si>
  <si>
    <t>Bear</t>
  </si>
  <si>
    <t>Exit Multiple</t>
  </si>
  <si>
    <t>Debt Paydown %</t>
  </si>
  <si>
    <t>Exit EBITDA</t>
  </si>
  <si>
    <t>Exit Enterprise Value</t>
  </si>
  <si>
    <t>Company</t>
  </si>
  <si>
    <t>Date</t>
  </si>
  <si>
    <t>EV</t>
  </si>
  <si>
    <t>EV/EBITDA</t>
  </si>
  <si>
    <t>Target A</t>
  </si>
  <si>
    <t>Target B</t>
  </si>
  <si>
    <t>Target C</t>
  </si>
  <si>
    <t>Target D</t>
  </si>
  <si>
    <t>Target E</t>
  </si>
  <si>
    <t>Median EV/EBITDA</t>
  </si>
  <si>
    <t>Current EBITDA</t>
  </si>
  <si>
    <t>Implied EV (Median)</t>
  </si>
  <si>
    <t>Low EV (25th)</t>
  </si>
  <si>
    <t>High EV (75th)</t>
  </si>
  <si>
    <t>Net Debt</t>
  </si>
  <si>
    <t>Median Equity Value</t>
  </si>
  <si>
    <t>Low Equity Value</t>
  </si>
  <si>
    <t>High Equity Value</t>
  </si>
  <si>
    <t>Median Share Price</t>
  </si>
  <si>
    <t>Low Share Price</t>
  </si>
  <si>
    <t>High Share Price</t>
  </si>
  <si>
    <t>Company Name</t>
  </si>
  <si>
    <t>Enterprise Value (EV)</t>
  </si>
  <si>
    <t>EV/EBITDA Multiple</t>
  </si>
  <si>
    <t>Notes</t>
  </si>
  <si>
    <t>Company A</t>
  </si>
  <si>
    <t>Company B</t>
  </si>
  <si>
    <t>Company C</t>
  </si>
  <si>
    <t>Median</t>
  </si>
  <si>
    <t>Peer 1</t>
  </si>
  <si>
    <t>Peer 2</t>
  </si>
  <si>
    <t>Peer 3</t>
  </si>
  <si>
    <t>Your EBITDA</t>
  </si>
  <si>
    <t>Implied EV</t>
  </si>
  <si>
    <t>Implied Equity Value</t>
  </si>
  <si>
    <t>Share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</si>
</sst>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\ &quot;years&quot;"/>
    <numFmt numFmtId="165" formatCode="0.0000"/>
    <numFmt numFmtId="166" formatCode=";;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2" fontId="0" fillId="0" borderId="0" xfId="0" applyNumberFormat="1"/>
    <xf numFmtId="165" fontId="0" fillId="0" borderId="0" xfId="0" applyNumberFormat="1"/>
    <xf numFmtId="0" fontId="2" fillId="3" borderId="0" xfId="0" applyFont="1" applyFill="1" applyAlignment="1">
      <alignment horizontal="center" vertical="center" wrapText="1"/>
    </xf>
    <xf numFmtId="2" fontId="0" fillId="6" borderId="0" xfId="0" applyNumberFormat="1" applyFill="1"/>
    <xf numFmtId="0" fontId="0" fillId="6" borderId="0" xfId="0" applyFill="1"/>
    <xf numFmtId="2" fontId="1" fillId="2" borderId="0" xfId="1" applyNumberFormat="1"/>
    <xf numFmtId="166" fontId="0" fillId="0" borderId="0" xfId="0" applyNumberFormat="1"/>
    <xf numFmtId="0" fontId="2" fillId="0" borderId="0" xfId="0" applyFont="1" applyAlignment="1">
      <alignment vertical="center" wrapText="1"/>
    </xf>
    <xf numFmtId="0" fontId="2" fillId="4" borderId="0" xfId="0" applyFont="1" applyFill="1"/>
    <xf numFmtId="0" fontId="2" fillId="5" borderId="0" xfId="0" applyFont="1" applyFill="1"/>
    <xf numFmtId="0" fontId="2" fillId="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9" fontId="0" fillId="0" borderId="0" xfId="0" applyNumberFormat="1"/>
    <xf numFmtId="10" fontId="4" fillId="0" borderId="0" xfId="0" applyNumberFormat="1" applyFont="1" applyAlignment="1">
      <alignment vertical="center" wrapText="1"/>
    </xf>
    <xf numFmtId="4" fontId="0" fillId="0" borderId="0" xfId="0" applyNumberFormat="1"/>
    <xf numFmtId="2" fontId="4" fillId="0" borderId="0" xfId="0" applyNumberFormat="1" applyFont="1" applyAlignment="1">
      <alignment vertical="center" wrapText="1"/>
    </xf>
    <xf numFmtId="0" fontId="2" fillId="0" borderId="0" xfId="0" applyFont="1"/>
    <xf numFmtId="14" fontId="0" fillId="0" borderId="0" xfId="0" applyNumberFormat="1" applyAlignment="1">
      <alignment vertical="center" wrapText="1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Enterprise Value</a:t>
            </a:r>
            <a:r>
              <a:rPr lang="en-US" baseline="0"/>
              <a:t> in USD (million)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'Football Field'!$A$3:$A$6</c:f>
              <c:strCache>
                <c:ptCount val="4"/>
                <c:pt idx="0">
                  <c:v>DCF</c:v>
                </c:pt>
                <c:pt idx="1">
                  <c:v>EV/EBITDA Comps</c:v>
                </c:pt>
                <c:pt idx="2">
                  <c:v>Precedent Transactions</c:v>
                </c:pt>
                <c:pt idx="3">
                  <c:v>LBO Exit Value</c:v>
                </c:pt>
              </c:strCache>
            </c:strRef>
          </c:cat>
          <c:val>
            <c:numRef>
              <c:f>'Football Field'!$D$3:$D$6</c:f>
              <c:numCache>
                <c:formatCode>General</c:formatCode>
                <c:ptCount val="4"/>
                <c:pt idx="0" formatCode="0.00">
                  <c:v>220.7698975288632</c:v>
                </c:pt>
                <c:pt idx="1">
                  <c:v>230</c:v>
                </c:pt>
                <c:pt idx="2">
                  <c:v>1183.8636111111111</c:v>
                </c:pt>
                <c:pt idx="3">
                  <c:v>432.89025000000026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4-48BB-8082-EEBA2ED8D64F}"/>
            </c:ext>
          </c:extLst>
        </c:ser>
        <c:ser>
          <c:idx val="1"/>
          <c:order val="1"/>
          <c:tx>
            <c:v>Valuation Range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Field'!$A$3:$A$6</c:f>
              <c:strCache>
                <c:ptCount val="4"/>
                <c:pt idx="0">
                  <c:v>DCF</c:v>
                </c:pt>
                <c:pt idx="1">
                  <c:v>EV/EBITDA Comps</c:v>
                </c:pt>
                <c:pt idx="2">
                  <c:v>Precedent Transactions</c:v>
                </c:pt>
                <c:pt idx="3">
                  <c:v>LBO Exit Value</c:v>
                </c:pt>
              </c:strCache>
            </c:strRef>
          </c:cat>
          <c:val>
            <c:numRef>
              <c:f>'Football Field'!$E$3:$E$6</c:f>
              <c:numCache>
                <c:formatCode>0.00</c:formatCode>
                <c:ptCount val="4"/>
                <c:pt idx="0">
                  <c:v>97.411960127911954</c:v>
                </c:pt>
                <c:pt idx="1">
                  <c:v>40</c:v>
                </c:pt>
                <c:pt idx="2">
                  <c:v>63.52438888888878</c:v>
                </c:pt>
                <c:pt idx="3" formatCode="General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4-48BB-8082-EEBA2ED8D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409616"/>
        <c:axId val="67569744"/>
      </c:barChart>
      <c:catAx>
        <c:axId val="18940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9744"/>
        <c:crosses val="autoZero"/>
        <c:auto val="1"/>
        <c:lblAlgn val="ctr"/>
        <c:lblOffset val="100"/>
        <c:noMultiLvlLbl val="0"/>
      </c:catAx>
      <c:valAx>
        <c:axId val="6756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0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/>
              <a:t>Implied Share Price Valuation Ranges (USD)</a:t>
            </a:r>
            <a:endParaRPr lang="en-US" sz="12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20776706592057"/>
          <c:y val="0.15436991173330186"/>
          <c:w val="0.85652073309384757"/>
          <c:h val="0.66567789284033119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'Football Field'!$G$3:$G$6</c:f>
              <c:strCache>
                <c:ptCount val="4"/>
                <c:pt idx="0">
                  <c:v>DCF</c:v>
                </c:pt>
                <c:pt idx="1">
                  <c:v>EV/EBITDA Comps</c:v>
                </c:pt>
                <c:pt idx="2">
                  <c:v>Precedent Transactions</c:v>
                </c:pt>
                <c:pt idx="3">
                  <c:v>LBO Exit Value</c:v>
                </c:pt>
              </c:strCache>
            </c:strRef>
          </c:cat>
          <c:val>
            <c:numRef>
              <c:f>'Football Field'!$J$3:$J$6</c:f>
              <c:numCache>
                <c:formatCode>General</c:formatCode>
                <c:ptCount val="4"/>
                <c:pt idx="0" formatCode="0.00">
                  <c:v>18.07698975288632</c:v>
                </c:pt>
                <c:pt idx="1">
                  <c:v>8.5</c:v>
                </c:pt>
                <c:pt idx="2">
                  <c:v>57.193180555555557</c:v>
                </c:pt>
                <c:pt idx="3">
                  <c:v>34.254635000000029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31-4BFC-88DC-315A147C7C0F}"/>
            </c:ext>
          </c:extLst>
        </c:ser>
        <c:ser>
          <c:idx val="1"/>
          <c:order val="1"/>
          <c:tx>
            <c:v>Implied Share Price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Field'!$G$3:$G$6</c:f>
              <c:strCache>
                <c:ptCount val="4"/>
                <c:pt idx="0">
                  <c:v>DCF</c:v>
                </c:pt>
                <c:pt idx="1">
                  <c:v>EV/EBITDA Comps</c:v>
                </c:pt>
                <c:pt idx="2">
                  <c:v>Precedent Transactions</c:v>
                </c:pt>
                <c:pt idx="3">
                  <c:v>LBO Exit Value</c:v>
                </c:pt>
              </c:strCache>
            </c:strRef>
          </c:cat>
          <c:val>
            <c:numRef>
              <c:f>'Football Field'!$K$3:$K$6</c:f>
              <c:numCache>
                <c:formatCode>0.00</c:formatCode>
                <c:ptCount val="4"/>
                <c:pt idx="0">
                  <c:v>9.7411960127911961</c:v>
                </c:pt>
                <c:pt idx="1">
                  <c:v>4</c:v>
                </c:pt>
                <c:pt idx="2">
                  <c:v>3.1762194444444418</c:v>
                </c:pt>
                <c:pt idx="3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31-4BFC-88DC-315A147C7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409616"/>
        <c:axId val="67569744"/>
      </c:barChart>
      <c:catAx>
        <c:axId val="18940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9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9744"/>
        <c:crosses val="autoZero"/>
        <c:auto val="1"/>
        <c:lblAlgn val="ctr"/>
        <c:lblOffset val="100"/>
        <c:noMultiLvlLbl val="0"/>
      </c:catAx>
      <c:valAx>
        <c:axId val="6756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0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35924140474036198"/>
          <c:y val="0.9234957173939311"/>
          <c:w val="0.31405993395564774"/>
          <c:h val="7.57216761839616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waterfall" uniqueId="{22EF9CBB-A8D4-4DF2-945B-718252E78708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12</xdr:row>
      <xdr:rowOff>27216</xdr:rowOff>
    </xdr:from>
    <xdr:to>
      <xdr:col>5</xdr:col>
      <xdr:colOff>29483</xdr:colOff>
      <xdr:row>25</xdr:row>
      <xdr:rowOff>122012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820C2F0-6682-896F-02C0-44EF9211A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517073</xdr:colOff>
      <xdr:row>11</xdr:row>
      <xdr:rowOff>154669</xdr:rowOff>
    </xdr:from>
    <xdr:to>
      <xdr:col>11</xdr:col>
      <xdr:colOff>242662</xdr:colOff>
      <xdr:row>26</xdr:row>
      <xdr:rowOff>133805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D003014-1DEC-4F30-B8CB-54D947BEC0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393103</xdr:colOff>
      <xdr:row>19</xdr:row>
      <xdr:rowOff>84137</xdr:rowOff>
    </xdr:from>
    <xdr:to>
      <xdr:col>10</xdr:col>
      <xdr:colOff>244078</xdr:colOff>
      <xdr:row>34</xdr:row>
      <xdr:rowOff>89296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7F4EC38-280A-0E63-A982-771910E8DB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1447" y="3477418"/>
              <a:ext cx="4708725" cy="26840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0E5C-9A82-4B7D-8662-E5F7D2F44CD5}">
  <dimension ref="A1:B25"/>
  <sheetViews>
    <sheetView showGridLines="0" topLeftCell="A4" zoomScale="145" zoomScaleNormal="145" workbookViewId="0">
      <selection activeCell="B13" sqref="B13"/>
    </sheetView>
  </sheetViews>
  <sheetFormatPr defaultRowHeight="14.5"/>
  <cols>
    <col min="1" max="1" width="16.08984375" bestFit="1" customWidth="1"/>
    <col min="2" max="2" width="9" bestFit="1" customWidth="1"/>
  </cols>
  <sheetData>
    <row r="1" spans="1:2">
      <c r="A1" s="7" t="s">
        <v>3</v>
      </c>
      <c r="B1" s="7" t="s">
        <v>0</v>
      </c>
    </row>
    <row r="2" spans="1:2">
      <c r="A2" s="12" t="s">
        <v>1</v>
      </c>
      <c r="B2" s="3">
        <v>100</v>
      </c>
    </row>
    <row r="3" spans="1:2">
      <c r="A3" s="12" t="s">
        <v>2</v>
      </c>
      <c r="B3" s="2">
        <v>0.08</v>
      </c>
    </row>
    <row r="4" spans="1:2">
      <c r="A4" s="12" t="s">
        <v>4</v>
      </c>
      <c r="B4" s="2">
        <v>0.2</v>
      </c>
    </row>
    <row r="5" spans="1:2">
      <c r="A5" s="12" t="s">
        <v>5</v>
      </c>
      <c r="B5" s="2">
        <v>0.25</v>
      </c>
    </row>
    <row r="6" spans="1:2" ht="29">
      <c r="A6" s="12" t="s">
        <v>6</v>
      </c>
      <c r="B6" s="2">
        <v>0.05</v>
      </c>
    </row>
    <row r="7" spans="1:2" ht="29">
      <c r="A7" s="12" t="s">
        <v>7</v>
      </c>
      <c r="B7" s="2">
        <v>0.04</v>
      </c>
    </row>
    <row r="8" spans="1:2" ht="29">
      <c r="A8" s="12" t="s">
        <v>8</v>
      </c>
      <c r="B8" s="2">
        <v>0.02</v>
      </c>
    </row>
    <row r="9" spans="1:2" ht="29">
      <c r="A9" s="12" t="s">
        <v>9</v>
      </c>
      <c r="B9" s="2">
        <v>0.09</v>
      </c>
    </row>
    <row r="10" spans="1:2" ht="29">
      <c r="A10" s="12" t="s">
        <v>10</v>
      </c>
      <c r="B10" s="2">
        <v>2.5000000000000001E-2</v>
      </c>
    </row>
    <row r="11" spans="1:2">
      <c r="A11" s="12" t="s">
        <v>11</v>
      </c>
      <c r="B11" s="4">
        <v>5</v>
      </c>
    </row>
    <row r="12" spans="1:2">
      <c r="A12" s="12" t="s">
        <v>36</v>
      </c>
      <c r="B12" s="3">
        <v>50</v>
      </c>
    </row>
    <row r="13" spans="1:2">
      <c r="A13" s="12" t="s">
        <v>37</v>
      </c>
      <c r="B13" s="5">
        <v>10</v>
      </c>
    </row>
    <row r="14" spans="1:2" ht="29">
      <c r="A14" s="12" t="s">
        <v>34</v>
      </c>
      <c r="B14" s="5">
        <v>20</v>
      </c>
    </row>
    <row r="15" spans="1:2">
      <c r="A15" s="12"/>
      <c r="B15" s="5"/>
    </row>
    <row r="16" spans="1:2">
      <c r="A16" s="20" t="s">
        <v>57</v>
      </c>
      <c r="B16" s="20"/>
    </row>
    <row r="17" spans="1:2" ht="29">
      <c r="A17" s="18" t="s">
        <v>58</v>
      </c>
      <c r="B17" s="19">
        <v>275</v>
      </c>
    </row>
    <row r="18" spans="1:2" ht="29">
      <c r="A18" s="18" t="s">
        <v>59</v>
      </c>
      <c r="B18" s="22">
        <v>0.6</v>
      </c>
    </row>
    <row r="19" spans="1:2" ht="29">
      <c r="A19" s="18" t="s">
        <v>60</v>
      </c>
      <c r="B19" s="22">
        <f>1-B18</f>
        <v>0.4</v>
      </c>
    </row>
    <row r="20" spans="1:2">
      <c r="A20" s="18" t="s">
        <v>61</v>
      </c>
      <c r="B20" s="19">
        <v>25</v>
      </c>
    </row>
    <row r="21" spans="1:2" ht="29">
      <c r="A21" s="18" t="s">
        <v>62</v>
      </c>
      <c r="B21" s="22">
        <v>0.1</v>
      </c>
    </row>
    <row r="22" spans="1:2" ht="29">
      <c r="A22" s="18" t="s">
        <v>63</v>
      </c>
      <c r="B22" s="24">
        <v>11</v>
      </c>
    </row>
    <row r="23" spans="1:2" ht="29">
      <c r="A23" s="18" t="s">
        <v>64</v>
      </c>
      <c r="B23" s="22">
        <v>0.08</v>
      </c>
    </row>
    <row r="24" spans="1:2" ht="29">
      <c r="A24" s="18" t="s">
        <v>65</v>
      </c>
      <c r="B24" s="22">
        <v>0.4</v>
      </c>
    </row>
    <row r="25" spans="1:2">
      <c r="A25" s="18" t="s">
        <v>66</v>
      </c>
      <c r="B25" s="19">
        <v>5</v>
      </c>
    </row>
  </sheetData>
  <mergeCells count="1"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1BE7-48DA-48EC-AAE3-B2112B565DDF}">
  <dimension ref="A1:F9"/>
  <sheetViews>
    <sheetView showGridLines="0" zoomScale="145" zoomScaleNormal="145" workbookViewId="0">
      <selection activeCell="B16" sqref="B16"/>
    </sheetView>
  </sheetViews>
  <sheetFormatPr defaultRowHeight="14.5"/>
  <cols>
    <col min="1" max="1" width="14.7265625" bestFit="1" customWidth="1"/>
  </cols>
  <sheetData>
    <row r="1" spans="1:6"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</row>
    <row r="2" spans="1:6">
      <c r="A2" s="14" t="s">
        <v>17</v>
      </c>
      <c r="B2" s="5">
        <f>Assumption!B2</f>
        <v>100</v>
      </c>
      <c r="C2" s="5">
        <f>B2*(1+Assumption!$B$3)</f>
        <v>108</v>
      </c>
      <c r="D2" s="5">
        <f>C2*(1+Assumption!$B$3)</f>
        <v>116.64000000000001</v>
      </c>
      <c r="E2" s="5">
        <f>D2*(1+Assumption!$B$3)</f>
        <v>125.97120000000002</v>
      </c>
      <c r="F2" s="5">
        <f>E2*(1+Assumption!$B$3)</f>
        <v>136.04889600000004</v>
      </c>
    </row>
    <row r="3" spans="1:6">
      <c r="A3" s="14" t="s">
        <v>18</v>
      </c>
      <c r="B3" s="5">
        <f>B2 * Assumption!$B$4</f>
        <v>20</v>
      </c>
      <c r="C3" s="5">
        <f>C2*Assumption!$B$4</f>
        <v>21.6</v>
      </c>
      <c r="D3" s="5">
        <f>D2*Assumption!$B$4</f>
        <v>23.328000000000003</v>
      </c>
      <c r="E3" s="5">
        <f>E2*Assumption!$B$4</f>
        <v>25.194240000000008</v>
      </c>
      <c r="F3" s="5">
        <f>F2*Assumption!$B$4</f>
        <v>27.20977920000001</v>
      </c>
    </row>
    <row r="4" spans="1:6">
      <c r="A4" s="14" t="s">
        <v>19</v>
      </c>
      <c r="B4" s="5">
        <f>B3*Assumption!$B$5</f>
        <v>5</v>
      </c>
      <c r="C4" s="5">
        <f>C3*Assumption!$B$5</f>
        <v>5.4</v>
      </c>
      <c r="D4" s="5">
        <f>D3*Assumption!$B$5</f>
        <v>5.8320000000000007</v>
      </c>
      <c r="E4" s="5">
        <f>E3*Assumption!$B$5</f>
        <v>6.2985600000000019</v>
      </c>
      <c r="F4" s="5">
        <f>F3*Assumption!$B$5</f>
        <v>6.8024448000000026</v>
      </c>
    </row>
    <row r="5" spans="1:6">
      <c r="A5" s="14" t="s">
        <v>20</v>
      </c>
      <c r="B5" s="5">
        <f>B3-B4</f>
        <v>15</v>
      </c>
      <c r="C5" s="5">
        <f t="shared" ref="C5:F5" si="0">C3-C4</f>
        <v>16.200000000000003</v>
      </c>
      <c r="D5" s="5">
        <f t="shared" si="0"/>
        <v>17.496000000000002</v>
      </c>
      <c r="E5" s="5">
        <f t="shared" si="0"/>
        <v>18.895680000000006</v>
      </c>
      <c r="F5" s="5">
        <f t="shared" si="0"/>
        <v>20.407334400000007</v>
      </c>
    </row>
    <row r="6" spans="1:6">
      <c r="A6" s="14" t="s">
        <v>21</v>
      </c>
      <c r="B6" s="5">
        <f>B2 * Assumption!$B$6</f>
        <v>5</v>
      </c>
      <c r="C6" s="5">
        <f>C2 * Assumption!$B$6</f>
        <v>5.4</v>
      </c>
      <c r="D6" s="5">
        <f>D2 * Assumption!$B$6</f>
        <v>5.8320000000000007</v>
      </c>
      <c r="E6" s="5">
        <f>E2 * Assumption!$B$6</f>
        <v>6.2985600000000019</v>
      </c>
      <c r="F6" s="5">
        <f>F2 * Assumption!$B$6</f>
        <v>6.8024448000000026</v>
      </c>
    </row>
    <row r="7" spans="1:6">
      <c r="A7" s="14" t="s">
        <v>22</v>
      </c>
      <c r="B7" s="5">
        <f>B2*Assumption!$B$7</f>
        <v>4</v>
      </c>
      <c r="C7" s="5">
        <f>C2*Assumption!$B$7</f>
        <v>4.32</v>
      </c>
      <c r="D7" s="5">
        <f>D2*Assumption!$B$7</f>
        <v>4.6656000000000004</v>
      </c>
      <c r="E7" s="5">
        <f>E2*Assumption!$B$7</f>
        <v>5.0388480000000007</v>
      </c>
      <c r="F7" s="5">
        <f>F2*Assumption!$B$7</f>
        <v>5.4419558400000021</v>
      </c>
    </row>
    <row r="8" spans="1:6">
      <c r="A8" s="14" t="s">
        <v>23</v>
      </c>
      <c r="B8" s="5">
        <f>B2*Assumption!$B$8</f>
        <v>2</v>
      </c>
      <c r="C8" s="5">
        <f>C2*Assumption!$B$8</f>
        <v>2.16</v>
      </c>
      <c r="D8" s="5">
        <f>D2*Assumption!$B$8</f>
        <v>2.3328000000000002</v>
      </c>
      <c r="E8" s="5">
        <f>E2*Assumption!$B$8</f>
        <v>2.5194240000000003</v>
      </c>
      <c r="F8" s="5">
        <f>F2*Assumption!$B$8</f>
        <v>2.720977920000001</v>
      </c>
    </row>
    <row r="9" spans="1:6">
      <c r="A9" s="14" t="s">
        <v>24</v>
      </c>
      <c r="B9" s="5">
        <f>B5+B6-B7-B8</f>
        <v>14</v>
      </c>
      <c r="C9" s="5">
        <f t="shared" ref="C9:F9" si="1">C5+C6-C7-C8</f>
        <v>15.120000000000001</v>
      </c>
      <c r="D9" s="5">
        <f t="shared" si="1"/>
        <v>16.329600000000003</v>
      </c>
      <c r="E9" s="5">
        <f t="shared" si="1"/>
        <v>17.635968000000005</v>
      </c>
      <c r="F9" s="5">
        <f t="shared" si="1"/>
        <v>19.046845440000006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1A68-AC30-45E9-BF5D-6A6568A4A932}">
  <dimension ref="A1:F12"/>
  <sheetViews>
    <sheetView showGridLines="0" zoomScale="160" zoomScaleNormal="160" workbookViewId="0">
      <selection activeCell="B10" sqref="B10"/>
    </sheetView>
  </sheetViews>
  <sheetFormatPr defaultRowHeight="14.5"/>
  <cols>
    <col min="1" max="1" width="20.81640625" bestFit="1" customWidth="1"/>
    <col min="8" max="8" width="16" bestFit="1" customWidth="1"/>
  </cols>
  <sheetData>
    <row r="1" spans="1:6"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</row>
    <row r="2" spans="1:6">
      <c r="A2" s="14" t="s">
        <v>24</v>
      </c>
      <c r="B2" s="5">
        <f xml:space="preserve"> 'FCF Forecast'!B9</f>
        <v>14</v>
      </c>
      <c r="C2" s="5">
        <f xml:space="preserve"> 'FCF Forecast'!C9</f>
        <v>15.120000000000001</v>
      </c>
      <c r="D2" s="5">
        <f xml:space="preserve"> 'FCF Forecast'!D9</f>
        <v>16.329600000000003</v>
      </c>
      <c r="E2" s="5">
        <f xml:space="preserve"> 'FCF Forecast'!E9</f>
        <v>17.635968000000005</v>
      </c>
      <c r="F2" s="5">
        <f xml:space="preserve"> 'FCF Forecast'!F9</f>
        <v>19.046845440000006</v>
      </c>
    </row>
    <row r="3" spans="1:6">
      <c r="A3" s="14" t="s">
        <v>25</v>
      </c>
      <c r="B3" s="6">
        <f>1/(1+Sensitivity!$G$2)^COLUMN(A1)</f>
        <v>0.9174311926605504</v>
      </c>
      <c r="C3" s="6">
        <f>1 / (1 + Assumption!$B$9)^COLUMN(B1)</f>
        <v>0.84167999326655996</v>
      </c>
      <c r="D3" s="6">
        <f>1 / (1 + Assumption!$B$9)^COLUMN(C1)</f>
        <v>0.77218348006106419</v>
      </c>
      <c r="E3" s="6">
        <f>1 / (1 + Assumption!$B$9)^COLUMN(D1)</f>
        <v>0.7084252110651964</v>
      </c>
      <c r="F3" s="6">
        <f>1 / (1 + Assumption!$B$9)^COLUMN(E1)</f>
        <v>0.64993138629834524</v>
      </c>
    </row>
    <row r="4" spans="1:6">
      <c r="A4" s="14" t="s">
        <v>26</v>
      </c>
      <c r="B4" s="5">
        <f xml:space="preserve"> B2 * B3</f>
        <v>12.844036697247706</v>
      </c>
      <c r="C4" s="5">
        <f t="shared" ref="C4:F4" si="0" xml:space="preserve"> C2 * C3</f>
        <v>12.726201498190388</v>
      </c>
      <c r="D4" s="5">
        <f t="shared" si="0"/>
        <v>12.609447356005155</v>
      </c>
      <c r="E4" s="5">
        <f t="shared" si="0"/>
        <v>12.493764352739053</v>
      </c>
      <c r="F4" s="5">
        <f t="shared" si="0"/>
        <v>12.379142661429519</v>
      </c>
    </row>
    <row r="5" spans="1:6">
      <c r="A5" s="14" t="s">
        <v>27</v>
      </c>
      <c r="B5" s="5" t="s">
        <v>30</v>
      </c>
      <c r="C5" s="5" t="s">
        <v>30</v>
      </c>
      <c r="D5" s="5" t="s">
        <v>30</v>
      </c>
      <c r="E5" s="5" t="s">
        <v>30</v>
      </c>
      <c r="F5" s="8">
        <f xml:space="preserve"> F2 * (1 + Sensitivity!$G$3) / (Sensitivity!$G$2 - Sensitivity!$G$3)</f>
        <v>300.35410116923083</v>
      </c>
    </row>
    <row r="6" spans="1:6">
      <c r="A6" s="14" t="s">
        <v>28</v>
      </c>
      <c r="B6" s="5" t="s">
        <v>30</v>
      </c>
      <c r="C6" s="5" t="s">
        <v>30</v>
      </c>
      <c r="D6" s="5" t="s">
        <v>30</v>
      </c>
      <c r="E6" s="5" t="s">
        <v>30</v>
      </c>
      <c r="F6" s="5">
        <f xml:space="preserve"> F5 * F3</f>
        <v>195.20955735331162</v>
      </c>
    </row>
    <row r="7" spans="1:6">
      <c r="A7" s="14" t="s">
        <v>29</v>
      </c>
      <c r="B7" s="5">
        <f>SUM(B4:F4) + F6</f>
        <v>258.26214991892346</v>
      </c>
      <c r="C7" s="5" t="s">
        <v>30</v>
      </c>
      <c r="D7" s="5" t="s">
        <v>30</v>
      </c>
      <c r="E7" s="5" t="s">
        <v>30</v>
      </c>
      <c r="F7" s="5" t="s">
        <v>30</v>
      </c>
    </row>
    <row r="8" spans="1:6">
      <c r="A8" s="14" t="s">
        <v>31</v>
      </c>
      <c r="B8" s="5">
        <f>B7</f>
        <v>258.26214991892346</v>
      </c>
      <c r="C8" s="5" t="s">
        <v>30</v>
      </c>
      <c r="D8" s="5" t="s">
        <v>30</v>
      </c>
      <c r="E8" s="5" t="s">
        <v>30</v>
      </c>
      <c r="F8" s="5" t="s">
        <v>30</v>
      </c>
    </row>
    <row r="9" spans="1:6">
      <c r="A9" s="14" t="s">
        <v>32</v>
      </c>
      <c r="B9" s="5">
        <f>Assumption!B12-Assumption!B13</f>
        <v>40</v>
      </c>
      <c r="C9" s="5" t="s">
        <v>30</v>
      </c>
      <c r="D9" s="5" t="s">
        <v>30</v>
      </c>
      <c r="E9" s="5" t="s">
        <v>30</v>
      </c>
      <c r="F9" s="5" t="s">
        <v>30</v>
      </c>
    </row>
    <row r="10" spans="1:6">
      <c r="A10" s="14" t="s">
        <v>33</v>
      </c>
      <c r="B10" s="10">
        <f>B8-B9</f>
        <v>218.26214991892346</v>
      </c>
      <c r="C10" s="5" t="s">
        <v>30</v>
      </c>
      <c r="D10" s="5" t="s">
        <v>30</v>
      </c>
      <c r="E10" s="5" t="s">
        <v>30</v>
      </c>
      <c r="F10" s="5" t="s">
        <v>30</v>
      </c>
    </row>
    <row r="11" spans="1:6">
      <c r="A11" s="14" t="s">
        <v>34</v>
      </c>
      <c r="B11" s="5">
        <f>Assumption!B13</f>
        <v>10</v>
      </c>
      <c r="C11" s="5" t="s">
        <v>30</v>
      </c>
      <c r="D11" s="5" t="s">
        <v>30</v>
      </c>
      <c r="E11" s="5" t="s">
        <v>30</v>
      </c>
      <c r="F11" s="5" t="s">
        <v>30</v>
      </c>
    </row>
    <row r="12" spans="1:6">
      <c r="A12" s="14" t="s">
        <v>35</v>
      </c>
      <c r="B12" s="9">
        <f>B10/B11</f>
        <v>21.826214991892346</v>
      </c>
      <c r="C12" s="5" t="s">
        <v>30</v>
      </c>
      <c r="D12" s="5" t="s">
        <v>30</v>
      </c>
      <c r="E12" s="5" t="s">
        <v>30</v>
      </c>
      <c r="F12" s="5" t="s">
        <v>30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43F1-03FB-4FFD-B82F-49AE93D9EDD7}">
  <dimension ref="A1:G11"/>
  <sheetViews>
    <sheetView showGridLines="0" zoomScale="145" zoomScaleNormal="145" workbookViewId="0">
      <selection activeCell="E29" sqref="E29"/>
    </sheetView>
  </sheetViews>
  <sheetFormatPr defaultRowHeight="14.5"/>
  <cols>
    <col min="6" max="6" width="15.453125" bestFit="1" customWidth="1"/>
  </cols>
  <sheetData>
    <row r="1" spans="1:7">
      <c r="A1" s="15" t="s">
        <v>49</v>
      </c>
      <c r="B1" s="15"/>
      <c r="C1" s="15"/>
      <c r="D1" s="15"/>
    </row>
    <row r="2" spans="1:7">
      <c r="A2" s="11">
        <f>DCF!B8</f>
        <v>258.26214991892346</v>
      </c>
      <c r="B2" s="1">
        <v>0.02</v>
      </c>
      <c r="C2" s="1">
        <v>2.5000000000000001E-2</v>
      </c>
      <c r="D2" s="1">
        <v>0.03</v>
      </c>
      <c r="E2" s="1"/>
      <c r="F2" t="s">
        <v>38</v>
      </c>
      <c r="G2" s="1">
        <f>Assumption!B9</f>
        <v>0.09</v>
      </c>
    </row>
    <row r="3" spans="1:7">
      <c r="A3" s="1">
        <v>0.08</v>
      </c>
      <c r="B3" s="5">
        <f t="dataTable" ref="B3:D5" dt2D="1" dtr="1" r1="G3" r2="G2"/>
        <v>273.61694407562891</v>
      </c>
      <c r="C3">
        <v>293.87372297614991</v>
      </c>
      <c r="D3">
        <v>318.18185765677515</v>
      </c>
      <c r="F3" t="s">
        <v>39</v>
      </c>
      <c r="G3" s="1">
        <f>Assumption!B10</f>
        <v>2.5000000000000001E-2</v>
      </c>
    </row>
    <row r="4" spans="1:7">
      <c r="A4" s="1">
        <v>0.09</v>
      </c>
      <c r="B4">
        <v>243.43438563215625</v>
      </c>
      <c r="C4">
        <v>258.26214991892346</v>
      </c>
      <c r="D4">
        <v>275.56120825348523</v>
      </c>
    </row>
    <row r="5" spans="1:7">
      <c r="A5" s="1">
        <v>0.1</v>
      </c>
      <c r="B5">
        <v>220.7698975288632</v>
      </c>
      <c r="C5">
        <v>232.11744496850687</v>
      </c>
      <c r="D5">
        <v>245.08607061381406</v>
      </c>
    </row>
    <row r="7" spans="1:7">
      <c r="A7" s="16" t="s">
        <v>50</v>
      </c>
      <c r="B7" s="16"/>
      <c r="C7" s="16"/>
      <c r="D7" s="16"/>
    </row>
    <row r="8" spans="1:7">
      <c r="A8" s="11">
        <f>DCF!$B$12</f>
        <v>21.826214991892346</v>
      </c>
      <c r="B8" s="1">
        <v>0.02</v>
      </c>
      <c r="C8" s="1">
        <v>2.5000000000000001E-2</v>
      </c>
      <c r="D8" s="1">
        <v>0.03</v>
      </c>
    </row>
    <row r="9" spans="1:7">
      <c r="A9" s="1">
        <v>0.08</v>
      </c>
      <c r="B9" s="5">
        <f t="dataTable" ref="B9:D11" dt2D="1" dtr="1" r1="G3" r2="G2" ca="1"/>
        <v>23.36169440756289</v>
      </c>
      <c r="C9">
        <v>25.387372297614991</v>
      </c>
      <c r="D9">
        <v>27.818185765677516</v>
      </c>
    </row>
    <row r="10" spans="1:7">
      <c r="A10" s="1">
        <v>0.09</v>
      </c>
      <c r="B10">
        <v>20.343438563215624</v>
      </c>
      <c r="C10">
        <v>21.826214991892346</v>
      </c>
      <c r="D10">
        <v>23.556120825348522</v>
      </c>
    </row>
    <row r="11" spans="1:7">
      <c r="A11" s="1">
        <v>0.1</v>
      </c>
      <c r="B11">
        <v>18.07698975288632</v>
      </c>
      <c r="C11">
        <v>19.211744496850688</v>
      </c>
      <c r="D11">
        <v>20.508607061381404</v>
      </c>
    </row>
  </sheetData>
  <mergeCells count="2">
    <mergeCell ref="A1:D1"/>
    <mergeCell ref="A7:D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54B7-6FEB-494F-B72C-89F204C2073F}">
  <dimension ref="A1:K6"/>
  <sheetViews>
    <sheetView showGridLines="0" tabSelected="1" zoomScale="175" zoomScaleNormal="175" workbookViewId="0">
      <selection activeCell="K8" sqref="K8"/>
    </sheetView>
  </sheetViews>
  <sheetFormatPr defaultRowHeight="14.5"/>
  <cols>
    <col min="1" max="1" width="22" bestFit="1" customWidth="1"/>
    <col min="7" max="7" width="17" bestFit="1" customWidth="1"/>
  </cols>
  <sheetData>
    <row r="1" spans="1:11">
      <c r="A1" s="15" t="s">
        <v>49</v>
      </c>
      <c r="B1" s="15"/>
      <c r="C1" s="15"/>
      <c r="D1" s="15"/>
      <c r="E1" s="15"/>
      <c r="G1" s="16" t="s">
        <v>50</v>
      </c>
      <c r="H1" s="16"/>
      <c r="I1" s="16"/>
      <c r="J1" s="16"/>
      <c r="K1" s="16"/>
    </row>
    <row r="2" spans="1:11">
      <c r="A2" t="s">
        <v>40</v>
      </c>
      <c r="B2" t="s">
        <v>41</v>
      </c>
      <c r="C2" t="s">
        <v>42</v>
      </c>
      <c r="D2" t="s">
        <v>45</v>
      </c>
      <c r="E2" t="s">
        <v>46</v>
      </c>
      <c r="G2" t="s">
        <v>40</v>
      </c>
      <c r="H2" t="s">
        <v>41</v>
      </c>
      <c r="I2" t="s">
        <v>42</v>
      </c>
      <c r="J2" t="s">
        <v>45</v>
      </c>
      <c r="K2" t="s">
        <v>46</v>
      </c>
    </row>
    <row r="3" spans="1:11">
      <c r="A3" t="s">
        <v>43</v>
      </c>
      <c r="B3" s="5">
        <f>MIN(Sensitivity!$B$3:$D$5)</f>
        <v>220.7698975288632</v>
      </c>
      <c r="C3" s="5">
        <f>MAX(Sensitivity!$B$3:$D$5)</f>
        <v>318.18185765677515</v>
      </c>
      <c r="D3" s="5">
        <f>B3</f>
        <v>220.7698975288632</v>
      </c>
      <c r="E3" s="5">
        <f>C3-B3</f>
        <v>97.411960127911954</v>
      </c>
      <c r="G3" t="s">
        <v>43</v>
      </c>
      <c r="H3" s="5">
        <f>MIN(Sensitivity!$B$9:$D$11)</f>
        <v>18.07698975288632</v>
      </c>
      <c r="I3" s="5">
        <f>MAX(Sensitivity!$B$9:$D$11)</f>
        <v>27.818185765677516</v>
      </c>
      <c r="J3" s="5">
        <f>H3</f>
        <v>18.07698975288632</v>
      </c>
      <c r="K3" s="5">
        <f>I3-H3</f>
        <v>9.7411960127911961</v>
      </c>
    </row>
    <row r="4" spans="1:11">
      <c r="A4" t="s">
        <v>44</v>
      </c>
      <c r="B4">
        <f>'EV-EBITDA Comps'!B9-20</f>
        <v>230</v>
      </c>
      <c r="C4">
        <f>'EV-EBITDA Comps'!B9+20</f>
        <v>270</v>
      </c>
      <c r="D4">
        <f>B4</f>
        <v>230</v>
      </c>
      <c r="E4" s="5">
        <f t="shared" ref="E4:E5" si="0">C4-B4</f>
        <v>40</v>
      </c>
      <c r="G4" t="s">
        <v>44</v>
      </c>
      <c r="H4">
        <f>'EV-EBITDA Comps'!B13-2</f>
        <v>8.5</v>
      </c>
      <c r="I4">
        <f>'EV-EBITDA Comps'!B13+2</f>
        <v>12.5</v>
      </c>
      <c r="J4">
        <f>H4</f>
        <v>8.5</v>
      </c>
      <c r="K4" s="5">
        <f t="shared" ref="K4:K6" si="1">I4-H4</f>
        <v>4</v>
      </c>
    </row>
    <row r="5" spans="1:11">
      <c r="A5" t="s">
        <v>47</v>
      </c>
      <c r="B5">
        <f>Precedents!H5</f>
        <v>1183.8636111111111</v>
      </c>
      <c r="C5">
        <f>Precedents!H6</f>
        <v>1247.3879999999999</v>
      </c>
      <c r="D5">
        <f>B5</f>
        <v>1183.8636111111111</v>
      </c>
      <c r="E5" s="5">
        <f t="shared" si="0"/>
        <v>63.52438888888878</v>
      </c>
      <c r="G5" t="s">
        <v>47</v>
      </c>
      <c r="H5">
        <f>Precedents!H13</f>
        <v>57.193180555555557</v>
      </c>
      <c r="I5">
        <f>Precedents!H14</f>
        <v>60.369399999999999</v>
      </c>
      <c r="J5">
        <f>H5</f>
        <v>57.193180555555557</v>
      </c>
      <c r="K5" s="5">
        <f>I5-H5</f>
        <v>3.1762194444444418</v>
      </c>
    </row>
    <row r="6" spans="1:11">
      <c r="A6" t="s">
        <v>48</v>
      </c>
      <c r="B6">
        <f>LBO!$G$7-10</f>
        <v>432.89025000000026</v>
      </c>
      <c r="C6">
        <f>LBO!G7+10</f>
        <v>452.89025000000026</v>
      </c>
      <c r="D6">
        <f>B6</f>
        <v>432.89025000000026</v>
      </c>
      <c r="E6">
        <f>C6-B6</f>
        <v>20</v>
      </c>
      <c r="G6" t="s">
        <v>48</v>
      </c>
      <c r="H6">
        <f>(LBO!G8/DCF!B11)-1.25</f>
        <v>34.254635000000029</v>
      </c>
      <c r="I6">
        <f>(LBO!G8/DCF!B11)+1.25</f>
        <v>36.754635000000029</v>
      </c>
      <c r="J6">
        <f>H6</f>
        <v>34.254635000000029</v>
      </c>
      <c r="K6" s="5">
        <f>I6-H6</f>
        <v>2.5</v>
      </c>
    </row>
  </sheetData>
  <mergeCells count="2">
    <mergeCell ref="A1:E1"/>
    <mergeCell ref="G1:K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C5EF-8C0A-405C-9D4D-A2C3EDF080D2}">
  <dimension ref="A1:E13"/>
  <sheetViews>
    <sheetView zoomScale="145" zoomScaleNormal="145" workbookViewId="0">
      <selection activeCell="C9" sqref="C9"/>
    </sheetView>
  </sheetViews>
  <sheetFormatPr defaultRowHeight="14.5"/>
  <cols>
    <col min="1" max="1" width="18.453125" customWidth="1"/>
    <col min="2" max="2" width="18.453125" bestFit="1" customWidth="1"/>
    <col min="4" max="4" width="17.36328125" bestFit="1" customWidth="1"/>
  </cols>
  <sheetData>
    <row r="1" spans="1:5">
      <c r="A1" s="25" t="s">
        <v>101</v>
      </c>
      <c r="B1" s="25" t="s">
        <v>102</v>
      </c>
      <c r="C1" s="25" t="s">
        <v>51</v>
      </c>
      <c r="D1" s="25" t="s">
        <v>103</v>
      </c>
      <c r="E1" s="25" t="s">
        <v>104</v>
      </c>
    </row>
    <row r="2" spans="1:5">
      <c r="A2" t="s">
        <v>105</v>
      </c>
      <c r="B2">
        <v>500</v>
      </c>
      <c r="C2">
        <v>50</v>
      </c>
      <c r="D2">
        <f>B2/C2</f>
        <v>10</v>
      </c>
      <c r="E2" t="s">
        <v>109</v>
      </c>
    </row>
    <row r="3" spans="1:5">
      <c r="A3" t="s">
        <v>106</v>
      </c>
      <c r="B3">
        <v>600</v>
      </c>
      <c r="C3">
        <v>60</v>
      </c>
      <c r="D3">
        <f t="shared" ref="D3:D4" si="0">B3/C3</f>
        <v>10</v>
      </c>
      <c r="E3" t="s">
        <v>110</v>
      </c>
    </row>
    <row r="4" spans="1:5">
      <c r="A4" t="s">
        <v>107</v>
      </c>
      <c r="B4">
        <v>400</v>
      </c>
      <c r="C4">
        <v>40</v>
      </c>
      <c r="D4">
        <f t="shared" si="0"/>
        <v>10</v>
      </c>
      <c r="E4" t="s">
        <v>111</v>
      </c>
    </row>
    <row r="5" spans="1:5">
      <c r="A5" t="s">
        <v>108</v>
      </c>
      <c r="D5">
        <f>MEDIAN(D2:D4)</f>
        <v>10</v>
      </c>
    </row>
    <row r="7" spans="1:5">
      <c r="A7" t="s">
        <v>112</v>
      </c>
      <c r="B7">
        <f>Assumption!B20</f>
        <v>25</v>
      </c>
    </row>
    <row r="8" spans="1:5">
      <c r="A8" t="s">
        <v>89</v>
      </c>
      <c r="B8">
        <f>D5</f>
        <v>10</v>
      </c>
    </row>
    <row r="9" spans="1:5">
      <c r="A9" t="s">
        <v>113</v>
      </c>
      <c r="B9">
        <f>B7 * B8</f>
        <v>250</v>
      </c>
    </row>
    <row r="10" spans="1:5">
      <c r="A10" t="s">
        <v>94</v>
      </c>
      <c r="B10" s="5">
        <f>Assumption!B12-Assumption!B13</f>
        <v>40</v>
      </c>
    </row>
    <row r="11" spans="1:5">
      <c r="A11" t="s">
        <v>114</v>
      </c>
      <c r="B11" s="5">
        <f>B9 - B10</f>
        <v>210</v>
      </c>
    </row>
    <row r="12" spans="1:5">
      <c r="A12" t="s">
        <v>115</v>
      </c>
      <c r="B12" s="5">
        <f>Assumption!B14</f>
        <v>20</v>
      </c>
    </row>
    <row r="13" spans="1:5">
      <c r="A13" t="s">
        <v>35</v>
      </c>
      <c r="B13">
        <f>B11 / B12</f>
        <v>10.5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4FBD-6CDB-4A35-A88C-FC0EC2366DC9}">
  <dimension ref="A1:G30"/>
  <sheetViews>
    <sheetView zoomScale="160" zoomScaleNormal="160" workbookViewId="0">
      <selection activeCell="G3" sqref="G3"/>
    </sheetView>
  </sheetViews>
  <sheetFormatPr defaultRowHeight="14.5"/>
  <cols>
    <col min="1" max="1" width="19.7265625" customWidth="1"/>
  </cols>
  <sheetData>
    <row r="1" spans="1:7">
      <c r="A1" s="17"/>
      <c r="B1" s="17" t="s">
        <v>70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</row>
    <row r="2" spans="1:7">
      <c r="A2" s="18" t="s">
        <v>51</v>
      </c>
      <c r="B2" s="18">
        <f>Assumption!B20</f>
        <v>25</v>
      </c>
      <c r="C2" s="23">
        <f>B2*(1+Assumption!$B21)</f>
        <v>27.500000000000004</v>
      </c>
      <c r="D2" s="23">
        <f>C2*(1+Assumption!$B21)</f>
        <v>30.250000000000007</v>
      </c>
      <c r="E2" s="23">
        <f>D2*(1+Assumption!$B21)</f>
        <v>33.275000000000013</v>
      </c>
      <c r="F2" s="23">
        <f>E2*(1+Assumption!$B21)</f>
        <v>36.60250000000002</v>
      </c>
      <c r="G2" s="23">
        <f>F2*(1+Assumption!$B21)</f>
        <v>40.262750000000025</v>
      </c>
    </row>
    <row r="3" spans="1:7">
      <c r="A3" s="18" t="s">
        <v>67</v>
      </c>
      <c r="B3">
        <f>Assumption!B17 * Assumption!B18</f>
        <v>165</v>
      </c>
      <c r="C3" s="3">
        <f>B6</f>
        <v>155</v>
      </c>
      <c r="D3" s="3">
        <f t="shared" ref="D3:G3" si="0">C6</f>
        <v>144</v>
      </c>
      <c r="E3" s="3">
        <f t="shared" si="0"/>
        <v>131.9</v>
      </c>
      <c r="F3" s="3">
        <f t="shared" si="0"/>
        <v>118.59</v>
      </c>
      <c r="G3" s="3">
        <f t="shared" si="0"/>
        <v>103.949</v>
      </c>
    </row>
    <row r="4" spans="1:7">
      <c r="A4" s="18" t="s">
        <v>52</v>
      </c>
      <c r="B4" s="5">
        <f>B3*Assumption!$B23</f>
        <v>13.200000000000001</v>
      </c>
      <c r="C4" s="5">
        <f>C3*Assumption!$B23</f>
        <v>12.4</v>
      </c>
      <c r="D4" s="5">
        <f>D3*Assumption!$B23</f>
        <v>11.52</v>
      </c>
      <c r="E4" s="5">
        <f>E3*Assumption!$B23</f>
        <v>10.552000000000001</v>
      </c>
      <c r="F4" s="5">
        <f>F3*Assumption!$B23</f>
        <v>9.4871999999999996</v>
      </c>
      <c r="G4" s="5">
        <f>G3*Assumption!$B23</f>
        <v>8.3159200000000002</v>
      </c>
    </row>
    <row r="5" spans="1:7">
      <c r="A5" s="18" t="s">
        <v>53</v>
      </c>
      <c r="B5" s="5">
        <f>B2*Assumption!$B24</f>
        <v>10</v>
      </c>
      <c r="C5" s="5">
        <f>C2*Assumption!$B24</f>
        <v>11.000000000000002</v>
      </c>
      <c r="D5" s="5">
        <f>D2*Assumption!$B24</f>
        <v>12.100000000000003</v>
      </c>
      <c r="E5" s="5">
        <f>E2*Assumption!$B24</f>
        <v>13.310000000000006</v>
      </c>
      <c r="F5" s="5">
        <f>F2*Assumption!$B24</f>
        <v>14.641000000000009</v>
      </c>
      <c r="G5" s="5">
        <f>G2*Assumption!$B24</f>
        <v>16.105100000000011</v>
      </c>
    </row>
    <row r="6" spans="1:7">
      <c r="A6" s="18" t="s">
        <v>54</v>
      </c>
      <c r="B6" s="3">
        <f>B3-B5</f>
        <v>155</v>
      </c>
      <c r="C6" s="3">
        <f t="shared" ref="C6:G6" si="1">C3-C5</f>
        <v>144</v>
      </c>
      <c r="D6" s="3">
        <f t="shared" si="1"/>
        <v>131.9</v>
      </c>
      <c r="E6" s="3">
        <f t="shared" si="1"/>
        <v>118.59</v>
      </c>
      <c r="F6" s="3">
        <f t="shared" si="1"/>
        <v>103.949</v>
      </c>
      <c r="G6" s="3">
        <f t="shared" si="1"/>
        <v>87.843899999999991</v>
      </c>
    </row>
    <row r="7" spans="1:7">
      <c r="A7" s="18" t="s">
        <v>68</v>
      </c>
      <c r="B7" s="18"/>
      <c r="C7" s="18"/>
      <c r="D7" s="18"/>
      <c r="E7" s="18"/>
      <c r="F7" s="18"/>
      <c r="G7">
        <f>G2 * Assumption!B22</f>
        <v>442.89025000000026</v>
      </c>
    </row>
    <row r="8" spans="1:7">
      <c r="A8" s="18" t="s">
        <v>69</v>
      </c>
      <c r="B8" s="18"/>
      <c r="C8" s="18"/>
      <c r="D8" s="18"/>
      <c r="E8" s="18"/>
      <c r="F8" s="18"/>
      <c r="G8" s="5">
        <f>G7 - G6</f>
        <v>355.0463500000003</v>
      </c>
    </row>
    <row r="9" spans="1:7">
      <c r="A9" s="18" t="s">
        <v>55</v>
      </c>
      <c r="B9" s="18"/>
      <c r="C9" s="18"/>
      <c r="D9" s="18"/>
      <c r="E9" s="18"/>
      <c r="F9" s="18"/>
      <c r="G9">
        <f>G8 / (Assumption!B17 * Assumption!B19)</f>
        <v>3.2276940909090936</v>
      </c>
    </row>
    <row r="10" spans="1:7">
      <c r="A10" s="18" t="s">
        <v>71</v>
      </c>
      <c r="B10">
        <f>-(Assumption!B17 * Assumption!B19)</f>
        <v>-110</v>
      </c>
      <c r="C10" s="18">
        <v>0</v>
      </c>
      <c r="D10" s="18">
        <v>0</v>
      </c>
      <c r="E10" s="18">
        <v>0</v>
      </c>
      <c r="F10" s="18">
        <v>0</v>
      </c>
      <c r="G10" s="5">
        <f>G8</f>
        <v>355.0463500000003</v>
      </c>
    </row>
    <row r="11" spans="1:7">
      <c r="A11" s="18" t="s">
        <v>56</v>
      </c>
      <c r="B11" s="21">
        <f>IRR(B10:G10)</f>
        <v>0.26409139048254748</v>
      </c>
      <c r="C11" s="18"/>
      <c r="D11" s="18"/>
      <c r="E11" s="18"/>
      <c r="F11" s="18"/>
      <c r="G11" s="18"/>
    </row>
    <row r="15" spans="1:7">
      <c r="A15" t="s">
        <v>72</v>
      </c>
      <c r="B15" t="s">
        <v>73</v>
      </c>
    </row>
    <row r="16" spans="1:7">
      <c r="B16" t="s">
        <v>73</v>
      </c>
      <c r="C16" t="s">
        <v>74</v>
      </c>
      <c r="D16" t="s">
        <v>75</v>
      </c>
    </row>
    <row r="17" spans="1:4">
      <c r="A17" t="s">
        <v>62</v>
      </c>
      <c r="B17" s="1">
        <v>0.12</v>
      </c>
      <c r="C17" s="1">
        <v>0.1</v>
      </c>
      <c r="D17" s="1">
        <v>0.08</v>
      </c>
    </row>
    <row r="18" spans="1:4">
      <c r="A18" t="s">
        <v>76</v>
      </c>
      <c r="B18">
        <v>12</v>
      </c>
      <c r="C18">
        <v>11</v>
      </c>
      <c r="D18">
        <v>10</v>
      </c>
    </row>
    <row r="19" spans="1:4">
      <c r="A19" t="s">
        <v>77</v>
      </c>
      <c r="B19" s="1">
        <v>0.45</v>
      </c>
      <c r="C19" s="1">
        <v>0.4</v>
      </c>
      <c r="D19" s="1">
        <v>0.35</v>
      </c>
    </row>
    <row r="21" spans="1:4">
      <c r="A21" t="s">
        <v>62</v>
      </c>
      <c r="B21" s="1">
        <f>CHOOSE(MATCH(B15, {"Bull","Base","Bear"}, 0), B17, C17, D17)</f>
        <v>0.12</v>
      </c>
    </row>
    <row r="22" spans="1:4">
      <c r="A22" t="s">
        <v>76</v>
      </c>
      <c r="B22">
        <f>CHOOSE(MATCH(B15, {"Bull","Base","Bear"}, 0), B18, C18, D18)</f>
        <v>12</v>
      </c>
    </row>
    <row r="23" spans="1:4">
      <c r="A23" t="s">
        <v>77</v>
      </c>
      <c r="B23" s="1">
        <f>CHOOSE(MATCH(B15, {"Bull","Base","Bear"}, 0), B19, C19, D19)</f>
        <v>0.45</v>
      </c>
    </row>
    <row r="26" spans="1:4">
      <c r="A26" t="s">
        <v>78</v>
      </c>
      <c r="B26" s="23">
        <f>G2</f>
        <v>40.262750000000025</v>
      </c>
    </row>
    <row r="27" spans="1:4">
      <c r="A27" t="s">
        <v>76</v>
      </c>
      <c r="B27" s="5">
        <f>Assumption!B22</f>
        <v>11</v>
      </c>
    </row>
    <row r="28" spans="1:4">
      <c r="A28" t="s">
        <v>79</v>
      </c>
      <c r="B28">
        <f>B26*B27</f>
        <v>442.89025000000026</v>
      </c>
    </row>
    <row r="29" spans="1:4">
      <c r="A29" t="s">
        <v>54</v>
      </c>
      <c r="B29" s="5">
        <f>G6</f>
        <v>87.843899999999991</v>
      </c>
    </row>
    <row r="30" spans="1:4">
      <c r="A30" t="s">
        <v>69</v>
      </c>
      <c r="B30" s="5">
        <f>B28-B29</f>
        <v>355.0463500000003</v>
      </c>
    </row>
  </sheetData>
  <phoneticPr fontId="3" type="noConversion"/>
  <dataValidations count="1">
    <dataValidation type="list" allowBlank="1" showInputMessage="1" showErrorMessage="1" sqref="B15" xr:uid="{B0F786FB-E606-4759-A539-26F1CCF1E4E5}">
      <formula1>"Bull,Base,Bear"</formula1>
    </dataValidation>
  </dataValidation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1412-1141-496E-806D-F5B6891A1504}">
  <dimension ref="A1:H14"/>
  <sheetViews>
    <sheetView zoomScale="160" zoomScaleNormal="160" workbookViewId="0">
      <selection activeCell="H8" sqref="H8"/>
    </sheetView>
  </sheetViews>
  <sheetFormatPr defaultRowHeight="14.5"/>
  <cols>
    <col min="2" max="2" width="9.54296875" bestFit="1" customWidth="1"/>
    <col min="5" max="5" width="9.81640625" bestFit="1" customWidth="1"/>
    <col min="7" max="7" width="16.7265625" bestFit="1" customWidth="1"/>
    <col min="8" max="8" width="11.54296875" bestFit="1" customWidth="1"/>
  </cols>
  <sheetData>
    <row r="1" spans="1:8">
      <c r="A1" s="25" t="s">
        <v>80</v>
      </c>
      <c r="B1" s="25" t="s">
        <v>81</v>
      </c>
      <c r="C1" s="25" t="s">
        <v>82</v>
      </c>
      <c r="D1" s="25" t="s">
        <v>51</v>
      </c>
      <c r="E1" s="25" t="s">
        <v>83</v>
      </c>
    </row>
    <row r="2" spans="1:8">
      <c r="A2" t="s">
        <v>84</v>
      </c>
      <c r="B2" s="26">
        <v>44256</v>
      </c>
      <c r="C2" s="18">
        <v>300</v>
      </c>
      <c r="D2">
        <v>25</v>
      </c>
      <c r="E2">
        <f>C2/D2</f>
        <v>12</v>
      </c>
      <c r="G2" t="s">
        <v>89</v>
      </c>
      <c r="H2">
        <f>MEDIAN(E2:E6)</f>
        <v>11.578947368421053</v>
      </c>
    </row>
    <row r="3" spans="1:8">
      <c r="A3" t="s">
        <v>85</v>
      </c>
      <c r="B3" s="26">
        <v>44783</v>
      </c>
      <c r="C3" s="18">
        <v>330</v>
      </c>
      <c r="D3">
        <v>30</v>
      </c>
      <c r="E3">
        <f t="shared" ref="E3:E6" si="0">C3/D3</f>
        <v>11</v>
      </c>
      <c r="G3" t="s">
        <v>90</v>
      </c>
      <c r="H3" s="5">
        <f>LBO!G3</f>
        <v>103.949</v>
      </c>
    </row>
    <row r="4" spans="1:8">
      <c r="A4" t="s">
        <v>86</v>
      </c>
      <c r="B4" s="26">
        <v>45068</v>
      </c>
      <c r="C4" s="18">
        <v>385</v>
      </c>
      <c r="D4">
        <v>32</v>
      </c>
      <c r="E4">
        <f t="shared" si="0"/>
        <v>12.03125</v>
      </c>
      <c r="G4" t="s">
        <v>91</v>
      </c>
      <c r="H4">
        <f>H3*H2</f>
        <v>1203.6200000000001</v>
      </c>
    </row>
    <row r="5" spans="1:8">
      <c r="A5" t="s">
        <v>87</v>
      </c>
      <c r="B5" s="26">
        <v>45310</v>
      </c>
      <c r="C5" s="18">
        <v>410</v>
      </c>
      <c r="D5">
        <v>36</v>
      </c>
      <c r="E5">
        <f t="shared" si="0"/>
        <v>11.388888888888889</v>
      </c>
      <c r="G5" t="s">
        <v>92</v>
      </c>
      <c r="H5">
        <f>_xlfn.QUARTILE.INC(E2:E6,1)*H3</f>
        <v>1183.8636111111111</v>
      </c>
    </row>
    <row r="6" spans="1:8">
      <c r="A6" t="s">
        <v>88</v>
      </c>
      <c r="B6" s="26">
        <v>45603</v>
      </c>
      <c r="C6" s="18">
        <v>440</v>
      </c>
      <c r="D6">
        <v>38</v>
      </c>
      <c r="E6">
        <f t="shared" si="0"/>
        <v>11.578947368421053</v>
      </c>
      <c r="G6" t="s">
        <v>93</v>
      </c>
      <c r="H6">
        <f>_xlfn.QUARTILE.INC(E2:E6,3)*H3</f>
        <v>1247.3879999999999</v>
      </c>
    </row>
    <row r="7" spans="1:8">
      <c r="G7" t="s">
        <v>94</v>
      </c>
      <c r="H7" s="24">
        <f>Assumption!B12 - Assumption!B13</f>
        <v>40</v>
      </c>
    </row>
    <row r="8" spans="1:8">
      <c r="G8" t="s">
        <v>34</v>
      </c>
      <c r="H8" s="24">
        <f>Assumption!B14</f>
        <v>20</v>
      </c>
    </row>
    <row r="9" spans="1:8">
      <c r="G9" t="s">
        <v>95</v>
      </c>
      <c r="H9" s="24">
        <f>H4 -H7</f>
        <v>1163.6200000000001</v>
      </c>
    </row>
    <row r="10" spans="1:8">
      <c r="G10" t="s">
        <v>96</v>
      </c>
      <c r="H10" s="24">
        <f>H5 -H7</f>
        <v>1143.8636111111111</v>
      </c>
    </row>
    <row r="11" spans="1:8">
      <c r="G11" t="s">
        <v>97</v>
      </c>
      <c r="H11" s="24">
        <f>H6 -H7</f>
        <v>1207.3879999999999</v>
      </c>
    </row>
    <row r="12" spans="1:8">
      <c r="G12" t="s">
        <v>98</v>
      </c>
      <c r="H12" s="19">
        <f>H9/H8</f>
        <v>58.181000000000004</v>
      </c>
    </row>
    <row r="13" spans="1:8">
      <c r="G13" t="s">
        <v>99</v>
      </c>
      <c r="H13" s="19">
        <f>H10/H8</f>
        <v>57.193180555555557</v>
      </c>
    </row>
    <row r="14" spans="1:8">
      <c r="G14" t="s">
        <v>100</v>
      </c>
      <c r="H14" s="19">
        <f>H11/H8</f>
        <v>60.369399999999999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Assumption</vt:lpstr>
      <vt:lpstr>FCF Forecast</vt:lpstr>
      <vt:lpstr>DCF</vt:lpstr>
      <vt:lpstr>Sensitivity</vt:lpstr>
      <vt:lpstr>Football Field</vt:lpstr>
      <vt:lpstr>EV-EBITDA Comps</vt:lpstr>
      <vt:lpstr>LBO</vt:lpstr>
      <vt:lpstr>Precedents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Sardhara</dc:creator>
  <cp:lastModifiedBy>Vikas Sardhara</cp:lastModifiedBy>
  <dcterms:created xsi:type="dcterms:W3CDTF">2025-06-16T00:29:02Z</dcterms:created>
  <dcterms:modified xsi:type="dcterms:W3CDTF">2025-06-17T04:47:13Z</dcterms:modified>
</cp:coreProperties>
</file>