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viken\OneDrive\Desktop\"/>
    </mc:Choice>
  </mc:AlternateContent>
  <xr:revisionPtr revIDLastSave="0" documentId="13_ncr:1_{0B39C9DC-4AC8-45EC-B53E-228000349D4A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2018 και Τριετία" sheetId="1" r:id="rId1"/>
    <sheet name="2019" sheetId="7" r:id="rId2"/>
    <sheet name="2020" sheetId="10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4" i="10" l="1"/>
  <c r="H36" i="10" s="1"/>
  <c r="M28" i="10"/>
  <c r="H27" i="10"/>
  <c r="H23" i="10"/>
  <c r="H14" i="10"/>
  <c r="I11" i="10"/>
  <c r="H11" i="10"/>
  <c r="B25" i="10"/>
  <c r="C13" i="10"/>
  <c r="B13" i="10"/>
  <c r="H12" i="1"/>
  <c r="H15" i="1"/>
  <c r="H11" i="1"/>
  <c r="B2" i="10"/>
  <c r="H23" i="7"/>
  <c r="B24" i="7"/>
  <c r="B24" i="10" s="1"/>
  <c r="B23" i="7"/>
  <c r="B23" i="10" s="1"/>
  <c r="C15" i="7"/>
  <c r="C14" i="7"/>
  <c r="B14" i="7"/>
  <c r="B14" i="10" s="1"/>
  <c r="C13" i="7"/>
  <c r="B13" i="7"/>
  <c r="B17" i="7" s="1"/>
  <c r="B15" i="10" s="1"/>
  <c r="M27" i="10" s="1"/>
  <c r="AA26" i="1" l="1"/>
  <c r="AA23" i="1"/>
  <c r="AA19" i="1"/>
  <c r="AA10" i="1"/>
  <c r="V20" i="10"/>
  <c r="Y20" i="1" s="1"/>
  <c r="U19" i="10"/>
  <c r="U8" i="10"/>
  <c r="O42" i="10"/>
  <c r="P39" i="10"/>
  <c r="O39" i="10"/>
  <c r="N39" i="10"/>
  <c r="M39" i="10"/>
  <c r="P38" i="10"/>
  <c r="O38" i="10"/>
  <c r="N38" i="10"/>
  <c r="M38" i="10"/>
  <c r="O31" i="10"/>
  <c r="M31" i="10"/>
  <c r="O29" i="10"/>
  <c r="M29" i="10"/>
  <c r="H32" i="10"/>
  <c r="H28" i="10"/>
  <c r="H29" i="10" s="1"/>
  <c r="H24" i="10"/>
  <c r="H25" i="10" s="1"/>
  <c r="I16" i="10"/>
  <c r="H16" i="10"/>
  <c r="H13" i="10"/>
  <c r="J15" i="10" s="1"/>
  <c r="H15" i="10" s="1"/>
  <c r="H12" i="10"/>
  <c r="O40" i="10" s="1"/>
  <c r="C18" i="10"/>
  <c r="O28" i="10" s="1"/>
  <c r="B18" i="10"/>
  <c r="B3" i="10"/>
  <c r="H35" i="1"/>
  <c r="H33" i="1"/>
  <c r="H27" i="1"/>
  <c r="J17" i="1"/>
  <c r="I12" i="1"/>
  <c r="I11" i="1"/>
  <c r="H13" i="1"/>
  <c r="U19" i="1"/>
  <c r="O30" i="10" l="1"/>
  <c r="M30" i="10"/>
  <c r="Y8" i="1"/>
  <c r="H35" i="10"/>
  <c r="O33" i="10" s="1"/>
  <c r="I12" i="10"/>
  <c r="J17" i="10"/>
  <c r="I17" i="10" s="1"/>
  <c r="H33" i="10"/>
  <c r="H34" i="10" s="1"/>
  <c r="M33" i="10" s="1"/>
  <c r="H37" i="10"/>
  <c r="M40" i="10"/>
  <c r="M41" i="10" s="1"/>
  <c r="O41" i="10"/>
  <c r="O43" i="10" s="1"/>
  <c r="I15" i="10"/>
  <c r="U28" i="10" l="1"/>
  <c r="Y28" i="1" s="1"/>
  <c r="H17" i="10"/>
  <c r="H18" i="10" s="1"/>
  <c r="P40" i="10"/>
  <c r="P41" i="10" s="1"/>
  <c r="P43" i="10" s="1"/>
  <c r="N40" i="10"/>
  <c r="N41" i="10" s="1"/>
  <c r="U26" i="10" s="1"/>
  <c r="I18" i="10"/>
  <c r="N42" i="10" s="1"/>
  <c r="U16" i="10"/>
  <c r="Y16" i="1" s="1"/>
  <c r="U33" i="10"/>
  <c r="Y33" i="1" s="1"/>
  <c r="M34" i="10"/>
  <c r="C17" i="7"/>
  <c r="C15" i="10" s="1"/>
  <c r="O27" i="10" s="1"/>
  <c r="N43" i="10" l="1"/>
  <c r="U24" i="10"/>
  <c r="Y24" i="1" s="1"/>
  <c r="M42" i="10"/>
  <c r="M43" i="10" s="1"/>
  <c r="U11" i="10" s="1"/>
  <c r="J18" i="10"/>
  <c r="U32" i="10" s="1"/>
  <c r="Y32" i="1" s="1"/>
  <c r="M39" i="1"/>
  <c r="N39" i="1"/>
  <c r="N38" i="1"/>
  <c r="C17" i="1"/>
  <c r="C18" i="1" s="1"/>
  <c r="O31" i="7"/>
  <c r="M31" i="7"/>
  <c r="O29" i="7"/>
  <c r="M29" i="7"/>
  <c r="U8" i="7"/>
  <c r="W7" i="1"/>
  <c r="W19" i="1" s="1"/>
  <c r="B3" i="7"/>
  <c r="B2" i="7"/>
  <c r="O42" i="7"/>
  <c r="P39" i="7"/>
  <c r="O39" i="7"/>
  <c r="N39" i="7"/>
  <c r="M39" i="7"/>
  <c r="P38" i="7"/>
  <c r="O38" i="7"/>
  <c r="N38" i="7"/>
  <c r="M38" i="7"/>
  <c r="H32" i="7"/>
  <c r="H24" i="7"/>
  <c r="H25" i="7" s="1"/>
  <c r="U19" i="7"/>
  <c r="I16" i="7"/>
  <c r="H16" i="7"/>
  <c r="O39" i="1"/>
  <c r="I16" i="1"/>
  <c r="H16" i="1"/>
  <c r="Y26" i="1"/>
  <c r="Y23" i="1"/>
  <c r="Y10" i="1"/>
  <c r="Y19" i="1"/>
  <c r="U10" i="1"/>
  <c r="U23" i="1" s="1"/>
  <c r="U8" i="1"/>
  <c r="M38" i="1"/>
  <c r="J15" i="1"/>
  <c r="H24" i="1"/>
  <c r="H25" i="1" s="1"/>
  <c r="U13" i="10" l="1"/>
  <c r="I12" i="7"/>
  <c r="H35" i="7"/>
  <c r="I11" i="7"/>
  <c r="H33" i="7"/>
  <c r="J17" i="7"/>
  <c r="H14" i="7"/>
  <c r="H13" i="7" s="1"/>
  <c r="J15" i="7" s="1"/>
  <c r="H12" i="7"/>
  <c r="H27" i="7"/>
  <c r="H28" i="7" s="1"/>
  <c r="H29" i="7" s="1"/>
  <c r="H37" i="7" s="1"/>
  <c r="H11" i="7"/>
  <c r="I17" i="1"/>
  <c r="M40" i="1"/>
  <c r="M41" i="1" s="1"/>
  <c r="H34" i="7"/>
  <c r="M33" i="7" s="1"/>
  <c r="I15" i="1"/>
  <c r="H36" i="7"/>
  <c r="N40" i="7"/>
  <c r="N41" i="7" s="1"/>
  <c r="V20" i="7"/>
  <c r="W8" i="1" s="1"/>
  <c r="AA8" i="1" s="1"/>
  <c r="H17" i="1"/>
  <c r="H18" i="1" s="1"/>
  <c r="U20" i="1"/>
  <c r="M27" i="1"/>
  <c r="O42" i="1"/>
  <c r="P39" i="1"/>
  <c r="P38" i="1"/>
  <c r="O38" i="1"/>
  <c r="O27" i="1"/>
  <c r="O31" i="1"/>
  <c r="O29" i="1"/>
  <c r="M31" i="1"/>
  <c r="M29" i="1"/>
  <c r="H32" i="1"/>
  <c r="H34" i="1"/>
  <c r="M33" i="1" s="1"/>
  <c r="H28" i="1"/>
  <c r="H29" i="1" s="1"/>
  <c r="B17" i="1"/>
  <c r="O40" i="1"/>
  <c r="O41" i="1" l="1"/>
  <c r="O43" i="1" s="1"/>
  <c r="I18" i="1"/>
  <c r="B15" i="7"/>
  <c r="W20" i="1"/>
  <c r="AA20" i="1" s="1"/>
  <c r="M40" i="7"/>
  <c r="M41" i="7" s="1"/>
  <c r="I17" i="7"/>
  <c r="H15" i="7"/>
  <c r="H17" i="7"/>
  <c r="I15" i="7"/>
  <c r="O40" i="7"/>
  <c r="O41" i="7" s="1"/>
  <c r="O43" i="7" s="1"/>
  <c r="O33" i="7"/>
  <c r="U28" i="7" s="1"/>
  <c r="W28" i="1" s="1"/>
  <c r="AA28" i="1" s="1"/>
  <c r="U16" i="7"/>
  <c r="W16" i="1" s="1"/>
  <c r="AA16" i="1" s="1"/>
  <c r="P40" i="7"/>
  <c r="P41" i="7" s="1"/>
  <c r="P43" i="7" s="1"/>
  <c r="M34" i="7"/>
  <c r="U33" i="7"/>
  <c r="W33" i="1" s="1"/>
  <c r="AA33" i="1" s="1"/>
  <c r="O28" i="1"/>
  <c r="O30" i="1" s="1"/>
  <c r="H37" i="1"/>
  <c r="H36" i="1"/>
  <c r="O33" i="1" s="1"/>
  <c r="U28" i="1" s="1"/>
  <c r="P40" i="1"/>
  <c r="P41" i="1" s="1"/>
  <c r="P43" i="1" s="1"/>
  <c r="N40" i="1"/>
  <c r="N41" i="1" s="1"/>
  <c r="B18" i="1"/>
  <c r="I18" i="7" l="1"/>
  <c r="B18" i="7"/>
  <c r="M28" i="7" s="1"/>
  <c r="M27" i="7"/>
  <c r="N42" i="1"/>
  <c r="N43" i="1" s="1"/>
  <c r="H18" i="7"/>
  <c r="J18" i="1"/>
  <c r="U32" i="1" s="1"/>
  <c r="U26" i="7"/>
  <c r="W26" i="1" s="1"/>
  <c r="U33" i="1"/>
  <c r="U16" i="1"/>
  <c r="M34" i="1"/>
  <c r="M28" i="1"/>
  <c r="M42" i="1" s="1"/>
  <c r="M43" i="1" s="1"/>
  <c r="M42" i="7" l="1"/>
  <c r="M43" i="7" s="1"/>
  <c r="U11" i="1"/>
  <c r="J18" i="7"/>
  <c r="U32" i="7" s="1"/>
  <c r="W32" i="1" s="1"/>
  <c r="AA32" i="1" s="1"/>
  <c r="U24" i="1"/>
  <c r="M30" i="1"/>
  <c r="U26" i="1" s="1"/>
  <c r="U23" i="10" s="1"/>
  <c r="U25" i="10" s="1"/>
  <c r="U27" i="10" l="1"/>
  <c r="Y25" i="1"/>
  <c r="U13" i="1"/>
  <c r="U10" i="10" s="1"/>
  <c r="U12" i="10" s="1"/>
  <c r="U14" i="10" s="1"/>
  <c r="U23" i="7"/>
  <c r="W23" i="1" s="1"/>
  <c r="U25" i="1"/>
  <c r="U29" i="10" l="1"/>
  <c r="Y27" i="1"/>
  <c r="U15" i="10"/>
  <c r="Y14" i="1"/>
  <c r="U10" i="7"/>
  <c r="U27" i="1"/>
  <c r="U12" i="1"/>
  <c r="U14" i="1"/>
  <c r="U15" i="1" s="1"/>
  <c r="V17" i="1" s="1"/>
  <c r="W10" i="1" l="1"/>
  <c r="V17" i="10"/>
  <c r="Y15" i="1"/>
  <c r="Y17" i="1" s="1"/>
  <c r="Y29" i="1"/>
  <c r="U30" i="10"/>
  <c r="U29" i="1"/>
  <c r="U30" i="1" s="1"/>
  <c r="U34" i="1" s="1"/>
  <c r="U34" i="10" l="1"/>
  <c r="Y30" i="1"/>
  <c r="Y34" i="1" s="1"/>
  <c r="C18" i="7"/>
  <c r="O28" i="7"/>
  <c r="U24" i="7"/>
  <c r="U25" i="7" s="1"/>
  <c r="W24" i="1"/>
  <c r="AA24" i="1" s="1"/>
  <c r="O27" i="7"/>
  <c r="AA27" i="1" l="1"/>
  <c r="AA25" i="1"/>
  <c r="U27" i="7"/>
  <c r="W25" i="1"/>
  <c r="N42" i="7"/>
  <c r="N43" i="7" s="1"/>
  <c r="U13" i="7" s="1"/>
  <c r="W13" i="1" s="1"/>
  <c r="U11" i="7" l="1"/>
  <c r="W27" i="1"/>
  <c r="U29" i="7"/>
  <c r="U12" i="7" l="1"/>
  <c r="W11" i="1"/>
  <c r="U30" i="7"/>
  <c r="W29" i="1"/>
  <c r="AA29" i="1" s="1"/>
  <c r="AA30" i="1" s="1"/>
  <c r="AA34" i="1" s="1"/>
  <c r="U14" i="7" l="1"/>
  <c r="W12" i="1"/>
  <c r="W30" i="1"/>
  <c r="U34" i="7"/>
  <c r="W34" i="1" s="1"/>
  <c r="Y11" i="1"/>
  <c r="Y12" i="1" s="1"/>
  <c r="AA11" i="1" l="1"/>
  <c r="AA12" i="1"/>
  <c r="W14" i="1"/>
  <c r="U15" i="7"/>
  <c r="V17" i="7" l="1"/>
  <c r="W17" i="1" s="1"/>
  <c r="W15" i="1"/>
  <c r="AA15" i="1" s="1"/>
  <c r="AA14" i="1"/>
  <c r="AA17" i="1" s="1"/>
</calcChain>
</file>

<file path=xl/sharedStrings.xml><?xml version="1.0" encoding="utf-8"?>
<sst xmlns="http://schemas.openxmlformats.org/spreadsheetml/2006/main" count="312" uniqueCount="99">
  <si>
    <t>Σταθερές:</t>
  </si>
  <si>
    <t>Στοχεία Πωλήσεων</t>
  </si>
  <si>
    <t>Προϊόν Π1</t>
  </si>
  <si>
    <t>Προϊόν Π2</t>
  </si>
  <si>
    <t>Μονάδες Πώλησης</t>
  </si>
  <si>
    <t>Μηνιαίο Ενοίκιο</t>
  </si>
  <si>
    <t>Έκπτωση Ενοικίου</t>
  </si>
  <si>
    <t>Αρχικά Αποθέματα</t>
  </si>
  <si>
    <t>% Τελικά Αποθέματα</t>
  </si>
  <si>
    <t>Τελικά Αποθέματα</t>
  </si>
  <si>
    <t>Μονάδες Παραγωγής</t>
  </si>
  <si>
    <t>Έξοδα Πωλήσεων και Διοίκησης</t>
  </si>
  <si>
    <t>Στοιχεία παραγωγής</t>
  </si>
  <si>
    <t>Αριθμός Πωλητών</t>
  </si>
  <si>
    <t>Μηνιαίος Μισθός πωλητών</t>
  </si>
  <si>
    <t>Ετήσιες Απολαβές 1 πωλητή</t>
  </si>
  <si>
    <t>Άμεση Εργασία</t>
  </si>
  <si>
    <t>Συνολικές ετήσιες αμοιβές πωλητών</t>
  </si>
  <si>
    <t>Αριθμός διοικητικών υπαλλήλων</t>
  </si>
  <si>
    <t>Μηνιαίος Μισθός διοικητικών υπαλλήλων</t>
  </si>
  <si>
    <t>Ετήσιες Απολαβές 1 διοικητικού υπαλλήλου</t>
  </si>
  <si>
    <t>Συνολικές Ετήσιες Αμοιβές διοικητικών υπαλλήλων</t>
  </si>
  <si>
    <t>Αριθμός αυτοκινήτων</t>
  </si>
  <si>
    <t>Μηνιαίο κόστος μίσθωσης αυτοκινήτων</t>
  </si>
  <si>
    <t>Ετήσιο κόστος μίσθωσης αυτοκινήτων</t>
  </si>
  <si>
    <t>Προμήθειες πωλήσεων για το Π1</t>
  </si>
  <si>
    <t>Προμήθειες πωλήσεων για το Π2</t>
  </si>
  <si>
    <t xml:space="preserve">Προϊόν Π1 </t>
  </si>
  <si>
    <t xml:space="preserve">Προϊόν Π2 </t>
  </si>
  <si>
    <t>Προμήθειες % πωλήσεων για το Π1</t>
  </si>
  <si>
    <t>Προμήθειες % πωλήσεων για το Π2</t>
  </si>
  <si>
    <t>Γενικά Βιομηχανικά Έξοδα (ΓΒΕ)</t>
  </si>
  <si>
    <t>SUM</t>
  </si>
  <si>
    <t>ΠΡΟΪΟΝ Π1</t>
  </si>
  <si>
    <t>ΠΡΟΪΟΝ Π2</t>
  </si>
  <si>
    <t>Τιμή πώλησης (ανά μονάδα)</t>
  </si>
  <si>
    <t>Μονάδες στο αρχικό απόθεμα</t>
  </si>
  <si>
    <t>Μονάδες που παρήχθησαν</t>
  </si>
  <si>
    <t>Μονάδες που πωλήθηκαν</t>
  </si>
  <si>
    <t>Μονάδες στο τελικό απόθεμα</t>
  </si>
  <si>
    <t>Δαπάνες πώλησης και διοίκησης:</t>
  </si>
  <si>
    <t>Μεταβλητές δαπάνες ανά μονάδα</t>
  </si>
  <si>
    <t>Σταθερές ετήσιες δαπάνες</t>
  </si>
  <si>
    <t>Κοστολόγηση Πλήρους Απορρόφησης</t>
  </si>
  <si>
    <t>Οριακή Κοστολόγηση</t>
  </si>
  <si>
    <t>Άμεσα υλικά (ανά μονάδα)</t>
  </si>
  <si>
    <t xml:space="preserve">Τιμή/Μονάδα </t>
  </si>
  <si>
    <t>Συνολικό μεταβλητό κόστος παραγωγής ανά μονάδα</t>
  </si>
  <si>
    <t>Σταθερό έμμεσο κόστος παραγωγής (ανά μονάδα)</t>
  </si>
  <si>
    <t>Κόστος μονάδας προϊόντος:</t>
  </si>
  <si>
    <t xml:space="preserve"> </t>
  </si>
  <si>
    <t>Πωλήσεις</t>
  </si>
  <si>
    <t>Μείον κόστος πωληθέντων προϊόντων</t>
  </si>
  <si>
    <t>Αρχικό απόθεμα</t>
  </si>
  <si>
    <t>Συν κόστος παραχθέντων προϊόντων</t>
  </si>
  <si>
    <t>Προϊόντα διαθέσιμα προς πώληση</t>
  </si>
  <si>
    <t>Μείον τελικό απόθεμα</t>
  </si>
  <si>
    <t>Κόστος πωληθέντων προϊόντων</t>
  </si>
  <si>
    <t>Ακαθάριστο περιθώριο κέρδους</t>
  </si>
  <si>
    <t>Μείον δαπάνες πωλήσεων και διοίκησης</t>
  </si>
  <si>
    <t>ΚΟΣΤΟΛΟΓΗΣΗ ΠΛΗΡΟΥΣ ΑΠΟΡΡΟΦΗΣΗΣ</t>
  </si>
  <si>
    <t>ΟΡΙΑΚΗ ΚΟΣΤΟΛΟΓΗΣΗ</t>
  </si>
  <si>
    <t>Μεταβλητό κόστος πωληθέντων προϊόντων</t>
  </si>
  <si>
    <t>Μείον μεταβλητές δαπάνες:</t>
  </si>
  <si>
    <t>Συν μεταβλητό κόστος παραγωγής</t>
  </si>
  <si>
    <t>Προϊόντα διαθέσιμα  προς πώληση</t>
  </si>
  <si>
    <t>Συνολικό μεταβλητό κόστος πωληθέντων προϊόντων</t>
  </si>
  <si>
    <t>Μεταβλητές δαπάνες πωλήσεων και διοίκησης</t>
  </si>
  <si>
    <t>ΣΥΝΟΛΟ</t>
  </si>
  <si>
    <t>Περιθώριο συνεισφοράς</t>
  </si>
  <si>
    <t>Μείον σταθερές δαπάνες</t>
  </si>
  <si>
    <t>Σταθερο έμμεσο κόστος παραγωγής</t>
  </si>
  <si>
    <t>Σταθερές δαπάνες πωλήσεων και διοίκησης</t>
  </si>
  <si>
    <t>Μήνες εργασίας:</t>
  </si>
  <si>
    <r>
      <t xml:space="preserve">Τελευταίο Ψηφίο </t>
    </r>
    <r>
      <rPr>
        <b/>
        <sz val="14"/>
        <color rgb="FF000000"/>
        <rFont val="Calibri"/>
        <family val="2"/>
        <charset val="161"/>
      </rPr>
      <t>κ</t>
    </r>
    <r>
      <rPr>
        <sz val="11"/>
        <color rgb="FF000000"/>
        <rFont val="Calibri"/>
        <family val="2"/>
        <charset val="1"/>
      </rPr>
      <t>:</t>
    </r>
  </si>
  <si>
    <r>
      <t xml:space="preserve">Προτελευταίο Ψηφίο </t>
    </r>
    <r>
      <rPr>
        <b/>
        <sz val="14"/>
        <color rgb="FF000000"/>
        <rFont val="Calibri"/>
        <family val="2"/>
        <charset val="161"/>
      </rPr>
      <t>λ</t>
    </r>
    <r>
      <rPr>
        <sz val="11"/>
        <color rgb="FF000000"/>
        <rFont val="Calibri"/>
        <family val="2"/>
        <charset val="1"/>
      </rPr>
      <t>:</t>
    </r>
  </si>
  <si>
    <r>
      <t xml:space="preserve">Τιμή Πώλησης </t>
    </r>
    <r>
      <rPr>
        <sz val="11"/>
        <color rgb="FF000000"/>
        <rFont val="Arial"/>
        <family val="2"/>
        <charset val="161"/>
      </rPr>
      <t>[€/μονάδα]</t>
    </r>
  </si>
  <si>
    <r>
      <t xml:space="preserve">Α' Ύλη - Μ1 </t>
    </r>
    <r>
      <rPr>
        <sz val="11"/>
        <color rgb="FF000000"/>
        <rFont val="Arial"/>
        <family val="2"/>
        <charset val="161"/>
      </rPr>
      <t xml:space="preserve">(0% έκπτωση) </t>
    </r>
  </si>
  <si>
    <r>
      <t xml:space="preserve">Α' Ύλη - Μ2 </t>
    </r>
    <r>
      <rPr>
        <sz val="11"/>
        <color rgb="FF000000"/>
        <rFont val="Arial"/>
        <family val="2"/>
        <charset val="161"/>
      </rPr>
      <t xml:space="preserve">(0% έκπτωση) </t>
    </r>
  </si>
  <si>
    <r>
      <t xml:space="preserve">Έμμεση Εργασία </t>
    </r>
    <r>
      <rPr>
        <sz val="11"/>
        <color rgb="FF000000"/>
        <rFont val="Arial"/>
        <family val="2"/>
        <charset val="161"/>
      </rPr>
      <t>[€/μονάδα προϊόντος]</t>
    </r>
  </si>
  <si>
    <r>
      <t>Έμμεσα Υλικά</t>
    </r>
    <r>
      <rPr>
        <sz val="11"/>
        <color rgb="FF000000"/>
        <rFont val="Arial"/>
        <family val="2"/>
        <charset val="161"/>
      </rPr>
      <t xml:space="preserve"> [€/μονάδα προϊόντος]</t>
    </r>
  </si>
  <si>
    <r>
      <t xml:space="preserve">Ετησία Ηλεκτρική Ενέργεια </t>
    </r>
    <r>
      <rPr>
        <sz val="11"/>
        <color rgb="FF000000"/>
        <rFont val="Arial"/>
        <family val="2"/>
        <charset val="161"/>
      </rPr>
      <t>(Φωτισμός και Θέρμανση)</t>
    </r>
  </si>
  <si>
    <t>Άμεσο κόστος εργασία (ανά μονάδα)</t>
  </si>
  <si>
    <t>Μεταβλητό έμμεσο κόστος παραγωγής (ανά μονάδα)</t>
  </si>
  <si>
    <t>Καθαρό λειτουργικό κέρδος (ζημία)</t>
  </si>
  <si>
    <t>τμ Χώρου Π1</t>
  </si>
  <si>
    <t>τμ Χώρου Π2</t>
  </si>
  <si>
    <t>Εξοπλισμός Π1</t>
  </si>
  <si>
    <t>Εξοπλισμός Π2</t>
  </si>
  <si>
    <t xml:space="preserve">Διαλέγουμε ως βάση επιμερισμού του ενοικίου και της ηλεκτρικής ενέργειας τα τετραγωνικά μέτρα, και ως βάση επιμερισμού των αποσβέσεων των μηχανημάτων, την αξία του εξοπλισμού. </t>
  </si>
  <si>
    <t xml:space="preserve">Ετήσιες αποσβέσεις Μηχανημάτων </t>
  </si>
  <si>
    <t xml:space="preserve">Ετήσιο ενοίκιο </t>
  </si>
  <si>
    <t>Τριετία</t>
  </si>
  <si>
    <r>
      <t xml:space="preserve">Α' Ύλη - Μ1 </t>
    </r>
    <r>
      <rPr>
        <sz val="11"/>
        <color rgb="FF000000"/>
        <rFont val="Arial"/>
        <family val="2"/>
        <charset val="161"/>
      </rPr>
      <t xml:space="preserve">(20% έκπτωση) </t>
    </r>
  </si>
  <si>
    <r>
      <t xml:space="preserve">Α' Ύλη - Μ2 </t>
    </r>
    <r>
      <rPr>
        <sz val="11"/>
        <color rgb="FF000000"/>
        <rFont val="Arial"/>
        <family val="2"/>
        <charset val="161"/>
      </rPr>
      <t xml:space="preserve">(25% έκπτωση) </t>
    </r>
  </si>
  <si>
    <r>
      <t xml:space="preserve">Α' Ύλη - Μ1 </t>
    </r>
    <r>
      <rPr>
        <sz val="11"/>
        <color rgb="FF000000"/>
        <rFont val="Arial"/>
        <family val="2"/>
        <charset val="161"/>
      </rPr>
      <t xml:space="preserve">(10% έκπτωση) </t>
    </r>
  </si>
  <si>
    <r>
      <t xml:space="preserve">Α' Ύλη - Μ2 </t>
    </r>
    <r>
      <rPr>
        <sz val="11"/>
        <color rgb="FF000000"/>
        <rFont val="Arial"/>
        <family val="2"/>
        <charset val="161"/>
      </rPr>
      <t xml:space="preserve">(10% έκπτωση) </t>
    </r>
  </si>
  <si>
    <r>
      <t xml:space="preserve">Τελευταίο Ψηφίο </t>
    </r>
    <r>
      <rPr>
        <b/>
        <sz val="14"/>
        <rFont val="Calibri"/>
        <family val="2"/>
      </rPr>
      <t>κ</t>
    </r>
    <r>
      <rPr>
        <sz val="11"/>
        <rFont val="Calibri"/>
        <family val="2"/>
      </rPr>
      <t>:</t>
    </r>
  </si>
  <si>
    <r>
      <t xml:space="preserve">Προτελευταίο Ψηφίο </t>
    </r>
    <r>
      <rPr>
        <b/>
        <sz val="14"/>
        <rFont val="Calibri"/>
        <family val="2"/>
      </rPr>
      <t>λ</t>
    </r>
    <r>
      <rPr>
        <sz val="11"/>
        <rFont val="Calibri"/>
        <family val="2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</si>
</sst>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_-* #,##0.00\ [$€-408]_-;\-* #,##0.00\ [$€-408]_-;_-* &quot;-&quot;??\ [$€-408]_-;_-@_-"/>
    <numFmt numFmtId="166" formatCode="_-* #,##0\ [$€-408]_-;\-* #,##0\ [$€-408]_-;_-* &quot;-&quot;??\ [$€-408]_-;_-@_-"/>
    <numFmt numFmtId="167" formatCode="General\ \ώ\ρ\ε\ς"/>
    <numFmt numFmtId="168" formatCode="General\ \κ\ι\λ\ά"/>
    <numFmt numFmtId="169" formatCode="General\ \€\ \α\ν\ά\ \κ\ι\λ\ό"/>
    <numFmt numFmtId="170" formatCode="General\ \€\ \α\ν\ά\ \ώ\ρ\α"/>
    <numFmt numFmtId="171" formatCode="General\ \μ\²\ "/>
  </numFmts>
  <fonts count="41" x14ac:knownFonts="1">
    <font>
      <sz val="11"/>
      <color rgb="FF000000"/>
      <name val="Calibri"/>
      <family val="2"/>
      <charset val="1"/>
    </font>
    <font>
      <sz val="10"/>
      <name val="Arial"/>
      <charset val="16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61"/>
    </font>
    <font>
      <b/>
      <sz val="12"/>
      <color rgb="FF000000"/>
      <name val="Calibri"/>
      <family val="2"/>
      <charset val="161"/>
    </font>
    <font>
      <b/>
      <sz val="14"/>
      <color rgb="FF000000"/>
      <name val="Calibri"/>
      <family val="2"/>
      <charset val="161"/>
    </font>
    <font>
      <b/>
      <sz val="16"/>
      <color rgb="FF000000"/>
      <name val="Calibri"/>
      <family val="2"/>
      <charset val="161"/>
    </font>
    <font>
      <b/>
      <sz val="11"/>
      <color theme="0"/>
      <name val="Calibri"/>
      <family val="2"/>
      <charset val="161"/>
    </font>
    <font>
      <sz val="11"/>
      <name val="Calibri"/>
      <family val="2"/>
      <charset val="1"/>
    </font>
    <font>
      <sz val="11"/>
      <color rgb="FF000000"/>
      <name val="Arial"/>
      <family val="2"/>
      <charset val="161"/>
    </font>
    <font>
      <b/>
      <sz val="12"/>
      <color theme="0"/>
      <name val="Arial"/>
      <family val="2"/>
      <charset val="161"/>
    </font>
    <font>
      <b/>
      <sz val="11"/>
      <color rgb="FF000000"/>
      <name val="Arial"/>
      <family val="2"/>
      <charset val="161"/>
    </font>
    <font>
      <b/>
      <sz val="12"/>
      <color rgb="FF000000"/>
      <name val="Arial"/>
      <family val="2"/>
      <charset val="161"/>
    </font>
    <font>
      <b/>
      <sz val="11"/>
      <color theme="0"/>
      <name val="Arial"/>
      <family val="2"/>
      <charset val="161"/>
    </font>
    <font>
      <sz val="11"/>
      <color rgb="FFFF0000"/>
      <name val="Calibri"/>
      <family val="2"/>
      <charset val="1"/>
    </font>
    <font>
      <b/>
      <i/>
      <u/>
      <sz val="11"/>
      <color rgb="FF000000"/>
      <name val="Arial"/>
      <family val="2"/>
      <charset val="161"/>
    </font>
    <font>
      <sz val="11"/>
      <color rgb="FFFF0000"/>
      <name val="Arial"/>
      <family val="2"/>
      <charset val="161"/>
    </font>
    <font>
      <sz val="11"/>
      <color rgb="FF0070C0"/>
      <name val="Arial"/>
      <family val="2"/>
      <charset val="161"/>
    </font>
    <font>
      <sz val="11"/>
      <name val="Calibri"/>
      <family val="2"/>
      <charset val="1"/>
      <scheme val="minor"/>
    </font>
    <font>
      <sz val="11"/>
      <color theme="0"/>
      <name val="Arial"/>
      <family val="2"/>
      <charset val="161"/>
    </font>
    <font>
      <i/>
      <sz val="11"/>
      <color theme="0"/>
      <name val="Arial"/>
      <family val="2"/>
      <charset val="161"/>
    </font>
    <font>
      <b/>
      <u/>
      <sz val="11"/>
      <color theme="0"/>
      <name val="Arial"/>
      <family val="2"/>
      <charset val="161"/>
    </font>
    <font>
      <b/>
      <i/>
      <sz val="11"/>
      <color theme="0"/>
      <name val="Arial"/>
      <family val="2"/>
      <charset val="161"/>
    </font>
    <font>
      <sz val="12"/>
      <color theme="0"/>
      <name val="Arial"/>
      <family val="2"/>
      <charset val="161"/>
    </font>
    <font>
      <sz val="11"/>
      <name val="Arial"/>
      <family val="2"/>
      <charset val="161"/>
    </font>
    <font>
      <sz val="11"/>
      <color theme="4"/>
      <name val="Arial"/>
      <family val="2"/>
      <charset val="161"/>
    </font>
    <font>
      <b/>
      <sz val="11"/>
      <color rgb="FF92D050"/>
      <name val="Arial"/>
      <family val="2"/>
      <charset val="161"/>
    </font>
    <font>
      <b/>
      <sz val="11"/>
      <color rgb="FFFFFF00"/>
      <name val="Arial"/>
      <family val="2"/>
      <charset val="161"/>
    </font>
    <font>
      <b/>
      <sz val="12"/>
      <color rgb="FFFFFF00"/>
      <name val="Arial"/>
      <family val="2"/>
      <charset val="161"/>
    </font>
    <font>
      <b/>
      <sz val="14"/>
      <color theme="0"/>
      <name val="Arial"/>
      <family val="2"/>
      <charset val="161"/>
    </font>
    <font>
      <sz val="12"/>
      <color rgb="FF000000"/>
      <name val="Calibri"/>
      <family val="2"/>
      <charset val="161"/>
    </font>
    <font>
      <b/>
      <sz val="12"/>
      <color rgb="FFFF0000"/>
      <name val="Arial"/>
      <family val="2"/>
      <charset val="161"/>
    </font>
    <font>
      <b/>
      <sz val="12"/>
      <color rgb="FF92D050"/>
      <name val="Arial"/>
      <family val="2"/>
      <charset val="161"/>
    </font>
    <font>
      <b/>
      <sz val="11"/>
      <color rgb="FFFF0000"/>
      <name val="Arial"/>
      <family val="2"/>
      <charset val="161"/>
    </font>
    <font>
      <b/>
      <sz val="12"/>
      <name val="Arial"/>
      <family val="2"/>
      <charset val="161"/>
    </font>
    <font>
      <sz val="11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1"/>
      <color theme="0"/>
      <name val="Calibri"/>
      <family val="2"/>
    </font>
    <font>
      <sz val="12"/>
      <color theme="0"/>
      <name val="Calibri"/>
      <family val="2"/>
    </font>
    <font>
      <sz val="11"/>
      <color theme="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Border="0" applyAlignment="0" applyProtection="0"/>
    <xf numFmtId="9" fontId="2" fillId="0" borderId="0" applyBorder="0" applyProtection="0"/>
  </cellStyleXfs>
  <cellXfs count="3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10" fillId="2" borderId="9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0" fillId="0" borderId="0" xfId="0" applyFill="1"/>
    <xf numFmtId="0" fontId="9" fillId="0" borderId="0" xfId="0" applyFont="1" applyFill="1" applyBorder="1"/>
    <xf numFmtId="0" fontId="13" fillId="0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left"/>
    </xf>
    <xf numFmtId="0" fontId="0" fillId="4" borderId="0" xfId="0" applyFill="1"/>
    <xf numFmtId="0" fontId="21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/>
    </xf>
    <xf numFmtId="0" fontId="0" fillId="2" borderId="46" xfId="0" applyFill="1" applyBorder="1"/>
    <xf numFmtId="0" fontId="4" fillId="2" borderId="4" xfId="0" applyFont="1" applyFill="1" applyBorder="1"/>
    <xf numFmtId="165" fontId="30" fillId="2" borderId="3" xfId="0" applyNumberFormat="1" applyFont="1" applyFill="1" applyBorder="1" applyAlignment="1">
      <alignment horizontal="center" vertical="center" wrapText="1"/>
    </xf>
    <xf numFmtId="165" fontId="30" fillId="2" borderId="4" xfId="0" applyNumberFormat="1" applyFont="1" applyFill="1" applyBorder="1" applyAlignment="1">
      <alignment horizontal="center" vertical="center" wrapText="1"/>
    </xf>
    <xf numFmtId="165" fontId="4" fillId="2" borderId="4" xfId="0" applyNumberFormat="1" applyFont="1" applyFill="1" applyBorder="1"/>
    <xf numFmtId="171" fontId="4" fillId="2" borderId="4" xfId="0" applyNumberFormat="1" applyFont="1" applyFill="1" applyBorder="1" applyAlignment="1">
      <alignment horizontal="right"/>
    </xf>
    <xf numFmtId="0" fontId="0" fillId="2" borderId="54" xfId="0" applyFill="1" applyBorder="1"/>
    <xf numFmtId="0" fontId="4" fillId="2" borderId="6" xfId="0" applyFont="1" applyFill="1" applyBorder="1"/>
    <xf numFmtId="165" fontId="30" fillId="2" borderId="5" xfId="0" applyNumberFormat="1" applyFont="1" applyFill="1" applyBorder="1" applyAlignment="1">
      <alignment horizontal="center" vertical="center" wrapText="1"/>
    </xf>
    <xf numFmtId="165" fontId="30" fillId="2" borderId="6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/>
    <xf numFmtId="0" fontId="11" fillId="2" borderId="0" xfId="0" applyFont="1" applyFill="1"/>
    <xf numFmtId="0" fontId="9" fillId="2" borderId="1" xfId="0" applyFont="1" applyFill="1" applyBorder="1"/>
    <xf numFmtId="0" fontId="11" fillId="2" borderId="24" xfId="0" applyFont="1" applyFill="1" applyBorder="1"/>
    <xf numFmtId="0" fontId="9" fillId="2" borderId="21" xfId="0" applyFont="1" applyFill="1" applyBorder="1"/>
    <xf numFmtId="0" fontId="9" fillId="2" borderId="20" xfId="0" applyFont="1" applyFill="1" applyBorder="1"/>
    <xf numFmtId="0" fontId="11" fillId="2" borderId="25" xfId="0" applyFont="1" applyFill="1" applyBorder="1"/>
    <xf numFmtId="166" fontId="9" fillId="2" borderId="22" xfId="0" applyNumberFormat="1" applyFont="1" applyFill="1" applyBorder="1"/>
    <xf numFmtId="166" fontId="9" fillId="2" borderId="14" xfId="0" applyNumberFormat="1" applyFont="1" applyFill="1" applyBorder="1"/>
    <xf numFmtId="0" fontId="9" fillId="2" borderId="22" xfId="0" applyFont="1" applyFill="1" applyBorder="1"/>
    <xf numFmtId="0" fontId="9" fillId="2" borderId="14" xfId="0" applyFont="1" applyFill="1" applyBorder="1"/>
    <xf numFmtId="9" fontId="9" fillId="2" borderId="22" xfId="2" applyFont="1" applyFill="1" applyBorder="1"/>
    <xf numFmtId="9" fontId="9" fillId="2" borderId="14" xfId="2" applyFont="1" applyFill="1" applyBorder="1"/>
    <xf numFmtId="0" fontId="11" fillId="2" borderId="26" xfId="0" applyFont="1" applyFill="1" applyBorder="1"/>
    <xf numFmtId="0" fontId="9" fillId="2" borderId="23" xfId="0" applyFont="1" applyFill="1" applyBorder="1"/>
    <xf numFmtId="0" fontId="9" fillId="2" borderId="17" xfId="0" applyFont="1" applyFill="1" applyBorder="1"/>
    <xf numFmtId="0" fontId="12" fillId="2" borderId="31" xfId="0" applyFont="1" applyFill="1" applyBorder="1" applyAlignment="1">
      <alignment horizontal="center" vertical="center"/>
    </xf>
    <xf numFmtId="0" fontId="12" fillId="2" borderId="32" xfId="0" applyFont="1" applyFill="1" applyBorder="1" applyAlignment="1">
      <alignment horizontal="center" vertical="center"/>
    </xf>
    <xf numFmtId="0" fontId="12" fillId="2" borderId="33" xfId="0" applyFont="1" applyFill="1" applyBorder="1" applyAlignment="1">
      <alignment horizontal="center" vertical="center"/>
    </xf>
    <xf numFmtId="169" fontId="9" fillId="2" borderId="21" xfId="0" applyNumberFormat="1" applyFont="1" applyFill="1" applyBorder="1" applyAlignment="1">
      <alignment horizontal="center" vertical="center"/>
    </xf>
    <xf numFmtId="168" fontId="9" fillId="2" borderId="19" xfId="0" applyNumberFormat="1" applyFont="1" applyFill="1" applyBorder="1" applyAlignment="1">
      <alignment horizontal="center" vertical="center"/>
    </xf>
    <xf numFmtId="168" fontId="9" fillId="2" borderId="20" xfId="0" applyNumberFormat="1" applyFont="1" applyFill="1" applyBorder="1" applyAlignment="1">
      <alignment horizontal="center" vertical="center"/>
    </xf>
    <xf numFmtId="169" fontId="9" fillId="2" borderId="22" xfId="0" applyNumberFormat="1" applyFont="1" applyFill="1" applyBorder="1" applyAlignment="1">
      <alignment horizontal="center" vertical="center"/>
    </xf>
    <xf numFmtId="168" fontId="9" fillId="2" borderId="12" xfId="0" applyNumberFormat="1" applyFont="1" applyFill="1" applyBorder="1" applyAlignment="1">
      <alignment horizontal="center" vertical="center"/>
    </xf>
    <xf numFmtId="168" fontId="9" fillId="2" borderId="14" xfId="0" applyNumberFormat="1" applyFont="1" applyFill="1" applyBorder="1" applyAlignment="1">
      <alignment horizontal="center" vertical="center"/>
    </xf>
    <xf numFmtId="170" fontId="9" fillId="2" borderId="23" xfId="0" applyNumberFormat="1" applyFont="1" applyFill="1" applyBorder="1" applyAlignment="1">
      <alignment horizontal="center" vertical="center"/>
    </xf>
    <xf numFmtId="167" fontId="9" fillId="2" borderId="16" xfId="0" applyNumberFormat="1" applyFont="1" applyFill="1" applyBorder="1" applyAlignment="1">
      <alignment horizontal="center" vertical="center"/>
    </xf>
    <xf numFmtId="167" fontId="9" fillId="2" borderId="17" xfId="0" applyNumberFormat="1" applyFont="1" applyFill="1" applyBorder="1" applyAlignment="1">
      <alignment horizontal="center" vertical="center"/>
    </xf>
    <xf numFmtId="0" fontId="11" fillId="5" borderId="0" xfId="0" applyFont="1" applyFill="1"/>
    <xf numFmtId="0" fontId="0" fillId="5" borderId="0" xfId="0" applyFill="1"/>
    <xf numFmtId="0" fontId="10" fillId="5" borderId="9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34" fillId="5" borderId="9" xfId="0" applyFont="1" applyFill="1" applyBorder="1" applyAlignment="1">
      <alignment horizontal="center"/>
    </xf>
    <xf numFmtId="0" fontId="34" fillId="5" borderId="8" xfId="0" applyFont="1" applyFill="1" applyBorder="1" applyAlignment="1">
      <alignment horizontal="center"/>
    </xf>
    <xf numFmtId="0" fontId="34" fillId="2" borderId="9" xfId="0" applyFont="1" applyFill="1" applyBorder="1" applyAlignment="1">
      <alignment horizontal="center"/>
    </xf>
    <xf numFmtId="0" fontId="34" fillId="2" borderId="8" xfId="0" applyFont="1" applyFill="1" applyBorder="1" applyAlignment="1">
      <alignment horizontal="center"/>
    </xf>
    <xf numFmtId="0" fontId="21" fillId="6" borderId="10" xfId="0" applyFont="1" applyFill="1" applyBorder="1" applyAlignment="1">
      <alignment horizontal="center" vertical="center"/>
    </xf>
    <xf numFmtId="0" fontId="29" fillId="6" borderId="38" xfId="0" applyFont="1" applyFill="1" applyBorder="1" applyAlignment="1">
      <alignment horizontal="center"/>
    </xf>
    <xf numFmtId="0" fontId="29" fillId="6" borderId="52" xfId="0" applyFont="1" applyFill="1" applyBorder="1" applyAlignment="1">
      <alignment horizontal="center"/>
    </xf>
    <xf numFmtId="0" fontId="10" fillId="6" borderId="25" xfId="0" applyFont="1" applyFill="1" applyBorder="1"/>
    <xf numFmtId="166" fontId="20" fillId="6" borderId="34" xfId="0" applyNumberFormat="1" applyFont="1" applyFill="1" applyBorder="1" applyAlignment="1">
      <alignment horizontal="center"/>
    </xf>
    <xf numFmtId="166" fontId="20" fillId="6" borderId="40" xfId="0" applyNumberFormat="1" applyFont="1" applyFill="1" applyBorder="1" applyAlignment="1">
      <alignment horizontal="center"/>
    </xf>
    <xf numFmtId="0" fontId="22" fillId="6" borderId="41" xfId="0" applyFont="1" applyFill="1" applyBorder="1" applyAlignment="1">
      <alignment horizontal="left" indent="2"/>
    </xf>
    <xf numFmtId="0" fontId="9" fillId="6" borderId="47" xfId="0" applyFont="1" applyFill="1" applyBorder="1" applyAlignment="1"/>
    <xf numFmtId="0" fontId="9" fillId="6" borderId="42" xfId="0" applyFont="1" applyFill="1" applyBorder="1" applyAlignment="1"/>
    <xf numFmtId="0" fontId="19" fillId="6" borderId="10" xfId="0" applyFont="1" applyFill="1" applyBorder="1" applyAlignment="1">
      <alignment horizontal="left" indent="7"/>
    </xf>
    <xf numFmtId="166" fontId="9" fillId="6" borderId="46" xfId="0" applyNumberFormat="1" applyFont="1" applyFill="1" applyBorder="1"/>
    <xf numFmtId="0" fontId="9" fillId="6" borderId="45" xfId="0" applyFont="1" applyFill="1" applyBorder="1"/>
    <xf numFmtId="166" fontId="9" fillId="6" borderId="46" xfId="0" applyNumberFormat="1" applyFont="1" applyFill="1" applyBorder="1" applyAlignment="1">
      <alignment horizontal="left"/>
    </xf>
    <xf numFmtId="0" fontId="19" fillId="6" borderId="10" xfId="0" applyFont="1" applyFill="1" applyBorder="1" applyAlignment="1">
      <alignment horizontal="left" indent="9"/>
    </xf>
    <xf numFmtId="166" fontId="25" fillId="6" borderId="46" xfId="0" applyNumberFormat="1" applyFont="1" applyFill="1" applyBorder="1"/>
    <xf numFmtId="0" fontId="19" fillId="6" borderId="24" xfId="0" applyFont="1" applyFill="1" applyBorder="1" applyAlignment="1">
      <alignment horizontal="left" indent="7"/>
    </xf>
    <xf numFmtId="166" fontId="16" fillId="6" borderId="18" xfId="0" applyNumberFormat="1" applyFont="1" applyFill="1" applyBorder="1"/>
    <xf numFmtId="0" fontId="9" fillId="6" borderId="20" xfId="0" applyFont="1" applyFill="1" applyBorder="1"/>
    <xf numFmtId="0" fontId="10" fillId="6" borderId="25" xfId="0" applyFont="1" applyFill="1" applyBorder="1" applyAlignment="1">
      <alignment horizontal="left"/>
    </xf>
    <xf numFmtId="166" fontId="19" fillId="6" borderId="34" xfId="0" applyNumberFormat="1" applyFont="1" applyFill="1" applyBorder="1" applyAlignment="1">
      <alignment horizontal="center"/>
    </xf>
    <xf numFmtId="166" fontId="19" fillId="6" borderId="40" xfId="0" applyNumberFormat="1" applyFont="1" applyFill="1" applyBorder="1" applyAlignment="1">
      <alignment horizontal="center"/>
    </xf>
    <xf numFmtId="166" fontId="13" fillId="6" borderId="34" xfId="0" applyNumberFormat="1" applyFont="1" applyFill="1" applyBorder="1" applyAlignment="1">
      <alignment horizontal="center"/>
    </xf>
    <xf numFmtId="166" fontId="13" fillId="6" borderId="40" xfId="0" applyNumberFormat="1" applyFont="1" applyFill="1" applyBorder="1" applyAlignment="1">
      <alignment horizontal="center"/>
    </xf>
    <xf numFmtId="0" fontId="23" fillId="6" borderId="25" xfId="0" applyFont="1" applyFill="1" applyBorder="1"/>
    <xf numFmtId="166" fontId="24" fillId="6" borderId="34" xfId="0" applyNumberFormat="1" applyFont="1" applyFill="1" applyBorder="1" applyAlignment="1">
      <alignment horizontal="center"/>
    </xf>
    <xf numFmtId="166" fontId="24" fillId="6" borderId="40" xfId="0" applyNumberFormat="1" applyFont="1" applyFill="1" applyBorder="1" applyAlignment="1">
      <alignment horizontal="center"/>
    </xf>
    <xf numFmtId="166" fontId="24" fillId="6" borderId="34" xfId="0" applyNumberFormat="1" applyFont="1" applyFill="1" applyBorder="1" applyAlignment="1">
      <alignment horizontal="right"/>
    </xf>
    <xf numFmtId="166" fontId="24" fillId="6" borderId="40" xfId="0" applyNumberFormat="1" applyFont="1" applyFill="1" applyBorder="1" applyAlignment="1">
      <alignment horizontal="right"/>
    </xf>
    <xf numFmtId="0" fontId="10" fillId="6" borderId="26" xfId="0" applyFont="1" applyFill="1" applyBorder="1"/>
    <xf numFmtId="0" fontId="9" fillId="6" borderId="15" xfId="0" applyFont="1" applyFill="1" applyBorder="1"/>
    <xf numFmtId="166" fontId="32" fillId="6" borderId="17" xfId="0" applyNumberFormat="1" applyFont="1" applyFill="1" applyBorder="1"/>
    <xf numFmtId="166" fontId="31" fillId="6" borderId="55" xfId="0" applyNumberFormat="1" applyFont="1" applyFill="1" applyBorder="1" applyAlignment="1">
      <alignment horizontal="center"/>
    </xf>
    <xf numFmtId="166" fontId="31" fillId="6" borderId="56" xfId="0" applyNumberFormat="1" applyFont="1" applyFill="1" applyBorder="1" applyAlignment="1">
      <alignment horizontal="center"/>
    </xf>
    <xf numFmtId="0" fontId="19" fillId="6" borderId="0" xfId="0" applyFont="1" applyFill="1" applyBorder="1"/>
    <xf numFmtId="0" fontId="9" fillId="6" borderId="0" xfId="0" applyFont="1" applyFill="1" applyBorder="1"/>
    <xf numFmtId="0" fontId="21" fillId="6" borderId="7" xfId="0" applyFont="1" applyFill="1" applyBorder="1"/>
    <xf numFmtId="0" fontId="29" fillId="6" borderId="7" xfId="0" applyFont="1" applyFill="1" applyBorder="1" applyAlignment="1">
      <alignment horizontal="center"/>
    </xf>
    <xf numFmtId="0" fontId="29" fillId="6" borderId="8" xfId="0" applyFont="1" applyFill="1" applyBorder="1" applyAlignment="1">
      <alignment horizontal="center"/>
    </xf>
    <xf numFmtId="0" fontId="19" fillId="6" borderId="49" xfId="0" applyFont="1" applyFill="1" applyBorder="1"/>
    <xf numFmtId="166" fontId="20" fillId="6" borderId="43" xfId="0" applyNumberFormat="1" applyFont="1" applyFill="1" applyBorder="1" applyAlignment="1">
      <alignment horizontal="center"/>
    </xf>
    <xf numFmtId="166" fontId="20" fillId="6" borderId="39" xfId="0" applyNumberFormat="1" applyFont="1" applyFill="1" applyBorder="1" applyAlignment="1">
      <alignment horizontal="center"/>
    </xf>
    <xf numFmtId="0" fontId="22" fillId="6" borderId="34" xfId="0" applyFont="1" applyFill="1" applyBorder="1" applyAlignment="1">
      <alignment horizontal="left" indent="2"/>
    </xf>
    <xf numFmtId="0" fontId="19" fillId="6" borderId="3" xfId="0" applyFont="1" applyFill="1" applyBorder="1" applyAlignment="1">
      <alignment horizontal="left" indent="5"/>
    </xf>
    <xf numFmtId="0" fontId="19" fillId="6" borderId="3" xfId="0" applyFont="1" applyFill="1" applyBorder="1" applyAlignment="1">
      <alignment horizontal="left" indent="7"/>
    </xf>
    <xf numFmtId="166" fontId="9" fillId="6" borderId="4" xfId="0" applyNumberFormat="1" applyFont="1" applyFill="1" applyBorder="1"/>
    <xf numFmtId="166" fontId="24" fillId="6" borderId="46" xfId="0" applyNumberFormat="1" applyFont="1" applyFill="1" applyBorder="1"/>
    <xf numFmtId="0" fontId="19" fillId="6" borderId="3" xfId="0" applyFont="1" applyFill="1" applyBorder="1" applyAlignment="1">
      <alignment horizontal="left" indent="9"/>
    </xf>
    <xf numFmtId="0" fontId="19" fillId="6" borderId="38" xfId="0" applyFont="1" applyFill="1" applyBorder="1" applyAlignment="1">
      <alignment horizontal="left" indent="6"/>
    </xf>
    <xf numFmtId="0" fontId="13" fillId="6" borderId="44" xfId="0" applyFont="1" applyFill="1" applyBorder="1"/>
    <xf numFmtId="166" fontId="11" fillId="6" borderId="46" xfId="0" applyNumberFormat="1" applyFont="1" applyFill="1" applyBorder="1"/>
    <xf numFmtId="166" fontId="11" fillId="6" borderId="13" xfId="0" applyNumberFormat="1" applyFont="1" applyFill="1" applyBorder="1"/>
    <xf numFmtId="166" fontId="9" fillId="6" borderId="40" xfId="0" applyNumberFormat="1" applyFont="1" applyFill="1" applyBorder="1"/>
    <xf numFmtId="166" fontId="16" fillId="6" borderId="34" xfId="0" applyNumberFormat="1" applyFont="1" applyFill="1" applyBorder="1" applyAlignment="1">
      <alignment horizontal="center"/>
    </xf>
    <xf numFmtId="166" fontId="16" fillId="6" borderId="40" xfId="0" applyNumberFormat="1" applyFont="1" applyFill="1" applyBorder="1" applyAlignment="1">
      <alignment horizontal="center"/>
    </xf>
    <xf numFmtId="166" fontId="19" fillId="6" borderId="35" xfId="0" applyNumberFormat="1" applyFont="1" applyFill="1" applyBorder="1" applyAlignment="1">
      <alignment horizontal="center"/>
    </xf>
    <xf numFmtId="0" fontId="19" fillId="6" borderId="42" xfId="0" applyFont="1" applyFill="1" applyBorder="1" applyAlignment="1">
      <alignment horizontal="center"/>
    </xf>
    <xf numFmtId="166" fontId="9" fillId="6" borderId="35" xfId="0" applyNumberFormat="1" applyFont="1" applyFill="1" applyBorder="1" applyAlignment="1">
      <alignment horizontal="center"/>
    </xf>
    <xf numFmtId="0" fontId="9" fillId="6" borderId="42" xfId="0" applyFont="1" applyFill="1" applyBorder="1" applyAlignment="1">
      <alignment horizontal="center"/>
    </xf>
    <xf numFmtId="166" fontId="9" fillId="6" borderId="42" xfId="0" applyNumberFormat="1" applyFont="1" applyFill="1" applyBorder="1" applyAlignment="1">
      <alignment horizontal="center"/>
    </xf>
    <xf numFmtId="0" fontId="13" fillId="6" borderId="48" xfId="0" applyFont="1" applyFill="1" applyBorder="1" applyAlignment="1">
      <alignment horizontal="left" indent="2"/>
    </xf>
    <xf numFmtId="166" fontId="19" fillId="6" borderId="3" xfId="0" applyNumberFormat="1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166" fontId="19" fillId="6" borderId="3" xfId="0" applyNumberFormat="1" applyFont="1" applyFill="1" applyBorder="1" applyAlignment="1">
      <alignment horizontal="center"/>
    </xf>
    <xf numFmtId="166" fontId="19" fillId="6" borderId="4" xfId="0" applyNumberFormat="1" applyFont="1" applyFill="1" applyBorder="1" applyAlignment="1">
      <alignment horizontal="center"/>
    </xf>
    <xf numFmtId="0" fontId="19" fillId="6" borderId="4" xfId="0" applyFont="1" applyFill="1" applyBorder="1" applyAlignment="1">
      <alignment horizontal="center"/>
    </xf>
    <xf numFmtId="0" fontId="13" fillId="6" borderId="20" xfId="0" applyFont="1" applyFill="1" applyBorder="1" applyAlignment="1">
      <alignment horizontal="left" indent="2"/>
    </xf>
    <xf numFmtId="166" fontId="19" fillId="6" borderId="38" xfId="0" applyNumberFormat="1" applyFont="1" applyFill="1" applyBorder="1" applyAlignment="1">
      <alignment horizontal="center"/>
    </xf>
    <xf numFmtId="0" fontId="19" fillId="6" borderId="52" xfId="0" applyFont="1" applyFill="1" applyBorder="1" applyAlignment="1">
      <alignment horizontal="center"/>
    </xf>
    <xf numFmtId="166" fontId="19" fillId="6" borderId="52" xfId="0" applyNumberFormat="1" applyFont="1" applyFill="1" applyBorder="1" applyAlignment="1">
      <alignment horizontal="center"/>
    </xf>
    <xf numFmtId="166" fontId="26" fillId="6" borderId="5" xfId="0" applyNumberFormat="1" applyFont="1" applyFill="1" applyBorder="1" applyAlignment="1">
      <alignment horizontal="center"/>
    </xf>
    <xf numFmtId="0" fontId="26" fillId="6" borderId="6" xfId="0" applyFont="1" applyFill="1" applyBorder="1" applyAlignment="1">
      <alignment horizontal="center"/>
    </xf>
    <xf numFmtId="166" fontId="33" fillId="6" borderId="55" xfId="0" applyNumberFormat="1" applyFont="1" applyFill="1" applyBorder="1" applyAlignment="1">
      <alignment horizontal="center"/>
    </xf>
    <xf numFmtId="166" fontId="33" fillId="6" borderId="56" xfId="0" applyNumberFormat="1" applyFont="1" applyFill="1" applyBorder="1" applyAlignment="1">
      <alignment horizontal="center"/>
    </xf>
    <xf numFmtId="166" fontId="33" fillId="6" borderId="5" xfId="0" applyNumberFormat="1" applyFont="1" applyFill="1" applyBorder="1" applyAlignment="1">
      <alignment horizontal="center"/>
    </xf>
    <xf numFmtId="0" fontId="33" fillId="6" borderId="6" xfId="0" applyFont="1" applyFill="1" applyBorder="1" applyAlignment="1">
      <alignment horizontal="center"/>
    </xf>
    <xf numFmtId="0" fontId="0" fillId="2" borderId="53" xfId="0" applyFill="1" applyBorder="1"/>
    <xf numFmtId="171" fontId="4" fillId="2" borderId="4" xfId="0" applyNumberFormat="1" applyFont="1" applyFill="1" applyBorder="1"/>
    <xf numFmtId="0" fontId="7" fillId="4" borderId="0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0" fillId="5" borderId="1" xfId="0" applyFill="1" applyBorder="1"/>
    <xf numFmtId="0" fontId="34" fillId="5" borderId="2" xfId="0" applyFont="1" applyFill="1" applyBorder="1" applyAlignment="1">
      <alignment horizontal="center"/>
    </xf>
    <xf numFmtId="0" fontId="11" fillId="5" borderId="38" xfId="0" applyFont="1" applyFill="1" applyBorder="1"/>
    <xf numFmtId="166" fontId="0" fillId="5" borderId="19" xfId="0" applyNumberFormat="1" applyFill="1" applyBorder="1"/>
    <xf numFmtId="166" fontId="0" fillId="5" borderId="49" xfId="0" applyNumberFormat="1" applyFill="1" applyBorder="1"/>
    <xf numFmtId="166" fontId="0" fillId="5" borderId="36" xfId="0" applyNumberFormat="1" applyFill="1" applyBorder="1"/>
    <xf numFmtId="0" fontId="11" fillId="5" borderId="34" xfId="0" applyFont="1" applyFill="1" applyBorder="1"/>
    <xf numFmtId="166" fontId="0" fillId="5" borderId="48" xfId="0" applyNumberFormat="1" applyFill="1" applyBorder="1"/>
    <xf numFmtId="166" fontId="0" fillId="5" borderId="51" xfId="0" applyNumberFormat="1" applyFill="1" applyBorder="1"/>
    <xf numFmtId="166" fontId="0" fillId="5" borderId="44" xfId="0" applyNumberFormat="1" applyFill="1" applyBorder="1" applyAlignment="1">
      <alignment horizontal="center" vertical="center"/>
    </xf>
    <xf numFmtId="166" fontId="0" fillId="5" borderId="50" xfId="0" applyNumberFormat="1" applyFill="1" applyBorder="1" applyAlignment="1">
      <alignment horizontal="center" vertical="center"/>
    </xf>
    <xf numFmtId="166" fontId="0" fillId="5" borderId="22" xfId="0" applyNumberFormat="1" applyFill="1" applyBorder="1" applyAlignment="1">
      <alignment horizontal="center" vertical="center"/>
    </xf>
    <xf numFmtId="9" fontId="14" fillId="5" borderId="44" xfId="2" applyFont="1" applyFill="1" applyBorder="1" applyAlignment="1">
      <alignment horizontal="right"/>
    </xf>
    <xf numFmtId="9" fontId="14" fillId="5" borderId="50" xfId="2" applyFont="1" applyFill="1" applyBorder="1" applyAlignment="1">
      <alignment horizontal="right"/>
    </xf>
    <xf numFmtId="9" fontId="14" fillId="5" borderId="22" xfId="2" applyFont="1" applyFill="1" applyBorder="1" applyAlignment="1">
      <alignment horizontal="right"/>
    </xf>
    <xf numFmtId="165" fontId="0" fillId="5" borderId="14" xfId="0" applyNumberFormat="1" applyFill="1" applyBorder="1" applyAlignment="1"/>
    <xf numFmtId="166" fontId="0" fillId="5" borderId="19" xfId="0" applyNumberFormat="1" applyFill="1" applyBorder="1" applyAlignment="1"/>
    <xf numFmtId="166" fontId="0" fillId="5" borderId="12" xfId="0" applyNumberFormat="1" applyFill="1" applyBorder="1" applyAlignment="1"/>
    <xf numFmtId="0" fontId="11" fillId="5" borderId="35" xfId="0" applyFont="1" applyFill="1" applyBorder="1"/>
    <xf numFmtId="165" fontId="0" fillId="5" borderId="37" xfId="0" applyNumberFormat="1" applyFill="1" applyBorder="1" applyAlignment="1"/>
    <xf numFmtId="166" fontId="0" fillId="5" borderId="36" xfId="0" applyNumberFormat="1" applyFill="1" applyBorder="1" applyAlignment="1"/>
    <xf numFmtId="0" fontId="11" fillId="5" borderId="7" xfId="0" applyFont="1" applyFill="1" applyBorder="1"/>
    <xf numFmtId="166" fontId="3" fillId="5" borderId="32" xfId="0" applyNumberFormat="1" applyFont="1" applyFill="1" applyBorder="1" applyAlignment="1"/>
    <xf numFmtId="0" fontId="9" fillId="5" borderId="30" xfId="0" applyFont="1" applyFill="1" applyBorder="1"/>
    <xf numFmtId="0" fontId="17" fillId="5" borderId="39" xfId="0" applyFont="1" applyFill="1" applyBorder="1"/>
    <xf numFmtId="0" fontId="9" fillId="5" borderId="25" xfId="0" applyFont="1" applyFill="1" applyBorder="1"/>
    <xf numFmtId="166" fontId="9" fillId="5" borderId="40" xfId="0" applyNumberFormat="1" applyFont="1" applyFill="1" applyBorder="1"/>
    <xf numFmtId="0" fontId="15" fillId="5" borderId="25" xfId="0" applyFont="1" applyFill="1" applyBorder="1"/>
    <xf numFmtId="166" fontId="12" fillId="5" borderId="40" xfId="0" applyNumberFormat="1" applyFont="1" applyFill="1" applyBorder="1"/>
    <xf numFmtId="0" fontId="17" fillId="5" borderId="40" xfId="0" applyFont="1" applyFill="1" applyBorder="1"/>
    <xf numFmtId="166" fontId="11" fillId="5" borderId="40" xfId="0" applyNumberFormat="1" applyFont="1" applyFill="1" applyBorder="1"/>
    <xf numFmtId="9" fontId="16" fillId="5" borderId="40" xfId="2" applyFont="1" applyFill="1" applyBorder="1"/>
    <xf numFmtId="0" fontId="11" fillId="5" borderId="11" xfId="0" applyFont="1" applyFill="1" applyBorder="1"/>
    <xf numFmtId="166" fontId="11" fillId="5" borderId="6" xfId="0" applyNumberFormat="1" applyFont="1" applyFill="1" applyBorder="1"/>
    <xf numFmtId="0" fontId="10" fillId="5" borderId="2" xfId="0" applyFont="1" applyFill="1" applyBorder="1" applyAlignment="1">
      <alignment horizontal="center"/>
    </xf>
    <xf numFmtId="0" fontId="38" fillId="2" borderId="7" xfId="0" applyFont="1" applyFill="1" applyBorder="1"/>
    <xf numFmtId="165" fontId="39" fillId="2" borderId="3" xfId="0" applyNumberFormat="1" applyFont="1" applyFill="1" applyBorder="1" applyAlignment="1">
      <alignment horizontal="center" vertical="center" wrapText="1"/>
    </xf>
    <xf numFmtId="165" fontId="39" fillId="2" borderId="4" xfId="0" applyNumberFormat="1" applyFont="1" applyFill="1" applyBorder="1" applyAlignment="1">
      <alignment horizontal="center" vertical="center" wrapText="1"/>
    </xf>
    <xf numFmtId="165" fontId="39" fillId="2" borderId="5" xfId="0" applyNumberFormat="1" applyFont="1" applyFill="1" applyBorder="1" applyAlignment="1">
      <alignment horizontal="center" vertical="center" wrapText="1"/>
    </xf>
    <xf numFmtId="165" fontId="39" fillId="2" borderId="6" xfId="0" applyNumberFormat="1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19" fillId="7" borderId="6" xfId="0" applyFont="1" applyFill="1" applyBorder="1"/>
    <xf numFmtId="0" fontId="10" fillId="7" borderId="9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3" fillId="7" borderId="30" xfId="0" applyFont="1" applyFill="1" applyBorder="1"/>
    <xf numFmtId="0" fontId="8" fillId="7" borderId="21" xfId="0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13" fillId="7" borderId="25" xfId="0" applyFont="1" applyFill="1" applyBorder="1"/>
    <xf numFmtId="0" fontId="8" fillId="7" borderId="34" xfId="0" applyFont="1" applyFill="1" applyBorder="1" applyAlignment="1">
      <alignment horizontal="center"/>
    </xf>
    <xf numFmtId="0" fontId="8" fillId="7" borderId="22" xfId="0" applyFont="1" applyFill="1" applyBorder="1" applyAlignment="1">
      <alignment horizontal="center"/>
    </xf>
    <xf numFmtId="0" fontId="8" fillId="7" borderId="44" xfId="0" applyFont="1" applyFill="1" applyBorder="1" applyAlignment="1">
      <alignment horizontal="center"/>
    </xf>
    <xf numFmtId="0" fontId="8" fillId="7" borderId="40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8" fillId="7" borderId="14" xfId="0" applyFont="1" applyFill="1" applyBorder="1" applyAlignment="1">
      <alignment horizontal="center"/>
    </xf>
    <xf numFmtId="166" fontId="8" fillId="7" borderId="22" xfId="0" applyNumberFormat="1" applyFont="1" applyFill="1" applyBorder="1" applyAlignment="1">
      <alignment horizontal="center" vertical="center"/>
    </xf>
    <xf numFmtId="166" fontId="8" fillId="7" borderId="12" xfId="0" applyNumberFormat="1" applyFont="1" applyFill="1" applyBorder="1" applyAlignment="1">
      <alignment horizontal="center" vertical="center"/>
    </xf>
    <xf numFmtId="166" fontId="8" fillId="7" borderId="14" xfId="0" applyNumberFormat="1" applyFont="1" applyFill="1" applyBorder="1" applyAlignment="1">
      <alignment horizontal="center" vertical="center"/>
    </xf>
    <xf numFmtId="0" fontId="13" fillId="7" borderId="10" xfId="0" applyFont="1" applyFill="1" applyBorder="1"/>
    <xf numFmtId="0" fontId="8" fillId="7" borderId="0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20" fillId="7" borderId="10" xfId="0" applyFont="1" applyFill="1" applyBorder="1" applyAlignment="1">
      <alignment horizontal="left" indent="5"/>
    </xf>
    <xf numFmtId="166" fontId="8" fillId="7" borderId="0" xfId="0" applyNumberFormat="1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166" fontId="8" fillId="7" borderId="0" xfId="0" applyNumberFormat="1" applyFont="1" applyFill="1" applyBorder="1" applyAlignment="1">
      <alignment horizontal="center" vertical="center"/>
    </xf>
    <xf numFmtId="0" fontId="13" fillId="7" borderId="26" xfId="0" applyFont="1" applyFill="1" applyBorder="1"/>
    <xf numFmtId="165" fontId="18" fillId="7" borderId="23" xfId="1" applyNumberFormat="1" applyFont="1" applyFill="1" applyBorder="1" applyAlignment="1">
      <alignment horizontal="center" vertical="center"/>
    </xf>
    <xf numFmtId="165" fontId="18" fillId="7" borderId="16" xfId="1" applyNumberFormat="1" applyFont="1" applyFill="1" applyBorder="1" applyAlignment="1">
      <alignment horizontal="center" vertical="center"/>
    </xf>
    <xf numFmtId="165" fontId="18" fillId="7" borderId="17" xfId="1" applyNumberFormat="1" applyFont="1" applyFill="1" applyBorder="1" applyAlignment="1">
      <alignment horizontal="center" vertical="center"/>
    </xf>
    <xf numFmtId="0" fontId="0" fillId="7" borderId="0" xfId="0" applyFill="1"/>
    <xf numFmtId="0" fontId="10" fillId="7" borderId="7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19" fillId="7" borderId="43" xfId="0" applyFont="1" applyFill="1" applyBorder="1"/>
    <xf numFmtId="166" fontId="0" fillId="7" borderId="27" xfId="0" applyNumberFormat="1" applyFill="1" applyBorder="1"/>
    <xf numFmtId="166" fontId="0" fillId="7" borderId="28" xfId="0" applyNumberFormat="1" applyFill="1" applyBorder="1"/>
    <xf numFmtId="166" fontId="0" fillId="7" borderId="29" xfId="0" applyNumberFormat="1" applyFill="1" applyBorder="1"/>
    <xf numFmtId="166" fontId="0" fillId="7" borderId="13" xfId="0" applyNumberFormat="1" applyFill="1" applyBorder="1"/>
    <xf numFmtId="166" fontId="0" fillId="7" borderId="12" xfId="0" applyNumberFormat="1" applyFill="1" applyBorder="1"/>
    <xf numFmtId="166" fontId="0" fillId="7" borderId="14" xfId="0" applyNumberFormat="1" applyFill="1" applyBorder="1"/>
    <xf numFmtId="0" fontId="13" fillId="7" borderId="43" xfId="0" applyFont="1" applyFill="1" applyBorder="1"/>
    <xf numFmtId="166" fontId="3" fillId="7" borderId="13" xfId="0" applyNumberFormat="1" applyFont="1" applyFill="1" applyBorder="1"/>
    <xf numFmtId="166" fontId="3" fillId="7" borderId="12" xfId="0" applyNumberFormat="1" applyFont="1" applyFill="1" applyBorder="1"/>
    <xf numFmtId="166" fontId="3" fillId="7" borderId="14" xfId="0" applyNumberFormat="1" applyFont="1" applyFill="1" applyBorder="1"/>
    <xf numFmtId="165" fontId="0" fillId="7" borderId="13" xfId="0" applyNumberFormat="1" applyFill="1" applyBorder="1" applyAlignment="1"/>
    <xf numFmtId="0" fontId="6" fillId="7" borderId="12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19" fillId="7" borderId="7" xfId="0" applyFont="1" applyFill="1" applyBorder="1"/>
    <xf numFmtId="165" fontId="0" fillId="7" borderId="15" xfId="0" applyNumberFormat="1" applyFill="1" applyBorder="1"/>
    <xf numFmtId="165" fontId="0" fillId="7" borderId="16" xfId="0" applyNumberFormat="1" applyFill="1" applyBorder="1"/>
    <xf numFmtId="166" fontId="0" fillId="7" borderId="16" xfId="0" applyNumberFormat="1" applyFill="1" applyBorder="1"/>
    <xf numFmtId="166" fontId="0" fillId="7" borderId="17" xfId="0" applyNumberFormat="1" applyFill="1" applyBorder="1"/>
    <xf numFmtId="166" fontId="9" fillId="6" borderId="22" xfId="0" applyNumberFormat="1" applyFont="1" applyFill="1" applyBorder="1"/>
    <xf numFmtId="166" fontId="20" fillId="6" borderId="14" xfId="0" applyNumberFormat="1" applyFont="1" applyFill="1" applyBorder="1"/>
    <xf numFmtId="166" fontId="19" fillId="6" borderId="34" xfId="0" applyNumberFormat="1" applyFont="1" applyFill="1" applyBorder="1" applyAlignment="1"/>
    <xf numFmtId="166" fontId="19" fillId="6" borderId="40" xfId="0" applyNumberFormat="1" applyFont="1" applyFill="1" applyBorder="1" applyAlignment="1"/>
    <xf numFmtId="166" fontId="13" fillId="6" borderId="34" xfId="0" applyNumberFormat="1" applyFont="1" applyFill="1" applyBorder="1" applyAlignment="1"/>
    <xf numFmtId="166" fontId="13" fillId="6" borderId="40" xfId="0" applyNumberFormat="1" applyFont="1" applyFill="1" applyBorder="1" applyAlignment="1"/>
    <xf numFmtId="166" fontId="24" fillId="6" borderId="34" xfId="0" applyNumberFormat="1" applyFont="1" applyFill="1" applyBorder="1" applyAlignment="1"/>
    <xf numFmtId="166" fontId="24" fillId="6" borderId="40" xfId="0" applyNumberFormat="1" applyFont="1" applyFill="1" applyBorder="1" applyAlignment="1"/>
    <xf numFmtId="166" fontId="28" fillId="6" borderId="17" xfId="0" applyNumberFormat="1" applyFont="1" applyFill="1" applyBorder="1"/>
    <xf numFmtId="0" fontId="9" fillId="6" borderId="18" xfId="0" applyFont="1" applyFill="1" applyBorder="1"/>
    <xf numFmtId="166" fontId="20" fillId="6" borderId="20" xfId="0" applyNumberFormat="1" applyFont="1" applyFill="1" applyBorder="1"/>
    <xf numFmtId="166" fontId="16" fillId="6" borderId="34" xfId="0" applyNumberFormat="1" applyFont="1" applyFill="1" applyBorder="1" applyAlignment="1"/>
    <xf numFmtId="166" fontId="16" fillId="6" borderId="40" xfId="0" applyNumberFormat="1" applyFont="1" applyFill="1" applyBorder="1" applyAlignment="1"/>
    <xf numFmtId="166" fontId="19" fillId="6" borderId="35" xfId="0" applyNumberFormat="1" applyFont="1" applyFill="1" applyBorder="1" applyAlignment="1"/>
    <xf numFmtId="0" fontId="19" fillId="6" borderId="42" xfId="0" applyFont="1" applyFill="1" applyBorder="1" applyAlignment="1"/>
    <xf numFmtId="0" fontId="13" fillId="6" borderId="44" xfId="0" applyFont="1" applyFill="1" applyBorder="1" applyAlignment="1">
      <alignment horizontal="left" indent="1"/>
    </xf>
    <xf numFmtId="166" fontId="19" fillId="6" borderId="3" xfId="0" applyNumberFormat="1" applyFont="1" applyFill="1" applyBorder="1" applyAlignment="1"/>
    <xf numFmtId="0" fontId="19" fillId="6" borderId="4" xfId="0" applyFont="1" applyFill="1" applyBorder="1" applyAlignment="1"/>
    <xf numFmtId="166" fontId="19" fillId="6" borderId="38" xfId="0" applyNumberFormat="1" applyFont="1" applyFill="1" applyBorder="1" applyAlignment="1"/>
    <xf numFmtId="0" fontId="19" fillId="6" borderId="52" xfId="0" applyFont="1" applyFill="1" applyBorder="1" applyAlignment="1"/>
    <xf numFmtId="166" fontId="27" fillId="6" borderId="5" xfId="0" applyNumberFormat="1" applyFont="1" applyFill="1" applyBorder="1" applyAlignment="1"/>
    <xf numFmtId="0" fontId="27" fillId="6" borderId="6" xfId="0" applyFont="1" applyFill="1" applyBorder="1" applyAlignment="1"/>
    <xf numFmtId="0" fontId="0" fillId="0" borderId="0" xfId="0" applyAlignment="1"/>
    <xf numFmtId="0" fontId="21" fillId="3" borderId="10" xfId="0" applyFont="1" applyFill="1" applyBorder="1" applyAlignment="1">
      <alignment horizontal="center" vertical="center"/>
    </xf>
    <xf numFmtId="0" fontId="29" fillId="3" borderId="38" xfId="0" applyFont="1" applyFill="1" applyBorder="1" applyAlignment="1">
      <alignment horizontal="center"/>
    </xf>
    <xf numFmtId="0" fontId="29" fillId="3" borderId="52" xfId="0" applyFont="1" applyFill="1" applyBorder="1" applyAlignment="1">
      <alignment horizontal="center"/>
    </xf>
    <xf numFmtId="0" fontId="10" fillId="3" borderId="25" xfId="0" applyFont="1" applyFill="1" applyBorder="1"/>
    <xf numFmtId="166" fontId="9" fillId="3" borderId="22" xfId="0" applyNumberFormat="1" applyFont="1" applyFill="1" applyBorder="1"/>
    <xf numFmtId="166" fontId="20" fillId="3" borderId="14" xfId="0" applyNumberFormat="1" applyFont="1" applyFill="1" applyBorder="1"/>
    <xf numFmtId="0" fontId="22" fillId="3" borderId="41" xfId="0" applyFont="1" applyFill="1" applyBorder="1" applyAlignment="1">
      <alignment horizontal="left" indent="2"/>
    </xf>
    <xf numFmtId="0" fontId="9" fillId="3" borderId="47" xfId="0" applyFont="1" applyFill="1" applyBorder="1" applyAlignment="1"/>
    <xf numFmtId="0" fontId="9" fillId="3" borderId="42" xfId="0" applyFont="1" applyFill="1" applyBorder="1" applyAlignment="1"/>
    <xf numFmtId="0" fontId="19" fillId="3" borderId="10" xfId="0" applyFont="1" applyFill="1" applyBorder="1" applyAlignment="1">
      <alignment horizontal="left" indent="7"/>
    </xf>
    <xf numFmtId="166" fontId="9" fillId="3" borderId="46" xfId="0" applyNumberFormat="1" applyFont="1" applyFill="1" applyBorder="1"/>
    <xf numFmtId="0" fontId="9" fillId="3" borderId="45" xfId="0" applyFont="1" applyFill="1" applyBorder="1"/>
    <xf numFmtId="166" fontId="9" fillId="3" borderId="46" xfId="0" applyNumberFormat="1" applyFont="1" applyFill="1" applyBorder="1" applyAlignment="1">
      <alignment horizontal="left"/>
    </xf>
    <xf numFmtId="0" fontId="19" fillId="3" borderId="10" xfId="0" applyFont="1" applyFill="1" applyBorder="1" applyAlignment="1">
      <alignment horizontal="left" indent="9"/>
    </xf>
    <xf numFmtId="166" fontId="25" fillId="3" borderId="46" xfId="0" applyNumberFormat="1" applyFont="1" applyFill="1" applyBorder="1"/>
    <xf numFmtId="0" fontId="19" fillId="3" borderId="24" xfId="0" applyFont="1" applyFill="1" applyBorder="1" applyAlignment="1">
      <alignment horizontal="left" indent="7"/>
    </xf>
    <xf numFmtId="166" fontId="16" fillId="3" borderId="18" xfId="0" applyNumberFormat="1" applyFont="1" applyFill="1" applyBorder="1"/>
    <xf numFmtId="0" fontId="9" fillId="3" borderId="20" xfId="0" applyFont="1" applyFill="1" applyBorder="1"/>
    <xf numFmtId="0" fontId="10" fillId="3" borderId="25" xfId="0" applyFont="1" applyFill="1" applyBorder="1" applyAlignment="1">
      <alignment horizontal="left"/>
    </xf>
    <xf numFmtId="166" fontId="19" fillId="3" borderId="34" xfId="0" applyNumberFormat="1" applyFont="1" applyFill="1" applyBorder="1" applyAlignment="1"/>
    <xf numFmtId="166" fontId="19" fillId="3" borderId="40" xfId="0" applyNumberFormat="1" applyFont="1" applyFill="1" applyBorder="1" applyAlignment="1"/>
    <xf numFmtId="166" fontId="13" fillId="3" borderId="34" xfId="0" applyNumberFormat="1" applyFont="1" applyFill="1" applyBorder="1" applyAlignment="1"/>
    <xf numFmtId="166" fontId="13" fillId="3" borderId="40" xfId="0" applyNumberFormat="1" applyFont="1" applyFill="1" applyBorder="1" applyAlignment="1"/>
    <xf numFmtId="0" fontId="23" fillId="3" borderId="25" xfId="0" applyFont="1" applyFill="1" applyBorder="1"/>
    <xf numFmtId="166" fontId="24" fillId="3" borderId="34" xfId="0" applyNumberFormat="1" applyFont="1" applyFill="1" applyBorder="1" applyAlignment="1"/>
    <xf numFmtId="166" fontId="24" fillId="3" borderId="40" xfId="0" applyNumberFormat="1" applyFont="1" applyFill="1" applyBorder="1" applyAlignment="1"/>
    <xf numFmtId="0" fontId="10" fillId="3" borderId="26" xfId="0" applyFont="1" applyFill="1" applyBorder="1"/>
    <xf numFmtId="0" fontId="9" fillId="3" borderId="15" xfId="0" applyFont="1" applyFill="1" applyBorder="1"/>
    <xf numFmtId="166" fontId="28" fillId="3" borderId="17" xfId="0" applyNumberFormat="1" applyFont="1" applyFill="1" applyBorder="1"/>
    <xf numFmtId="0" fontId="19" fillId="3" borderId="0" xfId="0" applyFont="1" applyFill="1" applyBorder="1"/>
    <xf numFmtId="0" fontId="9" fillId="3" borderId="0" xfId="0" applyFont="1" applyFill="1" applyBorder="1"/>
    <xf numFmtId="0" fontId="21" fillId="3" borderId="7" xfId="0" applyFont="1" applyFill="1" applyBorder="1"/>
    <xf numFmtId="0" fontId="29" fillId="3" borderId="7" xfId="0" applyFont="1" applyFill="1" applyBorder="1" applyAlignment="1">
      <alignment horizontal="center"/>
    </xf>
    <xf numFmtId="0" fontId="29" fillId="3" borderId="8" xfId="0" applyFont="1" applyFill="1" applyBorder="1" applyAlignment="1">
      <alignment horizontal="center"/>
    </xf>
    <xf numFmtId="0" fontId="19" fillId="3" borderId="49" xfId="0" applyFont="1" applyFill="1" applyBorder="1"/>
    <xf numFmtId="0" fontId="9" fillId="3" borderId="18" xfId="0" applyFont="1" applyFill="1" applyBorder="1"/>
    <xf numFmtId="166" fontId="20" fillId="3" borderId="20" xfId="0" applyNumberFormat="1" applyFont="1" applyFill="1" applyBorder="1"/>
    <xf numFmtId="0" fontId="22" fillId="3" borderId="34" xfId="0" applyFont="1" applyFill="1" applyBorder="1" applyAlignment="1">
      <alignment horizontal="left" indent="2"/>
    </xf>
    <xf numFmtId="0" fontId="19" fillId="3" borderId="3" xfId="0" applyFont="1" applyFill="1" applyBorder="1" applyAlignment="1">
      <alignment horizontal="left" indent="5"/>
    </xf>
    <xf numFmtId="0" fontId="19" fillId="3" borderId="3" xfId="0" applyFont="1" applyFill="1" applyBorder="1" applyAlignment="1">
      <alignment horizontal="left" indent="7"/>
    </xf>
    <xf numFmtId="166" fontId="9" fillId="3" borderId="4" xfId="0" applyNumberFormat="1" applyFont="1" applyFill="1" applyBorder="1"/>
    <xf numFmtId="166" fontId="24" fillId="3" borderId="46" xfId="0" applyNumberFormat="1" applyFont="1" applyFill="1" applyBorder="1"/>
    <xf numFmtId="0" fontId="19" fillId="3" borderId="3" xfId="0" applyFont="1" applyFill="1" applyBorder="1" applyAlignment="1">
      <alignment horizontal="left" indent="9"/>
    </xf>
    <xf numFmtId="0" fontId="19" fillId="3" borderId="38" xfId="0" applyFont="1" applyFill="1" applyBorder="1" applyAlignment="1">
      <alignment horizontal="left" indent="6"/>
    </xf>
    <xf numFmtId="0" fontId="13" fillId="3" borderId="44" xfId="0" applyFont="1" applyFill="1" applyBorder="1"/>
    <xf numFmtId="166" fontId="11" fillId="3" borderId="46" xfId="0" applyNumberFormat="1" applyFont="1" applyFill="1" applyBorder="1"/>
    <xf numFmtId="166" fontId="11" fillId="3" borderId="13" xfId="0" applyNumberFormat="1" applyFont="1" applyFill="1" applyBorder="1"/>
    <xf numFmtId="166" fontId="9" fillId="3" borderId="40" xfId="0" applyNumberFormat="1" applyFont="1" applyFill="1" applyBorder="1"/>
    <xf numFmtId="166" fontId="16" fillId="3" borderId="34" xfId="0" applyNumberFormat="1" applyFont="1" applyFill="1" applyBorder="1" applyAlignment="1"/>
    <xf numFmtId="166" fontId="16" fillId="3" borderId="40" xfId="0" applyNumberFormat="1" applyFont="1" applyFill="1" applyBorder="1" applyAlignment="1"/>
    <xf numFmtId="166" fontId="19" fillId="3" borderId="35" xfId="0" applyNumberFormat="1" applyFont="1" applyFill="1" applyBorder="1" applyAlignment="1"/>
    <xf numFmtId="0" fontId="19" fillId="3" borderId="42" xfId="0" applyFont="1" applyFill="1" applyBorder="1" applyAlignment="1"/>
    <xf numFmtId="166" fontId="9" fillId="3" borderId="35" xfId="0" applyNumberFormat="1" applyFont="1" applyFill="1" applyBorder="1" applyAlignment="1">
      <alignment horizontal="center"/>
    </xf>
    <xf numFmtId="0" fontId="9" fillId="3" borderId="42" xfId="0" applyFont="1" applyFill="1" applyBorder="1" applyAlignment="1">
      <alignment horizontal="center"/>
    </xf>
    <xf numFmtId="0" fontId="13" fillId="3" borderId="44" xfId="0" applyFont="1" applyFill="1" applyBorder="1" applyAlignment="1">
      <alignment horizontal="left" indent="1"/>
    </xf>
    <xf numFmtId="166" fontId="19" fillId="3" borderId="3" xfId="0" applyNumberFormat="1" applyFont="1" applyFill="1" applyBorder="1" applyAlignment="1"/>
    <xf numFmtId="0" fontId="19" fillId="3" borderId="4" xfId="0" applyFont="1" applyFill="1" applyBorder="1" applyAlignment="1"/>
    <xf numFmtId="166" fontId="19" fillId="3" borderId="38" xfId="0" applyNumberFormat="1" applyFont="1" applyFill="1" applyBorder="1" applyAlignment="1"/>
    <xf numFmtId="0" fontId="19" fillId="3" borderId="52" xfId="0" applyFont="1" applyFill="1" applyBorder="1" applyAlignment="1"/>
    <xf numFmtId="166" fontId="27" fillId="3" borderId="5" xfId="0" applyNumberFormat="1" applyFont="1" applyFill="1" applyBorder="1" applyAlignment="1"/>
    <xf numFmtId="0" fontId="27" fillId="3" borderId="6" xfId="0" applyFont="1" applyFill="1" applyBorder="1" applyAlignment="1"/>
    <xf numFmtId="0" fontId="13" fillId="2" borderId="0" xfId="0" applyFont="1" applyFill="1"/>
    <xf numFmtId="0" fontId="40" fillId="2" borderId="0" xfId="0" applyFont="1" applyFill="1"/>
    <xf numFmtId="0" fontId="13" fillId="5" borderId="0" xfId="0" applyFont="1" applyFill="1"/>
    <xf numFmtId="0" fontId="35" fillId="2" borderId="53" xfId="0" applyFont="1" applyFill="1" applyBorder="1"/>
    <xf numFmtId="0" fontId="35" fillId="2" borderId="46" xfId="0" applyFont="1" applyFill="1" applyBorder="1"/>
    <xf numFmtId="0" fontId="35" fillId="2" borderId="54" xfId="0" applyFont="1" applyFill="1" applyBorder="1"/>
    <xf numFmtId="0" fontId="37" fillId="2" borderId="4" xfId="0" applyFont="1" applyFill="1" applyBorder="1"/>
    <xf numFmtId="165" fontId="37" fillId="2" borderId="4" xfId="0" applyNumberFormat="1" applyFont="1" applyFill="1" applyBorder="1"/>
    <xf numFmtId="171" fontId="37" fillId="2" borderId="4" xfId="0" applyNumberFormat="1" applyFont="1" applyFill="1" applyBorder="1"/>
    <xf numFmtId="0" fontId="37" fillId="2" borderId="6" xfId="0" applyFont="1" applyFill="1" applyBorder="1"/>
  </cellXfs>
  <cellStyles count="3">
    <cellStyle name="Κανονικό" xfId="0" builtinId="0"/>
    <cellStyle name="Νομισματική μονάδα" xfId="1" builtinId="4"/>
    <cellStyle name="Ποσοστό" xfId="2" builtinId="5"/>
  </cellStyles>
  <dxfs count="0"/>
  <tableStyles count="0" defaultTableStyle="TableStyleMedium2" defaultPivotStyle="PivotStyleLight16"/>
  <colors>
    <mruColors>
      <color rgb="FFFFF0C1"/>
      <color rgb="FFF484AF"/>
      <color rgb="FFD5F7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"/>
  <sheetViews>
    <sheetView zoomScale="115" zoomScaleNormal="115" workbookViewId="0">
      <selection activeCell="G2" sqref="G2"/>
    </sheetView>
  </sheetViews>
  <sheetFormatPr defaultRowHeight="15" x14ac:dyDescent="0.25"/>
  <cols>
    <col min="1" max="1" width="25.85546875" bestFit="1" customWidth="1"/>
    <col min="2" max="2" width="21.5703125" style="1" customWidth="1"/>
    <col min="3" max="3" width="16.42578125" style="1" customWidth="1"/>
    <col min="4" max="4" width="16.42578125" customWidth="1"/>
    <col min="5" max="5" width="17.7109375" customWidth="1"/>
    <col min="6" max="6" width="8.42578125" customWidth="1"/>
    <col min="7" max="7" width="51.140625" bestFit="1" customWidth="1"/>
    <col min="8" max="9" width="17" customWidth="1"/>
    <col min="10" max="10" width="20.28515625" customWidth="1"/>
    <col min="11" max="11" width="18.28515625" customWidth="1"/>
    <col min="12" max="12" width="63.5703125" customWidth="1"/>
    <col min="13" max="13" width="20.42578125" customWidth="1"/>
    <col min="14" max="14" width="20.42578125" style="2" customWidth="1"/>
    <col min="15" max="16" width="20.42578125" customWidth="1"/>
    <col min="17" max="19" width="8.42578125" customWidth="1"/>
    <col min="20" max="20" width="52.42578125" bestFit="1" customWidth="1"/>
    <col min="21" max="26" width="18.140625" customWidth="1"/>
    <col min="27" max="27" width="22.7109375" customWidth="1"/>
    <col min="28" max="28" width="20.5703125" customWidth="1"/>
    <col min="29" max="1026" width="8.42578125" customWidth="1"/>
  </cols>
  <sheetData>
    <row r="1" spans="1:28" ht="14.65" customHeight="1" thickBot="1" x14ac:dyDescent="0.3">
      <c r="A1" s="24" t="s">
        <v>0</v>
      </c>
      <c r="B1" s="179"/>
      <c r="C1" s="179"/>
      <c r="D1" s="180"/>
      <c r="E1" s="2"/>
      <c r="F1" s="2"/>
      <c r="S1" s="7"/>
      <c r="T1" s="7"/>
      <c r="U1" s="7"/>
      <c r="V1" s="7"/>
      <c r="W1" s="7"/>
      <c r="X1" s="7"/>
    </row>
    <row r="2" spans="1:28" ht="18.399999999999999" customHeight="1" x14ac:dyDescent="0.3">
      <c r="A2" s="14" t="s">
        <v>74</v>
      </c>
      <c r="B2" s="15">
        <v>3</v>
      </c>
      <c r="C2" s="16" t="s">
        <v>89</v>
      </c>
      <c r="D2" s="17"/>
      <c r="E2" s="2"/>
      <c r="F2" s="2"/>
      <c r="S2" s="4"/>
      <c r="T2" s="8"/>
      <c r="U2" s="9"/>
      <c r="V2" s="9"/>
      <c r="W2" s="7"/>
      <c r="X2" s="7"/>
    </row>
    <row r="3" spans="1:28" ht="15" customHeight="1" x14ac:dyDescent="0.3">
      <c r="A3" s="14" t="s">
        <v>75</v>
      </c>
      <c r="B3" s="15">
        <v>0</v>
      </c>
      <c r="C3" s="16"/>
      <c r="D3" s="17"/>
      <c r="E3" s="2"/>
      <c r="F3" s="2"/>
    </row>
    <row r="4" spans="1:28" s="2" customFormat="1" ht="18" x14ac:dyDescent="0.25">
      <c r="A4" s="14" t="s">
        <v>87</v>
      </c>
      <c r="B4" s="18">
        <v>2000000</v>
      </c>
      <c r="C4" s="16"/>
      <c r="D4" s="17"/>
      <c r="T4" s="12"/>
      <c r="U4" s="13"/>
      <c r="V4" s="13"/>
      <c r="W4" s="13"/>
      <c r="X4" s="13"/>
      <c r="Y4" s="13"/>
      <c r="Z4" s="13"/>
    </row>
    <row r="5" spans="1:28" s="2" customFormat="1" ht="18" x14ac:dyDescent="0.25">
      <c r="A5" s="14" t="s">
        <v>88</v>
      </c>
      <c r="B5" s="18">
        <v>3000000</v>
      </c>
      <c r="C5" s="16"/>
      <c r="D5" s="17"/>
      <c r="T5" s="12"/>
      <c r="U5" s="13"/>
      <c r="V5" s="13"/>
      <c r="W5" s="13"/>
      <c r="X5" s="13"/>
      <c r="Y5" s="13"/>
      <c r="Z5" s="13"/>
    </row>
    <row r="6" spans="1:28" s="2" customFormat="1" ht="18" x14ac:dyDescent="0.25">
      <c r="A6" s="14" t="s">
        <v>85</v>
      </c>
      <c r="B6" s="19">
        <v>500</v>
      </c>
      <c r="C6" s="16"/>
      <c r="D6" s="17"/>
      <c r="T6" s="12"/>
      <c r="U6" s="13"/>
      <c r="V6" s="13"/>
      <c r="W6" s="13"/>
      <c r="X6" s="13"/>
      <c r="Y6" s="13"/>
      <c r="Z6" s="13"/>
    </row>
    <row r="7" spans="1:28" s="2" customFormat="1" ht="18" x14ac:dyDescent="0.25">
      <c r="A7" s="14" t="s">
        <v>86</v>
      </c>
      <c r="B7" s="19">
        <v>250</v>
      </c>
      <c r="C7" s="16"/>
      <c r="D7" s="17"/>
      <c r="T7" s="60" t="s">
        <v>60</v>
      </c>
      <c r="U7" s="61">
        <v>2018</v>
      </c>
      <c r="V7" s="62"/>
      <c r="W7" s="61">
        <f>'2019'!U7</f>
        <v>2019</v>
      </c>
      <c r="X7" s="62"/>
      <c r="Y7" s="61">
        <v>2020</v>
      </c>
      <c r="Z7" s="62"/>
      <c r="AA7" s="61" t="s">
        <v>92</v>
      </c>
      <c r="AB7" s="62"/>
    </row>
    <row r="8" spans="1:28" ht="16.149999999999999" customHeight="1" thickBot="1" x14ac:dyDescent="0.3">
      <c r="A8" s="20" t="s">
        <v>73</v>
      </c>
      <c r="B8" s="21">
        <v>14</v>
      </c>
      <c r="C8" s="22"/>
      <c r="D8" s="23"/>
      <c r="E8" s="2"/>
      <c r="F8" s="2"/>
      <c r="G8" s="2"/>
      <c r="H8" s="2"/>
      <c r="I8" s="2"/>
      <c r="J8" s="2"/>
      <c r="T8" s="63" t="s">
        <v>51</v>
      </c>
      <c r="U8" s="64">
        <f>B13*B14+C13*C14</f>
        <v>3320000</v>
      </c>
      <c r="V8" s="65"/>
      <c r="W8" s="64">
        <f>'2019'!V20</f>
        <v>3246000</v>
      </c>
      <c r="X8" s="65"/>
      <c r="Y8" s="64">
        <f>'2020'!V20</f>
        <v>3109980</v>
      </c>
      <c r="Z8" s="65"/>
      <c r="AA8" s="64">
        <f>U8+W8+Y8</f>
        <v>9675980</v>
      </c>
      <c r="AB8" s="65"/>
    </row>
    <row r="9" spans="1:28" ht="15.75" thickBot="1" x14ac:dyDescent="0.3">
      <c r="A9" s="2"/>
      <c r="B9" s="2"/>
      <c r="C9" s="2"/>
      <c r="D9" s="2"/>
      <c r="E9" s="2"/>
      <c r="F9" s="2"/>
      <c r="G9" s="52" t="s">
        <v>31</v>
      </c>
      <c r="H9" s="2"/>
      <c r="I9" s="2"/>
      <c r="J9" s="2"/>
      <c r="T9" s="66" t="s">
        <v>52</v>
      </c>
      <c r="U9" s="67"/>
      <c r="V9" s="68"/>
      <c r="W9" s="67"/>
      <c r="X9" s="68"/>
      <c r="Y9" s="67"/>
      <c r="Z9" s="68"/>
      <c r="AA9" s="67"/>
      <c r="AB9" s="68"/>
    </row>
    <row r="10" spans="1:28" ht="16.5" thickBot="1" x14ac:dyDescent="0.3">
      <c r="A10" s="2"/>
      <c r="B10" s="2"/>
      <c r="C10" s="2"/>
      <c r="D10" s="2"/>
      <c r="E10" s="2"/>
      <c r="G10" s="139"/>
      <c r="H10" s="56" t="s">
        <v>2</v>
      </c>
      <c r="I10" s="57" t="s">
        <v>3</v>
      </c>
      <c r="J10" s="140" t="s">
        <v>68</v>
      </c>
      <c r="T10" s="69" t="s">
        <v>53</v>
      </c>
      <c r="U10" s="70">
        <f>B15*B14+C15*C14</f>
        <v>0</v>
      </c>
      <c r="V10" s="71"/>
      <c r="W10" s="70">
        <f>'2019'!U10</f>
        <v>145628.84290164665</v>
      </c>
      <c r="X10" s="71"/>
      <c r="Y10" s="70">
        <f>0</f>
        <v>0</v>
      </c>
      <c r="Z10" s="71"/>
      <c r="AA10" s="70">
        <f>0</f>
        <v>0</v>
      </c>
      <c r="AB10" s="71"/>
    </row>
    <row r="11" spans="1:28" ht="15.75" thickBot="1" x14ac:dyDescent="0.3">
      <c r="A11" s="317" t="s">
        <v>1</v>
      </c>
      <c r="B11" s="2"/>
      <c r="C11" s="2"/>
      <c r="D11" s="2"/>
      <c r="E11" s="2"/>
      <c r="G11" s="141" t="s">
        <v>79</v>
      </c>
      <c r="H11" s="142">
        <f>B2+7</f>
        <v>10</v>
      </c>
      <c r="I11" s="143">
        <f>$B$3+5</f>
        <v>5</v>
      </c>
      <c r="J11" s="144"/>
      <c r="T11" s="69" t="s">
        <v>54</v>
      </c>
      <c r="U11" s="72">
        <f>M28*M43+O28*N43</f>
        <v>2506830</v>
      </c>
      <c r="V11" s="71"/>
      <c r="W11" s="72">
        <f>'2019'!U11</f>
        <v>2641710</v>
      </c>
      <c r="X11" s="71"/>
      <c r="Y11" s="72">
        <f>U11+W11</f>
        <v>5148540</v>
      </c>
      <c r="Z11" s="71"/>
      <c r="AA11" s="72">
        <f>U11+W11+Y11</f>
        <v>10297080</v>
      </c>
      <c r="AB11" s="71"/>
    </row>
    <row r="12" spans="1:28" ht="16.5" thickBot="1" x14ac:dyDescent="0.3">
      <c r="A12" s="26"/>
      <c r="B12" s="58" t="s">
        <v>2</v>
      </c>
      <c r="C12" s="59" t="s">
        <v>3</v>
      </c>
      <c r="G12" s="145" t="s">
        <v>80</v>
      </c>
      <c r="H12" s="144">
        <f>$B$2+6</f>
        <v>9</v>
      </c>
      <c r="I12" s="146">
        <f>$B$3+4</f>
        <v>4</v>
      </c>
      <c r="J12" s="147"/>
      <c r="T12" s="73" t="s">
        <v>55</v>
      </c>
      <c r="U12" s="74">
        <f>(M27+M28)*M43+(O27+O28)*N43</f>
        <v>2506830</v>
      </c>
      <c r="V12" s="71"/>
      <c r="W12" s="74">
        <f>'2019'!U12</f>
        <v>2787338.8429016466</v>
      </c>
      <c r="X12" s="71"/>
      <c r="Y12" s="74">
        <f>Y11</f>
        <v>5148540</v>
      </c>
      <c r="Z12" s="71"/>
      <c r="AA12" s="74">
        <f>U11+W11+Y11</f>
        <v>10297080</v>
      </c>
      <c r="AB12" s="71"/>
    </row>
    <row r="13" spans="1:28" x14ac:dyDescent="0.25">
      <c r="A13" s="27" t="s">
        <v>4</v>
      </c>
      <c r="B13" s="28">
        <v>3000</v>
      </c>
      <c r="C13" s="29">
        <v>2000</v>
      </c>
      <c r="G13" s="145" t="s">
        <v>5</v>
      </c>
      <c r="H13" s="148">
        <f>(100-H14)%*30000</f>
        <v>30000</v>
      </c>
      <c r="I13" s="149"/>
      <c r="J13" s="150"/>
      <c r="T13" s="75" t="s">
        <v>56</v>
      </c>
      <c r="U13" s="76">
        <f>(M43*M30+N43*O30)</f>
        <v>145628.84290164665</v>
      </c>
      <c r="V13" s="77"/>
      <c r="W13" s="76">
        <f>'2019'!U13</f>
        <v>171625.85263157895</v>
      </c>
      <c r="X13" s="77"/>
      <c r="Y13" s="76">
        <v>0</v>
      </c>
      <c r="Z13" s="77"/>
      <c r="AA13" s="76">
        <v>0</v>
      </c>
      <c r="AB13" s="77"/>
    </row>
    <row r="14" spans="1:28" ht="15.75" x14ac:dyDescent="0.25">
      <c r="A14" s="30" t="s">
        <v>76</v>
      </c>
      <c r="B14" s="31">
        <v>600</v>
      </c>
      <c r="C14" s="32">
        <v>760</v>
      </c>
      <c r="G14" s="145" t="s">
        <v>6</v>
      </c>
      <c r="H14" s="151">
        <v>0</v>
      </c>
      <c r="I14" s="152"/>
      <c r="J14" s="153"/>
      <c r="T14" s="78" t="s">
        <v>57</v>
      </c>
      <c r="U14" s="79">
        <f>-(U11-U13)</f>
        <v>-2361201.1570983534</v>
      </c>
      <c r="V14" s="80"/>
      <c r="W14" s="79">
        <f>'2019'!U14</f>
        <v>-2615712.9902700675</v>
      </c>
      <c r="X14" s="80"/>
      <c r="Y14" s="79">
        <f>'2020'!U14</f>
        <v>-3169562.8429016466</v>
      </c>
      <c r="Z14" s="80"/>
      <c r="AA14" s="79">
        <f>-(AA11-AA13)</f>
        <v>-10297080</v>
      </c>
      <c r="AB14" s="80"/>
    </row>
    <row r="15" spans="1:28" ht="15.75" x14ac:dyDescent="0.25">
      <c r="A15" s="30" t="s">
        <v>7</v>
      </c>
      <c r="B15" s="33">
        <v>0</v>
      </c>
      <c r="C15" s="34">
        <v>0</v>
      </c>
      <c r="G15" s="145" t="s">
        <v>91</v>
      </c>
      <c r="H15" s="154">
        <f>$B$6/($B$6+$B$7)*J15</f>
        <v>240000</v>
      </c>
      <c r="I15" s="154">
        <f>$B$7/($B$6+$B$7)*J15</f>
        <v>120000</v>
      </c>
      <c r="J15" s="155">
        <f>12*H13</f>
        <v>360000</v>
      </c>
      <c r="T15" s="63" t="s">
        <v>58</v>
      </c>
      <c r="U15" s="81">
        <f>U8+U14</f>
        <v>958798.84290164663</v>
      </c>
      <c r="V15" s="82"/>
      <c r="W15" s="81">
        <f>'2019'!U15</f>
        <v>630287.00972993253</v>
      </c>
      <c r="X15" s="82"/>
      <c r="Y15" s="81">
        <f>'2020'!U15</f>
        <v>-59582.842901646625</v>
      </c>
      <c r="Z15" s="82"/>
      <c r="AA15" s="81">
        <f>U15+W15+Y15</f>
        <v>1529503.0097299325</v>
      </c>
      <c r="AB15" s="82"/>
    </row>
    <row r="16" spans="1:28" ht="15.75" x14ac:dyDescent="0.25">
      <c r="A16" s="30" t="s">
        <v>8</v>
      </c>
      <c r="B16" s="35">
        <v>7.0000000000000007E-2</v>
      </c>
      <c r="C16" s="36">
        <v>0.05</v>
      </c>
      <c r="G16" s="145" t="s">
        <v>90</v>
      </c>
      <c r="H16" s="154">
        <f>$B$4/($B$4+$B$5)*J16</f>
        <v>96000</v>
      </c>
      <c r="I16" s="154">
        <f>$B$5/($B$4+$B$5)*J16</f>
        <v>144000</v>
      </c>
      <c r="J16" s="156">
        <v>240000</v>
      </c>
      <c r="T16" s="83" t="s">
        <v>59</v>
      </c>
      <c r="U16" s="84">
        <f>-(H37+H34*B13+H36*C13)</f>
        <v>-435600</v>
      </c>
      <c r="V16" s="85"/>
      <c r="W16" s="84">
        <f>'2019'!U16</f>
        <v>-508080</v>
      </c>
      <c r="X16" s="85"/>
      <c r="Y16" s="86">
        <f>'2020'!U16</f>
        <v>-543729.30000000005</v>
      </c>
      <c r="Z16" s="87"/>
      <c r="AA16" s="86">
        <f>W16+Y16+U16</f>
        <v>-1487409.3</v>
      </c>
      <c r="AB16" s="87"/>
    </row>
    <row r="17" spans="1:28" ht="16.5" thickBot="1" x14ac:dyDescent="0.3">
      <c r="A17" s="30" t="s">
        <v>9</v>
      </c>
      <c r="B17" s="33">
        <f>B16*B13</f>
        <v>210.00000000000003</v>
      </c>
      <c r="C17" s="34">
        <f>C16*C13</f>
        <v>100</v>
      </c>
      <c r="G17" s="157" t="s">
        <v>81</v>
      </c>
      <c r="H17" s="158">
        <f t="shared" ref="H17" si="0">$B$6/($B$6+$B$7)*J17</f>
        <v>70000</v>
      </c>
      <c r="I17" s="158">
        <f>$B$7/($B$6+$B$7)*J17</f>
        <v>35000</v>
      </c>
      <c r="J17" s="159">
        <f>($B$3+7)*15000</f>
        <v>105000</v>
      </c>
      <c r="T17" s="88" t="s">
        <v>84</v>
      </c>
      <c r="U17" s="89"/>
      <c r="V17" s="90">
        <f>U15+U16</f>
        <v>523198.84290164663</v>
      </c>
      <c r="W17" s="91">
        <f>'2019'!V17</f>
        <v>122207.00972993253</v>
      </c>
      <c r="X17" s="92"/>
      <c r="Y17" s="91">
        <f>Y15+Y16</f>
        <v>-603312.14290164667</v>
      </c>
      <c r="Z17" s="92"/>
      <c r="AA17" s="91">
        <f>AA15+AA16</f>
        <v>42093.709729932481</v>
      </c>
      <c r="AB17" s="92"/>
    </row>
    <row r="18" spans="1:28" ht="15.75" thickBot="1" x14ac:dyDescent="0.3">
      <c r="A18" s="37" t="s">
        <v>10</v>
      </c>
      <c r="B18" s="38">
        <f>B13+B17</f>
        <v>3210</v>
      </c>
      <c r="C18" s="39">
        <f>C13+C17</f>
        <v>2100</v>
      </c>
      <c r="D18" s="2"/>
      <c r="G18" s="160" t="s">
        <v>32</v>
      </c>
      <c r="H18" s="161">
        <f>SUM(H15:H17)</f>
        <v>406000</v>
      </c>
      <c r="I18" s="161">
        <f>SUM(I15:I17)</f>
        <v>299000</v>
      </c>
      <c r="J18" s="161">
        <f>SUM(H18:I18)</f>
        <v>705000</v>
      </c>
      <c r="S18" s="7"/>
      <c r="T18" s="93"/>
      <c r="U18" s="94"/>
      <c r="V18" s="94"/>
      <c r="W18" s="94"/>
      <c r="X18" s="94"/>
      <c r="Y18" s="94"/>
      <c r="Z18" s="94"/>
      <c r="AA18" s="94"/>
      <c r="AB18" s="94"/>
    </row>
    <row r="19" spans="1:28" s="2" customFormat="1" ht="18.75" thickBot="1" x14ac:dyDescent="0.3">
      <c r="T19" s="95" t="s">
        <v>61</v>
      </c>
      <c r="U19" s="96">
        <f>U7</f>
        <v>2018</v>
      </c>
      <c r="V19" s="97"/>
      <c r="W19" s="96">
        <f>W7</f>
        <v>2019</v>
      </c>
      <c r="X19" s="97"/>
      <c r="Y19" s="96">
        <f>Y7</f>
        <v>2020</v>
      </c>
      <c r="Z19" s="97"/>
      <c r="AA19" s="96" t="str">
        <f>AA7</f>
        <v>Τριετία</v>
      </c>
      <c r="AB19" s="97"/>
    </row>
    <row r="20" spans="1:28" x14ac:dyDescent="0.25">
      <c r="A20" s="2"/>
      <c r="B20" s="2"/>
      <c r="C20" s="2"/>
      <c r="D20" s="2"/>
      <c r="T20" s="98" t="s">
        <v>51</v>
      </c>
      <c r="U20" s="99">
        <f>B13*B14+C13*C14</f>
        <v>3320000</v>
      </c>
      <c r="V20" s="100"/>
      <c r="W20" s="99">
        <f>W8</f>
        <v>3246000</v>
      </c>
      <c r="X20" s="100"/>
      <c r="Y20" s="99">
        <f>'2020'!V20</f>
        <v>3109980</v>
      </c>
      <c r="Z20" s="100"/>
      <c r="AA20" s="99">
        <f>W20+Y20+U20</f>
        <v>9675980</v>
      </c>
      <c r="AB20" s="100"/>
    </row>
    <row r="21" spans="1:28" ht="15.75" thickBot="1" x14ac:dyDescent="0.3">
      <c r="A21" s="317" t="s">
        <v>12</v>
      </c>
      <c r="B21" s="2"/>
      <c r="C21" s="2"/>
      <c r="D21" s="2"/>
      <c r="G21" s="52" t="s">
        <v>11</v>
      </c>
      <c r="H21" s="2"/>
      <c r="I21" s="2"/>
      <c r="T21" s="101" t="s">
        <v>63</v>
      </c>
      <c r="U21" s="67"/>
      <c r="V21" s="68"/>
      <c r="W21" s="67"/>
      <c r="X21" s="68"/>
      <c r="Y21" s="67"/>
      <c r="Z21" s="68"/>
      <c r="AA21" s="67"/>
      <c r="AB21" s="68"/>
    </row>
    <row r="22" spans="1:28" ht="16.5" thickBot="1" x14ac:dyDescent="0.3">
      <c r="A22" s="26"/>
      <c r="B22" s="40" t="s">
        <v>46</v>
      </c>
      <c r="C22" s="41" t="s">
        <v>27</v>
      </c>
      <c r="D22" s="42" t="s">
        <v>28</v>
      </c>
      <c r="G22" s="162" t="s">
        <v>13</v>
      </c>
      <c r="H22" s="163">
        <v>7</v>
      </c>
      <c r="I22" s="2"/>
      <c r="T22" s="102" t="s">
        <v>62</v>
      </c>
      <c r="U22" s="70"/>
      <c r="V22" s="71"/>
      <c r="W22" s="70"/>
      <c r="X22" s="71"/>
      <c r="Y22" s="70"/>
      <c r="Z22" s="71"/>
      <c r="AA22" s="70"/>
      <c r="AB22" s="71"/>
    </row>
    <row r="23" spans="1:28" x14ac:dyDescent="0.25">
      <c r="A23" s="27" t="s">
        <v>77</v>
      </c>
      <c r="B23" s="43">
        <v>10</v>
      </c>
      <c r="C23" s="44">
        <v>5</v>
      </c>
      <c r="D23" s="45">
        <v>6</v>
      </c>
      <c r="G23" s="164" t="s">
        <v>14</v>
      </c>
      <c r="H23" s="165">
        <v>1200</v>
      </c>
      <c r="T23" s="103" t="s">
        <v>53</v>
      </c>
      <c r="U23" s="70">
        <f>U10</f>
        <v>0</v>
      </c>
      <c r="V23" s="104"/>
      <c r="W23" s="70">
        <f>'2019'!U23</f>
        <v>104830</v>
      </c>
      <c r="X23" s="104"/>
      <c r="Y23" s="70">
        <f>0</f>
        <v>0</v>
      </c>
      <c r="Z23" s="104"/>
      <c r="AA23" s="70">
        <f>0</f>
        <v>0</v>
      </c>
      <c r="AB23" s="104"/>
    </row>
    <row r="24" spans="1:28" x14ac:dyDescent="0.25">
      <c r="A24" s="30" t="s">
        <v>78</v>
      </c>
      <c r="B24" s="46">
        <v>16</v>
      </c>
      <c r="C24" s="47">
        <v>6</v>
      </c>
      <c r="D24" s="48">
        <v>7</v>
      </c>
      <c r="G24" s="164" t="s">
        <v>15</v>
      </c>
      <c r="H24" s="165">
        <f>$B$8*H23</f>
        <v>16800</v>
      </c>
      <c r="T24" s="103" t="s">
        <v>64</v>
      </c>
      <c r="U24" s="105">
        <f>M41*M28+N41*O28</f>
        <v>1801830</v>
      </c>
      <c r="V24" s="104"/>
      <c r="W24" s="105">
        <f>'2019'!U24</f>
        <v>1965510</v>
      </c>
      <c r="X24" s="104"/>
      <c r="Y24" s="105">
        <f>'2020'!U24</f>
        <v>2319330</v>
      </c>
      <c r="Z24" s="104"/>
      <c r="AA24" s="105">
        <f>W24+Y24+Y24</f>
        <v>6604170</v>
      </c>
      <c r="AB24" s="104"/>
    </row>
    <row r="25" spans="1:28" ht="16.5" thickBot="1" x14ac:dyDescent="0.3">
      <c r="A25" s="37" t="s">
        <v>16</v>
      </c>
      <c r="B25" s="49">
        <v>12</v>
      </c>
      <c r="C25" s="50">
        <v>14</v>
      </c>
      <c r="D25" s="51">
        <v>14</v>
      </c>
      <c r="G25" s="166" t="s">
        <v>17</v>
      </c>
      <c r="H25" s="167">
        <f>H22*H24</f>
        <v>117600</v>
      </c>
      <c r="L25" s="10"/>
      <c r="M25" s="11"/>
      <c r="N25" s="11"/>
      <c r="O25" s="11"/>
      <c r="P25" s="11"/>
      <c r="T25" s="106" t="s">
        <v>65</v>
      </c>
      <c r="U25" s="74">
        <f>U24+U23</f>
        <v>1801830</v>
      </c>
      <c r="V25" s="104"/>
      <c r="W25" s="74">
        <f>'2019'!U25</f>
        <v>2070340</v>
      </c>
      <c r="X25" s="104"/>
      <c r="Y25" s="74">
        <f>'2020'!U25</f>
        <v>2424160</v>
      </c>
      <c r="Z25" s="104"/>
      <c r="AA25" s="74">
        <f>AA24+AA23</f>
        <v>6604170</v>
      </c>
      <c r="AB25" s="104"/>
    </row>
    <row r="26" spans="1:28" ht="16.5" thickBot="1" x14ac:dyDescent="0.3">
      <c r="B26"/>
      <c r="C26"/>
      <c r="G26" s="164" t="s">
        <v>18</v>
      </c>
      <c r="H26" s="168">
        <v>4</v>
      </c>
      <c r="L26" s="181">
        <v>2018</v>
      </c>
      <c r="M26" s="182" t="s">
        <v>33</v>
      </c>
      <c r="N26" s="182"/>
      <c r="O26" s="182" t="s">
        <v>34</v>
      </c>
      <c r="P26" s="183"/>
      <c r="T26" s="107" t="s">
        <v>56</v>
      </c>
      <c r="U26" s="70">
        <f>M30*M41+O30*N41</f>
        <v>104830</v>
      </c>
      <c r="V26" s="104"/>
      <c r="W26" s="70">
        <f>'2019'!U26</f>
        <v>128076</v>
      </c>
      <c r="X26" s="104"/>
      <c r="Y26" s="70">
        <f>0</f>
        <v>0</v>
      </c>
      <c r="Z26" s="104"/>
      <c r="AA26" s="70">
        <f>0</f>
        <v>0</v>
      </c>
      <c r="AB26" s="104"/>
    </row>
    <row r="27" spans="1:28" x14ac:dyDescent="0.25">
      <c r="B27"/>
      <c r="C27"/>
      <c r="G27" s="164" t="s">
        <v>19</v>
      </c>
      <c r="H27" s="165">
        <f>($B$2+9)*150</f>
        <v>1800</v>
      </c>
      <c r="L27" s="184" t="s">
        <v>36</v>
      </c>
      <c r="M27" s="185">
        <f>B15</f>
        <v>0</v>
      </c>
      <c r="N27" s="186"/>
      <c r="O27" s="186">
        <f>C15</f>
        <v>0</v>
      </c>
      <c r="P27" s="187"/>
      <c r="T27" s="108" t="s">
        <v>66</v>
      </c>
      <c r="U27" s="109">
        <f>U24-U26</f>
        <v>1697000</v>
      </c>
      <c r="V27" s="104"/>
      <c r="W27" s="109">
        <f>'2019'!U27</f>
        <v>1942264</v>
      </c>
      <c r="X27" s="104"/>
      <c r="Y27" s="109">
        <f>'2020'!U27</f>
        <v>2424160</v>
      </c>
      <c r="Z27" s="104"/>
      <c r="AA27" s="109">
        <f>AA24-AA26</f>
        <v>6604170</v>
      </c>
      <c r="AB27" s="104"/>
    </row>
    <row r="28" spans="1:28" x14ac:dyDescent="0.25">
      <c r="B28"/>
      <c r="C28"/>
      <c r="G28" s="164" t="s">
        <v>20</v>
      </c>
      <c r="H28" s="165">
        <f>$B$8*H27</f>
        <v>25200</v>
      </c>
      <c r="L28" s="188" t="s">
        <v>37</v>
      </c>
      <c r="M28" s="189">
        <f>B18</f>
        <v>3210</v>
      </c>
      <c r="N28" s="190"/>
      <c r="O28" s="191">
        <f>C18</f>
        <v>2100</v>
      </c>
      <c r="P28" s="192"/>
      <c r="T28" s="108" t="s">
        <v>67</v>
      </c>
      <c r="U28" s="110">
        <f>M29*M33+O29*O33</f>
        <v>181200</v>
      </c>
      <c r="V28" s="111"/>
      <c r="W28" s="110">
        <f>'2019'!U28</f>
        <v>177120</v>
      </c>
      <c r="X28" s="111"/>
      <c r="Y28" s="110">
        <f>'2020'!U28</f>
        <v>169355.7</v>
      </c>
      <c r="Z28" s="111"/>
      <c r="AA28" s="110">
        <f>W28+Y28+U28</f>
        <v>527675.69999999995</v>
      </c>
      <c r="AB28" s="111"/>
    </row>
    <row r="29" spans="1:28" ht="15.75" x14ac:dyDescent="0.25">
      <c r="G29" s="166" t="s">
        <v>21</v>
      </c>
      <c r="H29" s="167">
        <f>H26*H28</f>
        <v>100800</v>
      </c>
      <c r="L29" s="188" t="s">
        <v>38</v>
      </c>
      <c r="M29" s="190">
        <f>B13</f>
        <v>3000</v>
      </c>
      <c r="N29" s="193"/>
      <c r="O29" s="193">
        <f>C13</f>
        <v>2000</v>
      </c>
      <c r="P29" s="194"/>
      <c r="Q29" t="s">
        <v>50</v>
      </c>
      <c r="T29" s="108" t="s">
        <v>68</v>
      </c>
      <c r="U29" s="112">
        <f>-(U27+U28)</f>
        <v>-1878200</v>
      </c>
      <c r="V29" s="113"/>
      <c r="W29" s="112">
        <f>'2019'!U29</f>
        <v>-2119384</v>
      </c>
      <c r="X29" s="113"/>
      <c r="Y29" s="112">
        <f>'2020'!U29</f>
        <v>-2593515.7000000002</v>
      </c>
      <c r="Z29" s="113"/>
      <c r="AA29" s="112">
        <f>U29 + W29+Y29</f>
        <v>-6591099.7000000002</v>
      </c>
      <c r="AB29" s="113"/>
    </row>
    <row r="30" spans="1:28" x14ac:dyDescent="0.25">
      <c r="G30" s="164" t="s">
        <v>22</v>
      </c>
      <c r="H30" s="168">
        <v>6</v>
      </c>
      <c r="L30" s="188" t="s">
        <v>39</v>
      </c>
      <c r="M30" s="190">
        <f>M28-M29</f>
        <v>210</v>
      </c>
      <c r="N30" s="193"/>
      <c r="O30" s="193">
        <f>O28-O29</f>
        <v>100</v>
      </c>
      <c r="P30" s="194"/>
      <c r="T30" s="108" t="s">
        <v>69</v>
      </c>
      <c r="U30" s="114">
        <f>U20+U29</f>
        <v>1441800</v>
      </c>
      <c r="V30" s="115"/>
      <c r="W30" s="79">
        <f>'2019'!U30</f>
        <v>1126616</v>
      </c>
      <c r="X30" s="80"/>
      <c r="Y30" s="114">
        <f>'2020'!U30</f>
        <v>516464.29999999981</v>
      </c>
      <c r="Z30" s="115"/>
      <c r="AA30" s="114">
        <f>AA20+AA29</f>
        <v>3084880.3</v>
      </c>
      <c r="AB30" s="115"/>
    </row>
    <row r="31" spans="1:28" x14ac:dyDescent="0.25">
      <c r="G31" s="164" t="s">
        <v>23</v>
      </c>
      <c r="H31" s="165">
        <v>500</v>
      </c>
      <c r="L31" s="188" t="s">
        <v>35</v>
      </c>
      <c r="M31" s="195">
        <f>B14</f>
        <v>600</v>
      </c>
      <c r="N31" s="196"/>
      <c r="O31" s="196">
        <f>C14</f>
        <v>760</v>
      </c>
      <c r="P31" s="197"/>
      <c r="T31" s="108" t="s">
        <v>70</v>
      </c>
      <c r="U31" s="116"/>
      <c r="V31" s="117"/>
      <c r="W31" s="116"/>
      <c r="X31" s="118"/>
      <c r="Y31" s="116"/>
      <c r="Z31" s="117"/>
      <c r="AA31" s="116"/>
      <c r="AB31" s="117"/>
    </row>
    <row r="32" spans="1:28" x14ac:dyDescent="0.25">
      <c r="G32" s="166" t="s">
        <v>24</v>
      </c>
      <c r="H32" s="169">
        <f>H31*H30*12</f>
        <v>36000</v>
      </c>
      <c r="L32" s="198" t="s">
        <v>40</v>
      </c>
      <c r="M32" s="199"/>
      <c r="N32" s="199"/>
      <c r="O32" s="199"/>
      <c r="P32" s="200"/>
      <c r="T32" s="119" t="s">
        <v>71</v>
      </c>
      <c r="U32" s="120">
        <f>J18</f>
        <v>705000</v>
      </c>
      <c r="V32" s="121"/>
      <c r="W32" s="122">
        <f>'2019'!U32</f>
        <v>676200</v>
      </c>
      <c r="X32" s="123"/>
      <c r="Y32" s="122">
        <f>'2020'!U32</f>
        <v>704604</v>
      </c>
      <c r="Z32" s="124"/>
      <c r="AA32" s="122">
        <f>W32+Y32+U32</f>
        <v>2085804</v>
      </c>
      <c r="AB32" s="124"/>
    </row>
    <row r="33" spans="7:28" x14ac:dyDescent="0.25">
      <c r="G33" s="164" t="s">
        <v>29</v>
      </c>
      <c r="H33" s="170">
        <f>($B$3+5)%</f>
        <v>0.05</v>
      </c>
      <c r="L33" s="201" t="s">
        <v>41</v>
      </c>
      <c r="M33" s="202">
        <f>H34</f>
        <v>30</v>
      </c>
      <c r="N33" s="203"/>
      <c r="O33" s="204">
        <f>H36</f>
        <v>45.6</v>
      </c>
      <c r="P33" s="200"/>
      <c r="T33" s="125" t="s">
        <v>72</v>
      </c>
      <c r="U33" s="126">
        <f>H37</f>
        <v>254400</v>
      </c>
      <c r="V33" s="127"/>
      <c r="W33" s="126">
        <f>'2019'!U33</f>
        <v>330960</v>
      </c>
      <c r="X33" s="128"/>
      <c r="Y33" s="122">
        <f>'2020'!U33</f>
        <v>374373.60000000003</v>
      </c>
      <c r="Z33" s="124"/>
      <c r="AA33" s="122">
        <f>W33+Y33+U33</f>
        <v>959733.60000000009</v>
      </c>
      <c r="AB33" s="124"/>
    </row>
    <row r="34" spans="7:28" ht="15.75" thickBot="1" x14ac:dyDescent="0.3">
      <c r="G34" s="164" t="s">
        <v>25</v>
      </c>
      <c r="H34" s="165">
        <f>B14*H33</f>
        <v>30</v>
      </c>
      <c r="L34" s="205" t="s">
        <v>42</v>
      </c>
      <c r="M34" s="206">
        <f>H37</f>
        <v>254400</v>
      </c>
      <c r="N34" s="207"/>
      <c r="O34" s="207"/>
      <c r="P34" s="208"/>
      <c r="T34" s="108" t="s">
        <v>84</v>
      </c>
      <c r="U34" s="129">
        <f>U30-U32-U33</f>
        <v>482400</v>
      </c>
      <c r="V34" s="130"/>
      <c r="W34" s="131">
        <f>'2019'!U34</f>
        <v>119456</v>
      </c>
      <c r="X34" s="132"/>
      <c r="Y34" s="133">
        <f>Y30-Y32-Y33</f>
        <v>-562513.30000000028</v>
      </c>
      <c r="Z34" s="134"/>
      <c r="AA34" s="133">
        <f>AA30-AA32-AA33</f>
        <v>39342.699999999721</v>
      </c>
      <c r="AB34" s="134"/>
    </row>
    <row r="35" spans="7:28" ht="15.75" thickBot="1" x14ac:dyDescent="0.3">
      <c r="G35" s="164" t="s">
        <v>30</v>
      </c>
      <c r="H35" s="170">
        <f>($B$3+6)%</f>
        <v>0.06</v>
      </c>
      <c r="L35" s="209"/>
      <c r="M35" s="209"/>
      <c r="N35" s="209"/>
      <c r="O35" s="209"/>
      <c r="P35" s="209"/>
    </row>
    <row r="36" spans="7:28" ht="16.5" thickBot="1" x14ac:dyDescent="0.3">
      <c r="G36" s="164" t="s">
        <v>26</v>
      </c>
      <c r="H36" s="165">
        <f>C14*H35</f>
        <v>45.6</v>
      </c>
      <c r="L36" s="209"/>
      <c r="M36" s="210" t="s">
        <v>43</v>
      </c>
      <c r="N36" s="182"/>
      <c r="O36" s="182" t="s">
        <v>44</v>
      </c>
      <c r="P36" s="183"/>
    </row>
    <row r="37" spans="7:28" ht="16.5" thickBot="1" x14ac:dyDescent="0.3">
      <c r="G37" s="171" t="s">
        <v>42</v>
      </c>
      <c r="H37" s="172">
        <f>H25+H29+H32</f>
        <v>254400</v>
      </c>
      <c r="L37" s="209"/>
      <c r="M37" s="211" t="s">
        <v>33</v>
      </c>
      <c r="N37" s="212" t="s">
        <v>34</v>
      </c>
      <c r="O37" s="211" t="s">
        <v>33</v>
      </c>
      <c r="P37" s="213" t="s">
        <v>34</v>
      </c>
    </row>
    <row r="38" spans="7:28" ht="13.9" customHeight="1" thickBot="1" x14ac:dyDescent="0.3">
      <c r="L38" s="214" t="s">
        <v>45</v>
      </c>
      <c r="M38" s="215">
        <f>B23*C23+B24*C24</f>
        <v>146</v>
      </c>
      <c r="N38" s="216">
        <f>B23*D23+B24*D24</f>
        <v>172</v>
      </c>
      <c r="O38" s="216">
        <f>B23*C23+B24*C24</f>
        <v>146</v>
      </c>
      <c r="P38" s="217">
        <f>B23*D23+B24*D24</f>
        <v>172</v>
      </c>
    </row>
    <row r="39" spans="7:28" ht="13.9" customHeight="1" thickBot="1" x14ac:dyDescent="0.3">
      <c r="L39" s="214" t="s">
        <v>82</v>
      </c>
      <c r="M39" s="218">
        <f>B25*C25</f>
        <v>168</v>
      </c>
      <c r="N39" s="219">
        <f>B25*D25</f>
        <v>168</v>
      </c>
      <c r="O39" s="219">
        <f>B25*C25</f>
        <v>168</v>
      </c>
      <c r="P39" s="220">
        <f>B25*D25</f>
        <v>168</v>
      </c>
    </row>
    <row r="40" spans="7:28" ht="13.9" customHeight="1" thickBot="1" x14ac:dyDescent="0.3">
      <c r="L40" s="214" t="s">
        <v>83</v>
      </c>
      <c r="M40" s="218">
        <f>$H$11+$H$12</f>
        <v>19</v>
      </c>
      <c r="N40" s="219">
        <f>$I$11+$I$12</f>
        <v>9</v>
      </c>
      <c r="O40" s="219">
        <f>$H$11+$H$12</f>
        <v>19</v>
      </c>
      <c r="P40" s="220">
        <f>$I$11+$I$12</f>
        <v>9</v>
      </c>
    </row>
    <row r="41" spans="7:28" ht="13.9" customHeight="1" thickBot="1" x14ac:dyDescent="0.3">
      <c r="L41" s="221" t="s">
        <v>47</v>
      </c>
      <c r="M41" s="222">
        <f>SUM(M38:M40)</f>
        <v>333</v>
      </c>
      <c r="N41" s="223">
        <f>SUM(N38:N40)</f>
        <v>349</v>
      </c>
      <c r="O41" s="223">
        <f>SUM(O38:O40)</f>
        <v>333</v>
      </c>
      <c r="P41" s="224">
        <f t="shared" ref="P41" si="1">SUM(P38:P40)</f>
        <v>349</v>
      </c>
    </row>
    <row r="42" spans="7:28" ht="13.9" customHeight="1" thickBot="1" x14ac:dyDescent="0.3">
      <c r="L42" s="214" t="s">
        <v>48</v>
      </c>
      <c r="M42" s="225">
        <f>H18/(M28)</f>
        <v>126.4797507788162</v>
      </c>
      <c r="N42" s="225">
        <f>I18/(O28)</f>
        <v>142.38095238095238</v>
      </c>
      <c r="O42" s="226" t="str">
        <f>"-"</f>
        <v>-</v>
      </c>
      <c r="P42" s="227"/>
    </row>
    <row r="43" spans="7:28" ht="13.9" customHeight="1" thickBot="1" x14ac:dyDescent="0.3">
      <c r="L43" s="228" t="s">
        <v>49</v>
      </c>
      <c r="M43" s="229">
        <f>M41+$M$42</f>
        <v>459.4797507788162</v>
      </c>
      <c r="N43" s="230">
        <f>N41+$N$42</f>
        <v>491.38095238095241</v>
      </c>
      <c r="O43" s="231">
        <f>O41</f>
        <v>333</v>
      </c>
      <c r="P43" s="232">
        <f>P41</f>
        <v>349</v>
      </c>
    </row>
  </sheetData>
  <mergeCells count="78">
    <mergeCell ref="AA33:AB33"/>
    <mergeCell ref="AA34:AB34"/>
    <mergeCell ref="M36:N36"/>
    <mergeCell ref="O36:P36"/>
    <mergeCell ref="M32:P32"/>
    <mergeCell ref="W32:X32"/>
    <mergeCell ref="Y34:Z34"/>
    <mergeCell ref="O42:P42"/>
    <mergeCell ref="AA7:AB7"/>
    <mergeCell ref="AA8:AB8"/>
    <mergeCell ref="AA14:AB14"/>
    <mergeCell ref="AA15:AB15"/>
    <mergeCell ref="AA16:AB16"/>
    <mergeCell ref="AA17:AB17"/>
    <mergeCell ref="AA19:AB19"/>
    <mergeCell ref="AA20:AB20"/>
    <mergeCell ref="AA29:AB29"/>
    <mergeCell ref="AA30:AB30"/>
    <mergeCell ref="AA31:AB31"/>
    <mergeCell ref="AA32:AB32"/>
    <mergeCell ref="W33:X33"/>
    <mergeCell ref="W34:X34"/>
    <mergeCell ref="U19:V19"/>
    <mergeCell ref="U34:V34"/>
    <mergeCell ref="M31:N31"/>
    <mergeCell ref="O33:P33"/>
    <mergeCell ref="O28:P28"/>
    <mergeCell ref="O29:P29"/>
    <mergeCell ref="O30:P30"/>
    <mergeCell ref="O31:P31"/>
    <mergeCell ref="M33:N33"/>
    <mergeCell ref="M28:N28"/>
    <mergeCell ref="M30:N30"/>
    <mergeCell ref="M34:P34"/>
    <mergeCell ref="U29:V29"/>
    <mergeCell ref="U30:V30"/>
    <mergeCell ref="W19:X19"/>
    <mergeCell ref="W29:X29"/>
    <mergeCell ref="W30:X30"/>
    <mergeCell ref="W31:X31"/>
    <mergeCell ref="W20:X20"/>
    <mergeCell ref="U20:V20"/>
    <mergeCell ref="Y33:Z33"/>
    <mergeCell ref="Y32:Z32"/>
    <mergeCell ref="U31:V31"/>
    <mergeCell ref="U32:V32"/>
    <mergeCell ref="U33:V33"/>
    <mergeCell ref="Y7:Z7"/>
    <mergeCell ref="Y8:Z8"/>
    <mergeCell ref="Y14:Z14"/>
    <mergeCell ref="Y30:Z30"/>
    <mergeCell ref="Y31:Z31"/>
    <mergeCell ref="Y20:Z20"/>
    <mergeCell ref="Y17:Z17"/>
    <mergeCell ref="Y19:Z19"/>
    <mergeCell ref="Y29:Z29"/>
    <mergeCell ref="Y15:Z15"/>
    <mergeCell ref="Y16:Z16"/>
    <mergeCell ref="M29:N29"/>
    <mergeCell ref="W7:X7"/>
    <mergeCell ref="W14:X14"/>
    <mergeCell ref="W8:X8"/>
    <mergeCell ref="H14:J14"/>
    <mergeCell ref="W17:X17"/>
    <mergeCell ref="U15:V15"/>
    <mergeCell ref="W15:X15"/>
    <mergeCell ref="U16:V16"/>
    <mergeCell ref="W16:X16"/>
    <mergeCell ref="M26:N26"/>
    <mergeCell ref="O26:P26"/>
    <mergeCell ref="M27:N27"/>
    <mergeCell ref="O27:P27"/>
    <mergeCell ref="C2:D8"/>
    <mergeCell ref="B1:D1"/>
    <mergeCell ref="H13:J13"/>
    <mergeCell ref="U7:V7"/>
    <mergeCell ref="U14:V14"/>
    <mergeCell ref="U8:V8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3"/>
  <sheetViews>
    <sheetView zoomScaleNormal="100" workbookViewId="0">
      <selection activeCell="J21" sqref="J21"/>
    </sheetView>
  </sheetViews>
  <sheetFormatPr defaultColWidth="8.7109375" defaultRowHeight="15" x14ac:dyDescent="0.25"/>
  <cols>
    <col min="1" max="1" width="27.28515625" style="2" bestFit="1" customWidth="1"/>
    <col min="2" max="2" width="23.42578125" style="3" customWidth="1"/>
    <col min="3" max="3" width="16.42578125" style="3" customWidth="1"/>
    <col min="4" max="4" width="16.42578125" style="2" customWidth="1"/>
    <col min="5" max="5" width="17.7109375" style="2" customWidth="1"/>
    <col min="6" max="6" width="8.42578125" style="2" customWidth="1"/>
    <col min="7" max="7" width="51.140625" style="2" bestFit="1" customWidth="1"/>
    <col min="8" max="9" width="17" style="2" customWidth="1"/>
    <col min="10" max="10" width="20.28515625" style="2" customWidth="1"/>
    <col min="11" max="11" width="8.42578125" style="2" customWidth="1"/>
    <col min="12" max="12" width="52" style="2" customWidth="1"/>
    <col min="13" max="16" width="20.42578125" style="2" customWidth="1"/>
    <col min="17" max="19" width="8.42578125" style="2" customWidth="1"/>
    <col min="20" max="20" width="52.42578125" style="2" bestFit="1" customWidth="1"/>
    <col min="21" max="22" width="18.140625" style="2" customWidth="1"/>
    <col min="23" max="1022" width="8.42578125" style="2" customWidth="1"/>
    <col min="1023" max="16384" width="8.7109375" style="2"/>
  </cols>
  <sheetData>
    <row r="1" spans="1:22" ht="14.65" customHeight="1" thickBot="1" x14ac:dyDescent="0.3">
      <c r="A1" s="24" t="s">
        <v>0</v>
      </c>
      <c r="B1" s="137"/>
      <c r="C1" s="137"/>
      <c r="D1" s="138"/>
      <c r="S1" s="7"/>
      <c r="T1" s="7"/>
      <c r="U1" s="7"/>
      <c r="V1" s="7"/>
    </row>
    <row r="2" spans="1:22" ht="18.399999999999999" customHeight="1" x14ac:dyDescent="0.3">
      <c r="A2" s="135" t="s">
        <v>74</v>
      </c>
      <c r="B2" s="15">
        <f>'2018 και Τριετία'!B2</f>
        <v>3</v>
      </c>
      <c r="C2" s="16" t="s">
        <v>89</v>
      </c>
      <c r="D2" s="17"/>
      <c r="S2" s="4"/>
      <c r="T2" s="8"/>
      <c r="U2" s="9"/>
      <c r="V2" s="9"/>
    </row>
    <row r="3" spans="1:22" ht="18.75" x14ac:dyDescent="0.3">
      <c r="A3" s="14" t="s">
        <v>75</v>
      </c>
      <c r="B3" s="15">
        <f>'2018 και Τριετία'!B3</f>
        <v>0</v>
      </c>
      <c r="C3" s="16"/>
      <c r="D3" s="17"/>
    </row>
    <row r="4" spans="1:22" ht="18" x14ac:dyDescent="0.25">
      <c r="A4" s="14" t="s">
        <v>87</v>
      </c>
      <c r="B4" s="18">
        <v>2000000</v>
      </c>
      <c r="C4" s="16"/>
      <c r="D4" s="17"/>
      <c r="T4" s="12"/>
      <c r="U4" s="13"/>
      <c r="V4" s="13"/>
    </row>
    <row r="5" spans="1:22" ht="18" x14ac:dyDescent="0.25">
      <c r="A5" s="14" t="s">
        <v>88</v>
      </c>
      <c r="B5" s="18">
        <v>3000000</v>
      </c>
      <c r="C5" s="16"/>
      <c r="D5" s="17"/>
      <c r="T5" s="12"/>
      <c r="U5" s="13"/>
      <c r="V5" s="13"/>
    </row>
    <row r="6" spans="1:22" ht="18" x14ac:dyDescent="0.25">
      <c r="A6" s="14" t="s">
        <v>85</v>
      </c>
      <c r="B6" s="136">
        <v>500</v>
      </c>
      <c r="C6" s="16"/>
      <c r="D6" s="17"/>
      <c r="T6" s="12"/>
      <c r="U6" s="13"/>
      <c r="V6" s="13"/>
    </row>
    <row r="7" spans="1:22" ht="18" x14ac:dyDescent="0.25">
      <c r="A7" s="14" t="s">
        <v>86</v>
      </c>
      <c r="B7" s="136">
        <v>250</v>
      </c>
      <c r="C7" s="16"/>
      <c r="D7" s="17"/>
      <c r="T7" s="60" t="s">
        <v>60</v>
      </c>
      <c r="U7" s="61">
        <v>2019</v>
      </c>
      <c r="V7" s="62"/>
    </row>
    <row r="8" spans="1:22" ht="16.149999999999999" customHeight="1" thickBot="1" x14ac:dyDescent="0.3">
      <c r="A8" s="20" t="s">
        <v>73</v>
      </c>
      <c r="B8" s="21">
        <v>14</v>
      </c>
      <c r="C8" s="22"/>
      <c r="D8" s="23"/>
      <c r="T8" s="63" t="s">
        <v>51</v>
      </c>
      <c r="U8" s="233">
        <f>B13*B14+C13*C14</f>
        <v>3246000</v>
      </c>
      <c r="V8" s="234"/>
    </row>
    <row r="9" spans="1:22" ht="15.75" thickBot="1" x14ac:dyDescent="0.3">
      <c r="B9" s="2"/>
      <c r="C9" s="2"/>
      <c r="G9" s="319" t="s">
        <v>31</v>
      </c>
      <c r="H9" s="53"/>
      <c r="I9" s="53"/>
      <c r="J9" s="53"/>
      <c r="T9" s="66" t="s">
        <v>52</v>
      </c>
      <c r="U9" s="67"/>
      <c r="V9" s="68"/>
    </row>
    <row r="10" spans="1:22" ht="16.5" thickBot="1" x14ac:dyDescent="0.3">
      <c r="A10" s="11"/>
      <c r="B10" s="2"/>
      <c r="C10" s="2"/>
      <c r="G10" s="139"/>
      <c r="H10" s="54" t="s">
        <v>2</v>
      </c>
      <c r="I10" s="55" t="s">
        <v>3</v>
      </c>
      <c r="J10" s="173" t="s">
        <v>68</v>
      </c>
      <c r="T10" s="69" t="s">
        <v>53</v>
      </c>
      <c r="U10" s="70">
        <f>'2018 και Τριετία'!U13</f>
        <v>145628.84290164665</v>
      </c>
      <c r="V10" s="71"/>
    </row>
    <row r="11" spans="1:22" ht="15.75" thickBot="1" x14ac:dyDescent="0.3">
      <c r="A11" s="318" t="s">
        <v>1</v>
      </c>
      <c r="B11" s="2"/>
      <c r="C11" s="2"/>
      <c r="G11" s="141" t="s">
        <v>79</v>
      </c>
      <c r="H11" s="142">
        <f>$B$2+7</f>
        <v>10</v>
      </c>
      <c r="I11" s="143">
        <f>$B$3+5</f>
        <v>5</v>
      </c>
      <c r="J11" s="144"/>
      <c r="T11" s="69" t="s">
        <v>54</v>
      </c>
      <c r="U11" s="72">
        <f>M28*M43+O28*N43</f>
        <v>2641710</v>
      </c>
      <c r="V11" s="71"/>
    </row>
    <row r="12" spans="1:22" ht="16.5" thickBot="1" x14ac:dyDescent="0.3">
      <c r="A12" s="26"/>
      <c r="B12" s="5" t="s">
        <v>2</v>
      </c>
      <c r="C12" s="6" t="s">
        <v>3</v>
      </c>
      <c r="G12" s="145" t="s">
        <v>80</v>
      </c>
      <c r="H12" s="144">
        <f>$B$2+6</f>
        <v>9</v>
      </c>
      <c r="I12" s="146">
        <f>$B$3+4</f>
        <v>4</v>
      </c>
      <c r="J12" s="147"/>
      <c r="T12" s="73" t="s">
        <v>55</v>
      </c>
      <c r="U12" s="74">
        <f>U10+U11</f>
        <v>2787338.8429016466</v>
      </c>
      <c r="V12" s="71"/>
    </row>
    <row r="13" spans="1:22" x14ac:dyDescent="0.25">
      <c r="A13" s="27" t="s">
        <v>4</v>
      </c>
      <c r="B13" s="33">
        <f>(3000+(3000*40%))</f>
        <v>4200</v>
      </c>
      <c r="C13" s="33">
        <f>2000+2000*30%</f>
        <v>2600</v>
      </c>
      <c r="G13" s="145" t="s">
        <v>5</v>
      </c>
      <c r="H13" s="148">
        <f>(100-100*H14)%*30000</f>
        <v>27600</v>
      </c>
      <c r="I13" s="149"/>
      <c r="J13" s="150"/>
      <c r="T13" s="75" t="s">
        <v>56</v>
      </c>
      <c r="U13" s="76">
        <f>(M43*M30+N43*O30)</f>
        <v>171625.85263157895</v>
      </c>
      <c r="V13" s="77"/>
    </row>
    <row r="14" spans="1:22" ht="15.75" x14ac:dyDescent="0.25">
      <c r="A14" s="30" t="s">
        <v>76</v>
      </c>
      <c r="B14" s="31">
        <f>600*0.7</f>
        <v>420</v>
      </c>
      <c r="C14" s="31">
        <f>760*0.75</f>
        <v>570</v>
      </c>
      <c r="G14" s="145" t="s">
        <v>6</v>
      </c>
      <c r="H14" s="151">
        <f>(B2+5)%</f>
        <v>0.08</v>
      </c>
      <c r="I14" s="152"/>
      <c r="J14" s="153"/>
      <c r="T14" s="78" t="s">
        <v>57</v>
      </c>
      <c r="U14" s="235">
        <f>-(U12-U13)</f>
        <v>-2615712.9902700675</v>
      </c>
      <c r="V14" s="236"/>
    </row>
    <row r="15" spans="1:22" ht="15.75" x14ac:dyDescent="0.25">
      <c r="A15" s="30" t="s">
        <v>7</v>
      </c>
      <c r="B15" s="33">
        <f>'2018 και Τριετία'!B17</f>
        <v>210.00000000000003</v>
      </c>
      <c r="C15" s="33">
        <f>'2018 και Τριετία'!C17</f>
        <v>100</v>
      </c>
      <c r="G15" s="145" t="s">
        <v>91</v>
      </c>
      <c r="H15" s="154">
        <f>$B$6/($B$6+$B$7)*J15</f>
        <v>220800</v>
      </c>
      <c r="I15" s="154">
        <f>$B$7/($B$6+$B$7)*J15</f>
        <v>110400</v>
      </c>
      <c r="J15" s="155">
        <f>12*H13</f>
        <v>331200</v>
      </c>
      <c r="T15" s="63" t="s">
        <v>58</v>
      </c>
      <c r="U15" s="237">
        <f>U8+U14</f>
        <v>630287.00972993253</v>
      </c>
      <c r="V15" s="238"/>
    </row>
    <row r="16" spans="1:22" ht="15.75" x14ac:dyDescent="0.25">
      <c r="A16" s="30" t="s">
        <v>8</v>
      </c>
      <c r="B16" s="35">
        <v>7.0000000000000007E-2</v>
      </c>
      <c r="C16" s="36">
        <v>0.05</v>
      </c>
      <c r="G16" s="145" t="s">
        <v>90</v>
      </c>
      <c r="H16" s="154">
        <f>$B$4/($B$4+$B$5)*J16</f>
        <v>96000</v>
      </c>
      <c r="I16" s="154">
        <f>$B$5/($B$4+$B$5)*J16</f>
        <v>144000</v>
      </c>
      <c r="J16" s="156">
        <v>240000</v>
      </c>
      <c r="T16" s="83" t="s">
        <v>59</v>
      </c>
      <c r="U16" s="239">
        <f>-(H37+H34*B13+H36*C13)</f>
        <v>-508080</v>
      </c>
      <c r="V16" s="240"/>
    </row>
    <row r="17" spans="1:22" ht="16.5" thickBot="1" x14ac:dyDescent="0.3">
      <c r="A17" s="30" t="s">
        <v>9</v>
      </c>
      <c r="B17" s="33">
        <f>B16*B13</f>
        <v>294</v>
      </c>
      <c r="C17" s="34">
        <f>C16*C13</f>
        <v>130</v>
      </c>
      <c r="G17" s="157" t="s">
        <v>81</v>
      </c>
      <c r="H17" s="158">
        <f t="shared" ref="H17" si="0">$B$6/($B$6+$B$7)*J17</f>
        <v>70000</v>
      </c>
      <c r="I17" s="158">
        <f>$B$7/($B$6+$B$7)*J17</f>
        <v>35000</v>
      </c>
      <c r="J17" s="159">
        <f>($B$3+7)*15000</f>
        <v>105000</v>
      </c>
      <c r="T17" s="88" t="s">
        <v>84</v>
      </c>
      <c r="U17" s="89"/>
      <c r="V17" s="241">
        <f>U15+U16</f>
        <v>122207.00972993253</v>
      </c>
    </row>
    <row r="18" spans="1:22" ht="15.75" thickBot="1" x14ac:dyDescent="0.3">
      <c r="A18" s="37" t="s">
        <v>10</v>
      </c>
      <c r="B18" s="38">
        <f>B13-B15</f>
        <v>3990</v>
      </c>
      <c r="C18" s="39">
        <f>C13-C15</f>
        <v>2500</v>
      </c>
      <c r="G18" s="160" t="s">
        <v>32</v>
      </c>
      <c r="H18" s="161">
        <f>SUM(H15:H17)</f>
        <v>386800</v>
      </c>
      <c r="I18" s="161">
        <f>SUM(I15:I17)</f>
        <v>289400</v>
      </c>
      <c r="J18" s="161">
        <f>SUM(H18:I18)</f>
        <v>676200</v>
      </c>
      <c r="S18" s="7"/>
      <c r="T18" s="93"/>
      <c r="U18" s="94"/>
      <c r="V18" s="94"/>
    </row>
    <row r="19" spans="1:22" ht="18.75" thickBot="1" x14ac:dyDescent="0.3">
      <c r="B19" s="2"/>
      <c r="C19" s="2"/>
      <c r="T19" s="95" t="s">
        <v>61</v>
      </c>
      <c r="U19" s="96">
        <f>U7</f>
        <v>2019</v>
      </c>
      <c r="V19" s="97"/>
    </row>
    <row r="20" spans="1:22" x14ac:dyDescent="0.25">
      <c r="B20" s="2"/>
      <c r="C20" s="2"/>
      <c r="T20" s="98" t="s">
        <v>51</v>
      </c>
      <c r="U20" s="242"/>
      <c r="V20" s="243">
        <f>B13*B14+C13*C14</f>
        <v>3246000</v>
      </c>
    </row>
    <row r="21" spans="1:22" ht="15.75" thickBot="1" x14ac:dyDescent="0.3">
      <c r="A21" s="318" t="s">
        <v>12</v>
      </c>
      <c r="B21" s="2"/>
      <c r="C21" s="2"/>
      <c r="G21" s="319" t="s">
        <v>11</v>
      </c>
      <c r="H21" s="52"/>
      <c r="T21" s="101" t="s">
        <v>63</v>
      </c>
      <c r="U21" s="67"/>
      <c r="V21" s="68"/>
    </row>
    <row r="22" spans="1:22" ht="16.5" thickBot="1" x14ac:dyDescent="0.3">
      <c r="A22" s="26"/>
      <c r="B22" s="40" t="s">
        <v>46</v>
      </c>
      <c r="C22" s="41" t="s">
        <v>27</v>
      </c>
      <c r="D22" s="42" t="s">
        <v>28</v>
      </c>
      <c r="G22" s="162" t="s">
        <v>13</v>
      </c>
      <c r="H22" s="163">
        <v>10</v>
      </c>
      <c r="T22" s="102" t="s">
        <v>62</v>
      </c>
      <c r="U22" s="70"/>
      <c r="V22" s="71"/>
    </row>
    <row r="23" spans="1:22" x14ac:dyDescent="0.25">
      <c r="A23" s="27" t="s">
        <v>93</v>
      </c>
      <c r="B23" s="43">
        <f>10 * 0.8</f>
        <v>8</v>
      </c>
      <c r="C23" s="44">
        <v>5</v>
      </c>
      <c r="D23" s="45">
        <v>6</v>
      </c>
      <c r="G23" s="164" t="s">
        <v>14</v>
      </c>
      <c r="H23" s="165">
        <f>1200*1.07</f>
        <v>1284</v>
      </c>
      <c r="T23" s="103" t="s">
        <v>53</v>
      </c>
      <c r="U23" s="70">
        <f>'2018 και Τριετία'!U26</f>
        <v>104830</v>
      </c>
      <c r="V23" s="104"/>
    </row>
    <row r="24" spans="1:22" x14ac:dyDescent="0.25">
      <c r="A24" s="30" t="s">
        <v>94</v>
      </c>
      <c r="B24" s="46">
        <f xml:space="preserve"> 16 * 0.75</f>
        <v>12</v>
      </c>
      <c r="C24" s="47">
        <v>6</v>
      </c>
      <c r="D24" s="48">
        <v>7</v>
      </c>
      <c r="G24" s="164" t="s">
        <v>15</v>
      </c>
      <c r="H24" s="165">
        <f>$B$8*H23</f>
        <v>17976</v>
      </c>
      <c r="T24" s="103" t="s">
        <v>64</v>
      </c>
      <c r="U24" s="105">
        <f>M41*M28+N41*O28</f>
        <v>1965510</v>
      </c>
      <c r="V24" s="104"/>
    </row>
    <row r="25" spans="1:22" ht="16.5" thickBot="1" x14ac:dyDescent="0.3">
      <c r="A25" s="37" t="s">
        <v>16</v>
      </c>
      <c r="B25" s="49">
        <v>12</v>
      </c>
      <c r="C25" s="50">
        <v>14</v>
      </c>
      <c r="D25" s="51">
        <v>14</v>
      </c>
      <c r="G25" s="166" t="s">
        <v>17</v>
      </c>
      <c r="H25" s="167">
        <f>H22*H24</f>
        <v>179760</v>
      </c>
      <c r="T25" s="106" t="s">
        <v>65</v>
      </c>
      <c r="U25" s="74">
        <f>U24+U23</f>
        <v>2070340</v>
      </c>
      <c r="V25" s="104"/>
    </row>
    <row r="26" spans="1:22" ht="16.5" thickBot="1" x14ac:dyDescent="0.3">
      <c r="B26" s="2"/>
      <c r="C26" s="2"/>
      <c r="G26" s="164" t="s">
        <v>18</v>
      </c>
      <c r="H26" s="168">
        <v>4</v>
      </c>
      <c r="L26" s="181">
        <v>2019</v>
      </c>
      <c r="M26" s="182" t="s">
        <v>33</v>
      </c>
      <c r="N26" s="182"/>
      <c r="O26" s="182" t="s">
        <v>34</v>
      </c>
      <c r="P26" s="183"/>
      <c r="T26" s="107" t="s">
        <v>56</v>
      </c>
      <c r="U26" s="70">
        <f>M30*M41+O30*N41</f>
        <v>128076</v>
      </c>
      <c r="V26" s="104"/>
    </row>
    <row r="27" spans="1:22" x14ac:dyDescent="0.25">
      <c r="B27" s="2"/>
      <c r="C27" s="2"/>
      <c r="G27" s="164" t="s">
        <v>19</v>
      </c>
      <c r="H27" s="165">
        <f>($B$2+9)*150</f>
        <v>1800</v>
      </c>
      <c r="L27" s="184" t="s">
        <v>36</v>
      </c>
      <c r="M27" s="185">
        <f>B15</f>
        <v>210.00000000000003</v>
      </c>
      <c r="N27" s="186"/>
      <c r="O27" s="186">
        <f>C15</f>
        <v>100</v>
      </c>
      <c r="P27" s="187"/>
      <c r="T27" s="108" t="s">
        <v>66</v>
      </c>
      <c r="U27" s="109">
        <f>U25-U26</f>
        <v>1942264</v>
      </c>
      <c r="V27" s="104"/>
    </row>
    <row r="28" spans="1:22" x14ac:dyDescent="0.25">
      <c r="B28" s="2"/>
      <c r="C28" s="2"/>
      <c r="G28" s="164" t="s">
        <v>20</v>
      </c>
      <c r="H28" s="165">
        <f>$B$8*H27</f>
        <v>25200</v>
      </c>
      <c r="L28" s="188" t="s">
        <v>37</v>
      </c>
      <c r="M28" s="189">
        <f>B18</f>
        <v>3990</v>
      </c>
      <c r="N28" s="190"/>
      <c r="O28" s="191">
        <f>C18</f>
        <v>2500</v>
      </c>
      <c r="P28" s="192"/>
      <c r="T28" s="108" t="s">
        <v>67</v>
      </c>
      <c r="U28" s="110">
        <f>M29*M33+O29*O33</f>
        <v>177120</v>
      </c>
      <c r="V28" s="111"/>
    </row>
    <row r="29" spans="1:22" ht="15.75" x14ac:dyDescent="0.25">
      <c r="G29" s="166" t="s">
        <v>21</v>
      </c>
      <c r="H29" s="167">
        <f>H26*H28</f>
        <v>100800</v>
      </c>
      <c r="L29" s="188" t="s">
        <v>38</v>
      </c>
      <c r="M29" s="190">
        <f>B13</f>
        <v>4200</v>
      </c>
      <c r="N29" s="193"/>
      <c r="O29" s="193">
        <f>C13</f>
        <v>2600</v>
      </c>
      <c r="P29" s="194"/>
      <c r="Q29" s="2" t="s">
        <v>50</v>
      </c>
      <c r="T29" s="108" t="s">
        <v>68</v>
      </c>
      <c r="U29" s="244">
        <f>-(U27+U28)</f>
        <v>-2119384</v>
      </c>
      <c r="V29" s="245"/>
    </row>
    <row r="30" spans="1:22" x14ac:dyDescent="0.25">
      <c r="G30" s="164" t="s">
        <v>22</v>
      </c>
      <c r="H30" s="168">
        <v>7</v>
      </c>
      <c r="L30" s="188" t="s">
        <v>39</v>
      </c>
      <c r="M30" s="190">
        <v>294</v>
      </c>
      <c r="N30" s="193"/>
      <c r="O30" s="193">
        <v>130</v>
      </c>
      <c r="P30" s="194"/>
      <c r="T30" s="108" t="s">
        <v>69</v>
      </c>
      <c r="U30" s="246">
        <f>V20+U29</f>
        <v>1126616</v>
      </c>
      <c r="V30" s="247"/>
    </row>
    <row r="31" spans="1:22" x14ac:dyDescent="0.25">
      <c r="G31" s="164" t="s">
        <v>23</v>
      </c>
      <c r="H31" s="165">
        <v>600</v>
      </c>
      <c r="L31" s="188" t="s">
        <v>35</v>
      </c>
      <c r="M31" s="195">
        <f>B14</f>
        <v>420</v>
      </c>
      <c r="N31" s="196"/>
      <c r="O31" s="196">
        <f>C14</f>
        <v>570</v>
      </c>
      <c r="P31" s="197"/>
      <c r="T31" s="108" t="s">
        <v>70</v>
      </c>
      <c r="U31" s="116"/>
      <c r="V31" s="117"/>
    </row>
    <row r="32" spans="1:22" x14ac:dyDescent="0.25">
      <c r="G32" s="166" t="s">
        <v>24</v>
      </c>
      <c r="H32" s="169">
        <f>H31*H30*12</f>
        <v>50400</v>
      </c>
      <c r="L32" s="198" t="s">
        <v>40</v>
      </c>
      <c r="M32" s="199"/>
      <c r="N32" s="199"/>
      <c r="O32" s="199"/>
      <c r="P32" s="200"/>
      <c r="T32" s="248" t="s">
        <v>71</v>
      </c>
      <c r="U32" s="249">
        <f>J18</f>
        <v>676200</v>
      </c>
      <c r="V32" s="250"/>
    </row>
    <row r="33" spans="7:22" x14ac:dyDescent="0.25">
      <c r="G33" s="164" t="s">
        <v>29</v>
      </c>
      <c r="H33" s="170">
        <f>($B$3+5)%</f>
        <v>0.05</v>
      </c>
      <c r="L33" s="201" t="s">
        <v>41</v>
      </c>
      <c r="M33" s="202">
        <f>H34</f>
        <v>21</v>
      </c>
      <c r="N33" s="203"/>
      <c r="O33" s="204">
        <f>H36</f>
        <v>34.199999999999996</v>
      </c>
      <c r="P33" s="200"/>
      <c r="T33" s="248" t="s">
        <v>72</v>
      </c>
      <c r="U33" s="251">
        <f>H37</f>
        <v>330960</v>
      </c>
      <c r="V33" s="252"/>
    </row>
    <row r="34" spans="7:22" ht="15.75" thickBot="1" x14ac:dyDescent="0.3">
      <c r="G34" s="164" t="s">
        <v>25</v>
      </c>
      <c r="H34" s="165">
        <f>B14*H33</f>
        <v>21</v>
      </c>
      <c r="L34" s="205" t="s">
        <v>42</v>
      </c>
      <c r="M34" s="206">
        <f>H37</f>
        <v>330960</v>
      </c>
      <c r="N34" s="207"/>
      <c r="O34" s="207"/>
      <c r="P34" s="208"/>
      <c r="T34" s="108" t="s">
        <v>84</v>
      </c>
      <c r="U34" s="253">
        <f>U30-U32-U33</f>
        <v>119456</v>
      </c>
      <c r="V34" s="254"/>
    </row>
    <row r="35" spans="7:22" ht="15.75" thickBot="1" x14ac:dyDescent="0.3">
      <c r="G35" s="164" t="s">
        <v>30</v>
      </c>
      <c r="H35" s="170">
        <f>($B$3+6)%</f>
        <v>0.06</v>
      </c>
      <c r="L35" s="209"/>
      <c r="M35" s="209"/>
      <c r="N35" s="209"/>
      <c r="O35" s="209"/>
      <c r="P35" s="209"/>
    </row>
    <row r="36" spans="7:22" ht="16.5" thickBot="1" x14ac:dyDescent="0.3">
      <c r="G36" s="164" t="s">
        <v>26</v>
      </c>
      <c r="H36" s="165">
        <f>C14*H35</f>
        <v>34.199999999999996</v>
      </c>
      <c r="L36" s="209"/>
      <c r="M36" s="210" t="s">
        <v>43</v>
      </c>
      <c r="N36" s="182"/>
      <c r="O36" s="182" t="s">
        <v>44</v>
      </c>
      <c r="P36" s="183"/>
    </row>
    <row r="37" spans="7:22" ht="16.5" thickBot="1" x14ac:dyDescent="0.3">
      <c r="G37" s="171" t="s">
        <v>42</v>
      </c>
      <c r="H37" s="172">
        <f>H25+H29+H32</f>
        <v>330960</v>
      </c>
      <c r="L37" s="209"/>
      <c r="M37" s="211" t="s">
        <v>33</v>
      </c>
      <c r="N37" s="212" t="s">
        <v>34</v>
      </c>
      <c r="O37" s="211" t="s">
        <v>33</v>
      </c>
      <c r="P37" s="213" t="s">
        <v>34</v>
      </c>
    </row>
    <row r="38" spans="7:22" ht="13.9" customHeight="1" thickBot="1" x14ac:dyDescent="0.3">
      <c r="L38" s="214" t="s">
        <v>45</v>
      </c>
      <c r="M38" s="215">
        <f>B23*C23+B24*C24</f>
        <v>112</v>
      </c>
      <c r="N38" s="216">
        <f>B23*D23+B24*D24</f>
        <v>132</v>
      </c>
      <c r="O38" s="216">
        <f>B23*C23+B24*C24</f>
        <v>112</v>
      </c>
      <c r="P38" s="217">
        <f>B23*D23+B24*D24</f>
        <v>132</v>
      </c>
    </row>
    <row r="39" spans="7:22" ht="13.9" customHeight="1" thickBot="1" x14ac:dyDescent="0.3">
      <c r="L39" s="214" t="s">
        <v>82</v>
      </c>
      <c r="M39" s="218">
        <f>B25*C25</f>
        <v>168</v>
      </c>
      <c r="N39" s="219">
        <f>B25*D25</f>
        <v>168</v>
      </c>
      <c r="O39" s="219">
        <f>B25*C25</f>
        <v>168</v>
      </c>
      <c r="P39" s="220">
        <f>B25*D25</f>
        <v>168</v>
      </c>
    </row>
    <row r="40" spans="7:22" ht="13.9" customHeight="1" thickBot="1" x14ac:dyDescent="0.3">
      <c r="L40" s="214" t="s">
        <v>83</v>
      </c>
      <c r="M40" s="218">
        <f>$H$11+$H$12</f>
        <v>19</v>
      </c>
      <c r="N40" s="219">
        <f>$I$11+$I$12</f>
        <v>9</v>
      </c>
      <c r="O40" s="219">
        <f>$H$11+$H$12</f>
        <v>19</v>
      </c>
      <c r="P40" s="220">
        <f>$I$11+$I$12</f>
        <v>9</v>
      </c>
    </row>
    <row r="41" spans="7:22" ht="13.9" customHeight="1" thickBot="1" x14ac:dyDescent="0.3">
      <c r="L41" s="221" t="s">
        <v>47</v>
      </c>
      <c r="M41" s="222">
        <f>SUM(M38:M40)</f>
        <v>299</v>
      </c>
      <c r="N41" s="223">
        <f>SUM(N38:N40)</f>
        <v>309</v>
      </c>
      <c r="O41" s="223">
        <f>SUM(O38:O40)</f>
        <v>299</v>
      </c>
      <c r="P41" s="224">
        <f t="shared" ref="P41" si="1">SUM(P38:P40)</f>
        <v>309</v>
      </c>
    </row>
    <row r="42" spans="7:22" ht="13.9" customHeight="1" thickBot="1" x14ac:dyDescent="0.3">
      <c r="L42" s="214" t="s">
        <v>48</v>
      </c>
      <c r="M42" s="225">
        <f>H18/(M28)</f>
        <v>96.942355889724311</v>
      </c>
      <c r="N42" s="225">
        <f>I18/(O28)</f>
        <v>115.76</v>
      </c>
      <c r="O42" s="226" t="str">
        <f>"-"</f>
        <v>-</v>
      </c>
      <c r="P42" s="227"/>
    </row>
    <row r="43" spans="7:22" ht="13.9" customHeight="1" thickBot="1" x14ac:dyDescent="0.3">
      <c r="L43" s="228" t="s">
        <v>49</v>
      </c>
      <c r="M43" s="229">
        <f>M41+$M$42</f>
        <v>395.9423558897243</v>
      </c>
      <c r="N43" s="230">
        <f>N41+$N$42</f>
        <v>424.76</v>
      </c>
      <c r="O43" s="231">
        <f>O41</f>
        <v>299</v>
      </c>
      <c r="P43" s="232">
        <f>P41</f>
        <v>309</v>
      </c>
    </row>
  </sheetData>
  <mergeCells count="26">
    <mergeCell ref="U19:V19"/>
    <mergeCell ref="H13:J13"/>
    <mergeCell ref="H14:J14"/>
    <mergeCell ref="B1:D1"/>
    <mergeCell ref="C2:D8"/>
    <mergeCell ref="U7:V7"/>
    <mergeCell ref="M26:N26"/>
    <mergeCell ref="O26:P26"/>
    <mergeCell ref="M27:N27"/>
    <mergeCell ref="O27:P27"/>
    <mergeCell ref="M28:N28"/>
    <mergeCell ref="O28:P28"/>
    <mergeCell ref="M31:N31"/>
    <mergeCell ref="O31:P31"/>
    <mergeCell ref="U31:V31"/>
    <mergeCell ref="M32:P32"/>
    <mergeCell ref="M29:N29"/>
    <mergeCell ref="O29:P29"/>
    <mergeCell ref="M30:N30"/>
    <mergeCell ref="O30:P30"/>
    <mergeCell ref="M36:N36"/>
    <mergeCell ref="O36:P36"/>
    <mergeCell ref="O42:P42"/>
    <mergeCell ref="M33:N33"/>
    <mergeCell ref="O33:P33"/>
    <mergeCell ref="M34:P3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FF248-1B46-40C3-9494-EEB23684DFD2}">
  <dimension ref="A1:V43"/>
  <sheetViews>
    <sheetView tabSelected="1" topLeftCell="J4" zoomScaleNormal="100" workbookViewId="0">
      <selection activeCell="P8" sqref="P8"/>
    </sheetView>
  </sheetViews>
  <sheetFormatPr defaultRowHeight="15" x14ac:dyDescent="0.25"/>
  <cols>
    <col min="1" max="1" width="30.42578125" customWidth="1"/>
    <col min="2" max="2" width="21.42578125" customWidth="1"/>
    <col min="3" max="3" width="21.85546875" customWidth="1"/>
    <col min="4" max="4" width="13.28515625" customWidth="1"/>
    <col min="7" max="7" width="52.7109375" customWidth="1"/>
    <col min="8" max="8" width="28.42578125" customWidth="1"/>
    <col min="9" max="9" width="17.140625" customWidth="1"/>
    <col min="10" max="10" width="18.85546875" customWidth="1"/>
    <col min="12" max="12" width="33" customWidth="1"/>
    <col min="13" max="13" width="22.42578125" customWidth="1"/>
    <col min="14" max="14" width="22.140625" customWidth="1"/>
    <col min="15" max="15" width="25" customWidth="1"/>
    <col min="16" max="16" width="20" customWidth="1"/>
    <col min="20" max="20" width="41" customWidth="1"/>
    <col min="21" max="21" width="22.85546875" customWidth="1"/>
    <col min="22" max="22" width="23.5703125" customWidth="1"/>
  </cols>
  <sheetData>
    <row r="1" spans="1:22" ht="15.75" thickBot="1" x14ac:dyDescent="0.3">
      <c r="A1" s="174" t="s">
        <v>0</v>
      </c>
      <c r="B1" s="255"/>
      <c r="C1" s="255"/>
      <c r="D1" s="255"/>
    </row>
    <row r="2" spans="1:22" ht="18.75" x14ac:dyDescent="0.3">
      <c r="A2" s="320" t="s">
        <v>97</v>
      </c>
      <c r="B2" s="323">
        <f>'2018 και Τριετία'!B2</f>
        <v>3</v>
      </c>
      <c r="C2" s="175" t="s">
        <v>89</v>
      </c>
      <c r="D2" s="176"/>
    </row>
    <row r="3" spans="1:22" ht="18.75" x14ac:dyDescent="0.3">
      <c r="A3" s="321" t="s">
        <v>98</v>
      </c>
      <c r="B3" s="323">
        <f>'2018 και Τριετία'!B3</f>
        <v>0</v>
      </c>
      <c r="C3" s="175"/>
      <c r="D3" s="176"/>
    </row>
    <row r="4" spans="1:22" ht="15.75" x14ac:dyDescent="0.25">
      <c r="A4" s="321" t="s">
        <v>87</v>
      </c>
      <c r="B4" s="324">
        <v>2000000</v>
      </c>
      <c r="C4" s="175"/>
      <c r="D4" s="176"/>
    </row>
    <row r="5" spans="1:22" ht="15.75" x14ac:dyDescent="0.25">
      <c r="A5" s="321" t="s">
        <v>88</v>
      </c>
      <c r="B5" s="324">
        <v>3000000</v>
      </c>
      <c r="C5" s="175"/>
      <c r="D5" s="176"/>
    </row>
    <row r="6" spans="1:22" ht="15.75" x14ac:dyDescent="0.25">
      <c r="A6" s="321" t="s">
        <v>85</v>
      </c>
      <c r="B6" s="325">
        <v>500</v>
      </c>
      <c r="C6" s="175"/>
      <c r="D6" s="176"/>
    </row>
    <row r="7" spans="1:22" ht="18" x14ac:dyDescent="0.25">
      <c r="A7" s="321" t="s">
        <v>86</v>
      </c>
      <c r="B7" s="325">
        <v>250</v>
      </c>
      <c r="C7" s="175"/>
      <c r="D7" s="176"/>
      <c r="T7" s="256" t="s">
        <v>60</v>
      </c>
      <c r="U7" s="257">
        <v>2020</v>
      </c>
      <c r="V7" s="258"/>
    </row>
    <row r="8" spans="1:22" ht="16.5" thickBot="1" x14ac:dyDescent="0.3">
      <c r="A8" s="322" t="s">
        <v>73</v>
      </c>
      <c r="B8" s="326">
        <v>14</v>
      </c>
      <c r="C8" s="177"/>
      <c r="D8" s="178"/>
      <c r="T8" s="259" t="s">
        <v>51</v>
      </c>
      <c r="U8" s="260">
        <f>B13*B14+C13*C14</f>
        <v>3109980</v>
      </c>
      <c r="V8" s="261"/>
    </row>
    <row r="9" spans="1:22" ht="15.75" thickBot="1" x14ac:dyDescent="0.3">
      <c r="G9" s="52" t="s">
        <v>31</v>
      </c>
      <c r="H9" s="2"/>
      <c r="I9" s="2"/>
      <c r="J9" s="2"/>
      <c r="T9" s="262" t="s">
        <v>52</v>
      </c>
      <c r="U9" s="263"/>
      <c r="V9" s="264"/>
    </row>
    <row r="10" spans="1:22" ht="16.5" thickBot="1" x14ac:dyDescent="0.3">
      <c r="G10" s="139"/>
      <c r="H10" s="54" t="s">
        <v>2</v>
      </c>
      <c r="I10" s="55" t="s">
        <v>3</v>
      </c>
      <c r="J10" s="173" t="s">
        <v>68</v>
      </c>
      <c r="T10" s="265" t="s">
        <v>53</v>
      </c>
      <c r="U10" s="266">
        <f>'2018 και Τριετία'!U13</f>
        <v>145628.84290164665</v>
      </c>
      <c r="V10" s="267"/>
    </row>
    <row r="11" spans="1:22" ht="15.75" thickBot="1" x14ac:dyDescent="0.3">
      <c r="A11" s="317" t="s">
        <v>1</v>
      </c>
      <c r="B11" s="2"/>
      <c r="C11" s="2"/>
      <c r="G11" s="141" t="s">
        <v>79</v>
      </c>
      <c r="H11" s="142">
        <f>B2+7</f>
        <v>10</v>
      </c>
      <c r="I11" s="143">
        <f>B3+5</f>
        <v>5</v>
      </c>
      <c r="J11" s="144"/>
      <c r="T11" s="265" t="s">
        <v>54</v>
      </c>
      <c r="U11" s="268">
        <f>M28*M43+O28*N43</f>
        <v>3023934</v>
      </c>
      <c r="V11" s="267"/>
    </row>
    <row r="12" spans="1:22" ht="16.5" thickBot="1" x14ac:dyDescent="0.3">
      <c r="A12" s="26"/>
      <c r="B12" s="5" t="s">
        <v>2</v>
      </c>
      <c r="C12" s="6" t="s">
        <v>3</v>
      </c>
      <c r="G12" s="145" t="s">
        <v>80</v>
      </c>
      <c r="H12" s="144">
        <f>$B$2+6</f>
        <v>9</v>
      </c>
      <c r="I12" s="146">
        <f>$B$3+4</f>
        <v>4</v>
      </c>
      <c r="J12" s="147"/>
      <c r="T12" s="269" t="s">
        <v>55</v>
      </c>
      <c r="U12" s="270">
        <f>U10+U11</f>
        <v>3169562.8429016466</v>
      </c>
      <c r="V12" s="267"/>
    </row>
    <row r="13" spans="1:22" x14ac:dyDescent="0.25">
      <c r="A13" s="27" t="s">
        <v>4</v>
      </c>
      <c r="B13" s="28">
        <f>4200 * 1.15</f>
        <v>4830</v>
      </c>
      <c r="C13" s="29">
        <f>2600 * 1.1</f>
        <v>2860.0000000000005</v>
      </c>
      <c r="G13" s="145" t="s">
        <v>5</v>
      </c>
      <c r="H13" s="148">
        <f>(100-H14)%*30000</f>
        <v>29967</v>
      </c>
      <c r="I13" s="149"/>
      <c r="J13" s="150"/>
      <c r="T13" s="271" t="s">
        <v>56</v>
      </c>
      <c r="U13" s="272">
        <f>(M43*M30+N43*O30)</f>
        <v>0</v>
      </c>
      <c r="V13" s="273"/>
    </row>
    <row r="14" spans="1:22" ht="15.75" x14ac:dyDescent="0.25">
      <c r="A14" s="30" t="s">
        <v>76</v>
      </c>
      <c r="B14" s="31">
        <f>'2019'!B14 *0.85</f>
        <v>357</v>
      </c>
      <c r="C14" s="32">
        <f>'2019'!C14 *0.85</f>
        <v>484.5</v>
      </c>
      <c r="G14" s="145" t="s">
        <v>6</v>
      </c>
      <c r="H14" s="151">
        <f>(B2+8)%</f>
        <v>0.11</v>
      </c>
      <c r="I14" s="152"/>
      <c r="J14" s="153"/>
      <c r="T14" s="274" t="s">
        <v>57</v>
      </c>
      <c r="U14" s="275">
        <f>-(U12-U13)</f>
        <v>-3169562.8429016466</v>
      </c>
      <c r="V14" s="276"/>
    </row>
    <row r="15" spans="1:22" ht="15.75" x14ac:dyDescent="0.25">
      <c r="A15" s="30" t="s">
        <v>7</v>
      </c>
      <c r="B15" s="33">
        <f>'2019'!B17</f>
        <v>294</v>
      </c>
      <c r="C15" s="34">
        <f>'2019'!C17</f>
        <v>130</v>
      </c>
      <c r="G15" s="145" t="s">
        <v>91</v>
      </c>
      <c r="H15" s="154">
        <f>$B$6/($B$6+$B$7)*J15</f>
        <v>239736</v>
      </c>
      <c r="I15" s="154">
        <f>$B$7/($B$6+$B$7)*J15</f>
        <v>119868</v>
      </c>
      <c r="J15" s="155">
        <f>12*H13</f>
        <v>359604</v>
      </c>
      <c r="T15" s="259" t="s">
        <v>58</v>
      </c>
      <c r="U15" s="277">
        <f>U8+U14</f>
        <v>-59582.842901646625</v>
      </c>
      <c r="V15" s="278"/>
    </row>
    <row r="16" spans="1:22" ht="15.75" x14ac:dyDescent="0.25">
      <c r="A16" s="30" t="s">
        <v>8</v>
      </c>
      <c r="B16" s="35">
        <v>7.0000000000000007E-2</v>
      </c>
      <c r="C16" s="36">
        <v>0.05</v>
      </c>
      <c r="G16" s="145" t="s">
        <v>90</v>
      </c>
      <c r="H16" s="154">
        <f>$B$4/($B$4+$B$5)*J16</f>
        <v>96000</v>
      </c>
      <c r="I16" s="154">
        <f>$B$5/($B$4+$B$5)*J16</f>
        <v>144000</v>
      </c>
      <c r="J16" s="156">
        <v>240000</v>
      </c>
      <c r="T16" s="279" t="s">
        <v>59</v>
      </c>
      <c r="U16" s="280">
        <f>-(H37+H34*B13+H36*C13)</f>
        <v>-543729.30000000005</v>
      </c>
      <c r="V16" s="281"/>
    </row>
    <row r="17" spans="1:22" ht="16.5" thickBot="1" x14ac:dyDescent="0.3">
      <c r="A17" s="30" t="s">
        <v>9</v>
      </c>
      <c r="B17" s="33">
        <v>0</v>
      </c>
      <c r="C17" s="34">
        <v>0</v>
      </c>
      <c r="G17" s="157" t="s">
        <v>81</v>
      </c>
      <c r="H17" s="158">
        <f t="shared" ref="H17" si="0">$B$6/($B$6+$B$7)*J17</f>
        <v>70000</v>
      </c>
      <c r="I17" s="158">
        <f>$B$7/($B$6+$B$7)*J17</f>
        <v>35000</v>
      </c>
      <c r="J17" s="159">
        <f>($B$3+7)*15000</f>
        <v>105000</v>
      </c>
      <c r="T17" s="282" t="s">
        <v>84</v>
      </c>
      <c r="U17" s="283"/>
      <c r="V17" s="284">
        <f>U15+U16</f>
        <v>-603312.14290164667</v>
      </c>
    </row>
    <row r="18" spans="1:22" ht="15.75" thickBot="1" x14ac:dyDescent="0.3">
      <c r="A18" s="37" t="s">
        <v>10</v>
      </c>
      <c r="B18" s="38">
        <f>B13+B17</f>
        <v>4830</v>
      </c>
      <c r="C18" s="39">
        <f>C13+C17</f>
        <v>2860.0000000000005</v>
      </c>
      <c r="G18" s="160" t="s">
        <v>32</v>
      </c>
      <c r="H18" s="161">
        <f>SUM(H15:H17)</f>
        <v>405736</v>
      </c>
      <c r="I18" s="161">
        <f>SUM(I15:I17)</f>
        <v>298868</v>
      </c>
      <c r="J18" s="161">
        <f>SUM(H18:I18)</f>
        <v>704604</v>
      </c>
      <c r="T18" s="285"/>
      <c r="U18" s="286"/>
      <c r="V18" s="286"/>
    </row>
    <row r="19" spans="1:22" ht="18.75" thickBot="1" x14ac:dyDescent="0.3">
      <c r="T19" s="287" t="s">
        <v>61</v>
      </c>
      <c r="U19" s="288">
        <f>U7</f>
        <v>2020</v>
      </c>
      <c r="V19" s="289"/>
    </row>
    <row r="20" spans="1:22" x14ac:dyDescent="0.25">
      <c r="T20" s="290" t="s">
        <v>51</v>
      </c>
      <c r="U20" s="291"/>
      <c r="V20" s="292">
        <f>B13*B14+C13*C14</f>
        <v>3109980</v>
      </c>
    </row>
    <row r="21" spans="1:22" ht="15.75" thickBot="1" x14ac:dyDescent="0.3">
      <c r="A21" s="25" t="s">
        <v>12</v>
      </c>
      <c r="B21" s="2"/>
      <c r="C21" s="2"/>
      <c r="D21" s="2"/>
      <c r="G21" s="52" t="s">
        <v>11</v>
      </c>
      <c r="H21" s="2"/>
      <c r="T21" s="293" t="s">
        <v>63</v>
      </c>
      <c r="U21" s="263"/>
      <c r="V21" s="264"/>
    </row>
    <row r="22" spans="1:22" ht="16.5" thickBot="1" x14ac:dyDescent="0.3">
      <c r="A22" s="26"/>
      <c r="B22" s="40" t="s">
        <v>46</v>
      </c>
      <c r="C22" s="41" t="s">
        <v>27</v>
      </c>
      <c r="D22" s="42" t="s">
        <v>28</v>
      </c>
      <c r="G22" s="162" t="s">
        <v>13</v>
      </c>
      <c r="H22" s="163">
        <v>11</v>
      </c>
      <c r="T22" s="294" t="s">
        <v>62</v>
      </c>
      <c r="U22" s="266"/>
      <c r="V22" s="267"/>
    </row>
    <row r="23" spans="1:22" x14ac:dyDescent="0.25">
      <c r="A23" s="27" t="s">
        <v>95</v>
      </c>
      <c r="B23" s="43">
        <f>'2019'!B23 * 0.85</f>
        <v>6.8</v>
      </c>
      <c r="C23" s="44">
        <v>5</v>
      </c>
      <c r="D23" s="45">
        <v>6</v>
      </c>
      <c r="G23" s="164" t="s">
        <v>14</v>
      </c>
      <c r="H23" s="165">
        <f>1284 * 1.1</f>
        <v>1412.4</v>
      </c>
      <c r="T23" s="295" t="s">
        <v>53</v>
      </c>
      <c r="U23" s="266">
        <f>'2018 και Τριετία'!U26</f>
        <v>104830</v>
      </c>
      <c r="V23" s="296"/>
    </row>
    <row r="24" spans="1:22" x14ac:dyDescent="0.25">
      <c r="A24" s="30" t="s">
        <v>96</v>
      </c>
      <c r="B24" s="46">
        <f>'2019'!B24 * 0.85</f>
        <v>10.199999999999999</v>
      </c>
      <c r="C24" s="47">
        <v>6</v>
      </c>
      <c r="D24" s="48">
        <v>7</v>
      </c>
      <c r="G24" s="164" t="s">
        <v>15</v>
      </c>
      <c r="H24" s="165">
        <f>$B$8*H23</f>
        <v>19773.600000000002</v>
      </c>
      <c r="N24" s="2"/>
      <c r="T24" s="295" t="s">
        <v>64</v>
      </c>
      <c r="U24" s="297">
        <f>M41*M28+N41*O28</f>
        <v>2319330</v>
      </c>
      <c r="V24" s="296"/>
    </row>
    <row r="25" spans="1:22" ht="16.5" thickBot="1" x14ac:dyDescent="0.3">
      <c r="A25" s="37" t="s">
        <v>16</v>
      </c>
      <c r="B25" s="49">
        <f>'2019'!B25 * 1.1</f>
        <v>13.200000000000001</v>
      </c>
      <c r="C25" s="50">
        <v>14</v>
      </c>
      <c r="D25" s="51">
        <v>14</v>
      </c>
      <c r="G25" s="166" t="s">
        <v>17</v>
      </c>
      <c r="H25" s="167">
        <f>H22*H24</f>
        <v>217509.60000000003</v>
      </c>
      <c r="L25" s="2"/>
      <c r="M25" s="2"/>
      <c r="N25" s="2"/>
      <c r="O25" s="2"/>
      <c r="P25" s="11"/>
      <c r="T25" s="298" t="s">
        <v>65</v>
      </c>
      <c r="U25" s="270">
        <f>U24+U23</f>
        <v>2424160</v>
      </c>
      <c r="V25" s="296"/>
    </row>
    <row r="26" spans="1:22" ht="16.5" thickBot="1" x14ac:dyDescent="0.3">
      <c r="A26" s="2"/>
      <c r="B26" s="2"/>
      <c r="C26" s="2"/>
      <c r="D26" s="2"/>
      <c r="G26" s="164" t="s">
        <v>18</v>
      </c>
      <c r="H26" s="168">
        <v>4</v>
      </c>
      <c r="L26" s="181">
        <v>2020</v>
      </c>
      <c r="M26" s="182" t="s">
        <v>33</v>
      </c>
      <c r="N26" s="182"/>
      <c r="O26" s="182" t="s">
        <v>34</v>
      </c>
      <c r="P26" s="183"/>
      <c r="T26" s="299" t="s">
        <v>56</v>
      </c>
      <c r="U26" s="266">
        <f>M30*M41+O30*N41</f>
        <v>0</v>
      </c>
      <c r="V26" s="296"/>
    </row>
    <row r="27" spans="1:22" x14ac:dyDescent="0.25">
      <c r="A27" s="2"/>
      <c r="B27" s="2"/>
      <c r="C27" s="2"/>
      <c r="D27" s="2"/>
      <c r="G27" s="164" t="s">
        <v>19</v>
      </c>
      <c r="H27" s="165">
        <f>($B$2+9)*150*1.08</f>
        <v>1944.0000000000002</v>
      </c>
      <c r="L27" s="184" t="s">
        <v>36</v>
      </c>
      <c r="M27" s="185">
        <f>B15</f>
        <v>294</v>
      </c>
      <c r="N27" s="186"/>
      <c r="O27" s="186">
        <f>C15</f>
        <v>130</v>
      </c>
      <c r="P27" s="187"/>
      <c r="T27" s="300" t="s">
        <v>66</v>
      </c>
      <c r="U27" s="301">
        <f>U25-U26</f>
        <v>2424160</v>
      </c>
      <c r="V27" s="296"/>
    </row>
    <row r="28" spans="1:22" x14ac:dyDescent="0.25">
      <c r="A28" s="2"/>
      <c r="G28" s="164" t="s">
        <v>20</v>
      </c>
      <c r="H28" s="165">
        <f>$B$8*H27</f>
        <v>27216.000000000004</v>
      </c>
      <c r="L28" s="188" t="s">
        <v>37</v>
      </c>
      <c r="M28" s="189">
        <f>B18</f>
        <v>4830</v>
      </c>
      <c r="N28" s="190"/>
      <c r="O28" s="191">
        <f>C18</f>
        <v>2860.0000000000005</v>
      </c>
      <c r="P28" s="192"/>
      <c r="T28" s="300" t="s">
        <v>67</v>
      </c>
      <c r="U28" s="302">
        <f>M29*M33+O29*O33</f>
        <v>169355.7</v>
      </c>
      <c r="V28" s="303"/>
    </row>
    <row r="29" spans="1:22" ht="15.75" x14ac:dyDescent="0.25">
      <c r="G29" s="166" t="s">
        <v>21</v>
      </c>
      <c r="H29" s="167">
        <f>H26*H28</f>
        <v>108864.00000000001</v>
      </c>
      <c r="L29" s="188" t="s">
        <v>38</v>
      </c>
      <c r="M29" s="190">
        <f>B13</f>
        <v>4830</v>
      </c>
      <c r="N29" s="193"/>
      <c r="O29" s="193">
        <f>C13</f>
        <v>2860.0000000000005</v>
      </c>
      <c r="P29" s="194"/>
      <c r="T29" s="300" t="s">
        <v>68</v>
      </c>
      <c r="U29" s="304">
        <f>-(U27+U28)</f>
        <v>-2593515.7000000002</v>
      </c>
      <c r="V29" s="305"/>
    </row>
    <row r="30" spans="1:22" x14ac:dyDescent="0.25">
      <c r="G30" s="164" t="s">
        <v>22</v>
      </c>
      <c r="H30" s="168">
        <v>8</v>
      </c>
      <c r="L30" s="188" t="s">
        <v>39</v>
      </c>
      <c r="M30" s="190">
        <f>M28-M29</f>
        <v>0</v>
      </c>
      <c r="N30" s="193"/>
      <c r="O30" s="193">
        <f>O28-O29</f>
        <v>0</v>
      </c>
      <c r="P30" s="194"/>
      <c r="T30" s="300" t="s">
        <v>69</v>
      </c>
      <c r="U30" s="306">
        <f>V20+U29</f>
        <v>516464.29999999981</v>
      </c>
      <c r="V30" s="307"/>
    </row>
    <row r="31" spans="1:22" x14ac:dyDescent="0.25">
      <c r="G31" s="164" t="s">
        <v>23</v>
      </c>
      <c r="H31" s="165">
        <v>500</v>
      </c>
      <c r="L31" s="188" t="s">
        <v>35</v>
      </c>
      <c r="M31" s="195">
        <f>B14</f>
        <v>357</v>
      </c>
      <c r="N31" s="196"/>
      <c r="O31" s="196">
        <f>C14</f>
        <v>484.5</v>
      </c>
      <c r="P31" s="197"/>
      <c r="T31" s="300" t="s">
        <v>70</v>
      </c>
      <c r="U31" s="308"/>
      <c r="V31" s="309"/>
    </row>
    <row r="32" spans="1:22" x14ac:dyDescent="0.25">
      <c r="G32" s="166" t="s">
        <v>24</v>
      </c>
      <c r="H32" s="169">
        <f>H31*H30*12</f>
        <v>48000</v>
      </c>
      <c r="L32" s="198" t="s">
        <v>40</v>
      </c>
      <c r="M32" s="199"/>
      <c r="N32" s="199"/>
      <c r="O32" s="199"/>
      <c r="P32" s="200"/>
      <c r="T32" s="310" t="s">
        <v>71</v>
      </c>
      <c r="U32" s="311">
        <f>J18</f>
        <v>704604</v>
      </c>
      <c r="V32" s="312"/>
    </row>
    <row r="33" spans="7:22" x14ac:dyDescent="0.25">
      <c r="G33" s="164" t="s">
        <v>29</v>
      </c>
      <c r="H33" s="170">
        <f>($B$3+5)%</f>
        <v>0.05</v>
      </c>
      <c r="L33" s="201" t="s">
        <v>41</v>
      </c>
      <c r="M33" s="202">
        <f>H34</f>
        <v>17.850000000000001</v>
      </c>
      <c r="N33" s="203"/>
      <c r="O33" s="204">
        <f>H36</f>
        <v>29.07</v>
      </c>
      <c r="P33" s="200"/>
      <c r="T33" s="310" t="s">
        <v>72</v>
      </c>
      <c r="U33" s="313">
        <f>H37</f>
        <v>374373.60000000003</v>
      </c>
      <c r="V33" s="314"/>
    </row>
    <row r="34" spans="7:22" ht="15.75" thickBot="1" x14ac:dyDescent="0.3">
      <c r="G34" s="164" t="s">
        <v>25</v>
      </c>
      <c r="H34" s="165">
        <f>B14*H33</f>
        <v>17.850000000000001</v>
      </c>
      <c r="L34" s="205" t="s">
        <v>42</v>
      </c>
      <c r="M34" s="206">
        <f>H37</f>
        <v>374373.60000000003</v>
      </c>
      <c r="N34" s="207"/>
      <c r="O34" s="207"/>
      <c r="P34" s="208"/>
      <c r="T34" s="300" t="s">
        <v>84</v>
      </c>
      <c r="U34" s="315">
        <f>U30-U32-U33</f>
        <v>-562513.30000000028</v>
      </c>
      <c r="V34" s="316"/>
    </row>
    <row r="35" spans="7:22" ht="15.75" thickBot="1" x14ac:dyDescent="0.3">
      <c r="G35" s="164" t="s">
        <v>30</v>
      </c>
      <c r="H35" s="170">
        <f>($B$3+6)%</f>
        <v>0.06</v>
      </c>
      <c r="L35" s="209"/>
      <c r="M35" s="209"/>
      <c r="N35" s="209"/>
      <c r="O35" s="209"/>
      <c r="P35" s="209"/>
    </row>
    <row r="36" spans="7:22" ht="16.5" thickBot="1" x14ac:dyDescent="0.3">
      <c r="G36" s="164" t="s">
        <v>26</v>
      </c>
      <c r="H36" s="165">
        <f>C14*H35</f>
        <v>29.07</v>
      </c>
      <c r="L36" s="209"/>
      <c r="M36" s="210" t="s">
        <v>43</v>
      </c>
      <c r="N36" s="182"/>
      <c r="O36" s="182" t="s">
        <v>44</v>
      </c>
      <c r="P36" s="183"/>
    </row>
    <row r="37" spans="7:22" ht="16.5" thickBot="1" x14ac:dyDescent="0.3">
      <c r="G37" s="171" t="s">
        <v>42</v>
      </c>
      <c r="H37" s="172">
        <f>H25+H29+H32</f>
        <v>374373.60000000003</v>
      </c>
      <c r="L37" s="209"/>
      <c r="M37" s="211" t="s">
        <v>33</v>
      </c>
      <c r="N37" s="212" t="s">
        <v>34</v>
      </c>
      <c r="O37" s="211" t="s">
        <v>33</v>
      </c>
      <c r="P37" s="213" t="s">
        <v>34</v>
      </c>
    </row>
    <row r="38" spans="7:22" ht="15.75" thickBot="1" x14ac:dyDescent="0.3">
      <c r="L38" s="214" t="s">
        <v>45</v>
      </c>
      <c r="M38" s="215">
        <f>B23*C23+B24*C24</f>
        <v>95.199999999999989</v>
      </c>
      <c r="N38" s="216">
        <f>B23*D23+B24*D24</f>
        <v>112.19999999999999</v>
      </c>
      <c r="O38" s="216">
        <f>B23*C23+B24*C24</f>
        <v>95.199999999999989</v>
      </c>
      <c r="P38" s="217">
        <f>B23*D23+B24*D24</f>
        <v>112.19999999999999</v>
      </c>
    </row>
    <row r="39" spans="7:22" ht="15.75" thickBot="1" x14ac:dyDescent="0.3">
      <c r="L39" s="214" t="s">
        <v>82</v>
      </c>
      <c r="M39" s="218">
        <f>B25*C25</f>
        <v>184.8</v>
      </c>
      <c r="N39" s="219">
        <f>B25*D25</f>
        <v>184.8</v>
      </c>
      <c r="O39" s="219">
        <f>B25*C25</f>
        <v>184.8</v>
      </c>
      <c r="P39" s="220">
        <f>B25*D25</f>
        <v>184.8</v>
      </c>
    </row>
    <row r="40" spans="7:22" ht="15.75" thickBot="1" x14ac:dyDescent="0.3">
      <c r="L40" s="214" t="s">
        <v>83</v>
      </c>
      <c r="M40" s="218">
        <f>$H$11+$H$12</f>
        <v>19</v>
      </c>
      <c r="N40" s="219">
        <f>$I$11+$I$12</f>
        <v>9</v>
      </c>
      <c r="O40" s="219">
        <f>$H$11+$H$12</f>
        <v>19</v>
      </c>
      <c r="P40" s="220">
        <f>$I$11+$I$12</f>
        <v>9</v>
      </c>
    </row>
    <row r="41" spans="7:22" ht="15.75" thickBot="1" x14ac:dyDescent="0.3">
      <c r="L41" s="221" t="s">
        <v>47</v>
      </c>
      <c r="M41" s="222">
        <f>SUM(M38:M40)</f>
        <v>299</v>
      </c>
      <c r="N41" s="223">
        <f>SUM(N38:N40)</f>
        <v>306</v>
      </c>
      <c r="O41" s="223">
        <f>SUM(O38:O40)</f>
        <v>299</v>
      </c>
      <c r="P41" s="224">
        <f t="shared" ref="P41" si="1">SUM(P38:P40)</f>
        <v>306</v>
      </c>
    </row>
    <row r="42" spans="7:22" ht="21.75" thickBot="1" x14ac:dyDescent="0.3">
      <c r="L42" s="214" t="s">
        <v>48</v>
      </c>
      <c r="M42" s="225">
        <f>H18/(M28)</f>
        <v>84.003312629399588</v>
      </c>
      <c r="N42" s="225">
        <f>I18/(O28)</f>
        <v>104.49930069930068</v>
      </c>
      <c r="O42" s="226" t="str">
        <f>"-"</f>
        <v>-</v>
      </c>
      <c r="P42" s="227"/>
    </row>
    <row r="43" spans="7:22" ht="15.75" thickBot="1" x14ac:dyDescent="0.3">
      <c r="L43" s="228" t="s">
        <v>49</v>
      </c>
      <c r="M43" s="229">
        <f>M41+$M$42</f>
        <v>383.0033126293996</v>
      </c>
      <c r="N43" s="230">
        <f>N41+$N$42</f>
        <v>410.49930069930065</v>
      </c>
      <c r="O43" s="231">
        <f>O41</f>
        <v>299</v>
      </c>
      <c r="P43" s="232">
        <f>P41</f>
        <v>306</v>
      </c>
    </row>
  </sheetData>
  <mergeCells count="25">
    <mergeCell ref="M34:P34"/>
    <mergeCell ref="M36:N36"/>
    <mergeCell ref="O36:P36"/>
    <mergeCell ref="O42:P42"/>
    <mergeCell ref="U7:V7"/>
    <mergeCell ref="U19:V19"/>
    <mergeCell ref="U31:V31"/>
    <mergeCell ref="M30:N30"/>
    <mergeCell ref="O30:P30"/>
    <mergeCell ref="M31:N31"/>
    <mergeCell ref="O31:P31"/>
    <mergeCell ref="M32:P32"/>
    <mergeCell ref="M33:N33"/>
    <mergeCell ref="O33:P33"/>
    <mergeCell ref="M27:N27"/>
    <mergeCell ref="O27:P27"/>
    <mergeCell ref="M28:N28"/>
    <mergeCell ref="O28:P28"/>
    <mergeCell ref="M29:N29"/>
    <mergeCell ref="O29:P29"/>
    <mergeCell ref="C2:D8"/>
    <mergeCell ref="H13:J13"/>
    <mergeCell ref="H14:J14"/>
    <mergeCell ref="M26:N26"/>
    <mergeCell ref="O26:P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2018 και Τριετία</vt:lpstr>
      <vt:lpstr>2019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Κίτσος Ορφανόπουλος</dc:creator>
  <dc:description/>
  <cp:lastModifiedBy>Vikentios Vitalis</cp:lastModifiedBy>
  <cp:revision>1</cp:revision>
  <dcterms:created xsi:type="dcterms:W3CDTF">2020-05-12T16:42:47Z</dcterms:created>
  <dcterms:modified xsi:type="dcterms:W3CDTF">2021-06-11T17:32:29Z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