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F78C0013EF2BFA/문서/"/>
    </mc:Choice>
  </mc:AlternateContent>
  <xr:revisionPtr revIDLastSave="499" documentId="8_{1A33398D-51A6-4451-9ADE-D8146911C597}" xr6:coauthVersionLast="47" xr6:coauthVersionMax="47" xr10:uidLastSave="{6880BA14-FC75-4E61-A42A-918456ED5F97}"/>
  <bookViews>
    <workbookView xWindow="-98" yWindow="-98" windowWidth="21795" windowHeight="12975" xr2:uid="{9FCC40D1-1371-412D-A2A2-5D7B5A569A7C}"/>
  </bookViews>
  <sheets>
    <sheet name="Fianancial statement" sheetId="1" r:id="rId1"/>
    <sheet name="Data Souce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1" l="1"/>
  <c r="H29" i="1"/>
  <c r="I29" i="1"/>
  <c r="G35" i="1"/>
  <c r="H35" i="1" s="1"/>
  <c r="C85" i="1"/>
  <c r="F72" i="1"/>
  <c r="C76" i="1" s="1"/>
  <c r="G79" i="1" s="1"/>
  <c r="E72" i="1"/>
  <c r="E70" i="1" s="1"/>
  <c r="D72" i="1"/>
  <c r="C72" i="1"/>
  <c r="D69" i="1" s="1"/>
  <c r="D78" i="1"/>
  <c r="E78" i="1" s="1"/>
  <c r="F78" i="1" s="1"/>
  <c r="G78" i="1" s="1"/>
  <c r="H78" i="1" s="1"/>
  <c r="I78" i="1" s="1"/>
  <c r="J78" i="1" s="1"/>
  <c r="K78" i="1" s="1"/>
  <c r="L78" i="1" s="1"/>
  <c r="G69" i="1" l="1"/>
  <c r="F70" i="1"/>
  <c r="C79" i="1"/>
  <c r="L79" i="1"/>
  <c r="J79" i="1"/>
  <c r="H79" i="1"/>
  <c r="F79" i="1"/>
  <c r="E79" i="1"/>
  <c r="D79" i="1"/>
  <c r="K79" i="1"/>
  <c r="I79" i="1"/>
  <c r="C80" i="1"/>
  <c r="D70" i="1"/>
  <c r="D107" i="1"/>
  <c r="E107" i="1"/>
  <c r="F107" i="1"/>
  <c r="C107" i="1"/>
  <c r="H57" i="1"/>
  <c r="H106" i="1" s="1"/>
  <c r="D106" i="1"/>
  <c r="E106" i="1"/>
  <c r="F106" i="1"/>
  <c r="G106" i="1"/>
  <c r="C106" i="1"/>
  <c r="C103" i="1"/>
  <c r="C104" i="1" s="1"/>
  <c r="D100" i="1"/>
  <c r="E100" i="1"/>
  <c r="C100" i="1"/>
  <c r="D99" i="1"/>
  <c r="E99" i="1"/>
  <c r="C99" i="1"/>
  <c r="D98" i="1"/>
  <c r="E98" i="1"/>
  <c r="C98" i="1"/>
  <c r="D97" i="1"/>
  <c r="E97" i="1"/>
  <c r="C97" i="1"/>
  <c r="D96" i="1"/>
  <c r="E96" i="1"/>
  <c r="F96" i="1"/>
  <c r="C96" i="1"/>
  <c r="D95" i="1"/>
  <c r="E95" i="1"/>
  <c r="F95" i="1"/>
  <c r="C95" i="1"/>
  <c r="F58" i="1"/>
  <c r="G55" i="1" s="1"/>
  <c r="E62" i="1"/>
  <c r="F62" i="1"/>
  <c r="D62" i="1"/>
  <c r="D64" i="1"/>
  <c r="E64" i="1"/>
  <c r="F64" i="1"/>
  <c r="C64" i="1"/>
  <c r="D61" i="1" s="1"/>
  <c r="G34" i="1"/>
  <c r="H34" i="1" s="1"/>
  <c r="I34" i="1" s="1"/>
  <c r="G30" i="1"/>
  <c r="H30" i="1" s="1"/>
  <c r="I30" i="1" s="1"/>
  <c r="H100" i="1" s="1"/>
  <c r="G27" i="1"/>
  <c r="H27" i="1" s="1"/>
  <c r="I27" i="1" s="1"/>
  <c r="H51" i="1"/>
  <c r="I51" i="1" s="1"/>
  <c r="D52" i="1"/>
  <c r="E52" i="1"/>
  <c r="F52" i="1"/>
  <c r="G52" i="1" s="1"/>
  <c r="H52" i="1" s="1"/>
  <c r="I52" i="1" s="1"/>
  <c r="C52" i="1"/>
  <c r="G36" i="1"/>
  <c r="H36" i="1" s="1"/>
  <c r="I36" i="1" s="1"/>
  <c r="H99" i="1" s="1"/>
  <c r="D50" i="1"/>
  <c r="E50" i="1"/>
  <c r="F50" i="1"/>
  <c r="G50" i="1" s="1"/>
  <c r="H50" i="1" s="1"/>
  <c r="I50" i="1" s="1"/>
  <c r="C50" i="1"/>
  <c r="F49" i="1"/>
  <c r="G49" i="1" s="1"/>
  <c r="H49" i="1" s="1"/>
  <c r="I49" i="1" s="1"/>
  <c r="E49" i="1"/>
  <c r="D49" i="1"/>
  <c r="C49" i="1"/>
  <c r="D42" i="1"/>
  <c r="E42" i="1"/>
  <c r="F42" i="1"/>
  <c r="C42" i="1"/>
  <c r="Q13" i="5"/>
  <c r="O13" i="5"/>
  <c r="P13" i="5"/>
  <c r="N13" i="5"/>
  <c r="D37" i="1"/>
  <c r="E37" i="1"/>
  <c r="F37" i="1"/>
  <c r="C37" i="1"/>
  <c r="D31" i="1"/>
  <c r="E31" i="1"/>
  <c r="F31" i="1"/>
  <c r="C31" i="1"/>
  <c r="H19" i="1"/>
  <c r="I19" i="1" s="1"/>
  <c r="G12" i="1"/>
  <c r="G96" i="1" s="1"/>
  <c r="C25" i="5"/>
  <c r="G7" i="1"/>
  <c r="G8" i="1" s="1"/>
  <c r="G9" i="1" s="1"/>
  <c r="G10" i="1"/>
  <c r="H20" i="1"/>
  <c r="I20" i="1" s="1"/>
  <c r="H21" i="1"/>
  <c r="I21" i="1" s="1"/>
  <c r="I10" i="1" s="1"/>
  <c r="H22" i="1"/>
  <c r="I22" i="1" s="1"/>
  <c r="H23" i="1"/>
  <c r="H12" i="1" s="1"/>
  <c r="H96" i="1" s="1"/>
  <c r="H24" i="1"/>
  <c r="I24" i="1" s="1"/>
  <c r="E23" i="1"/>
  <c r="F23" i="1"/>
  <c r="E21" i="1"/>
  <c r="F21" i="1"/>
  <c r="C22" i="1"/>
  <c r="E22" i="1"/>
  <c r="F22" i="1"/>
  <c r="D22" i="1"/>
  <c r="E20" i="1"/>
  <c r="F20" i="1"/>
  <c r="E19" i="1"/>
  <c r="F19" i="1"/>
  <c r="D23" i="1"/>
  <c r="C23" i="1"/>
  <c r="D21" i="1"/>
  <c r="C21" i="1"/>
  <c r="D20" i="1"/>
  <c r="C20" i="1"/>
  <c r="D19" i="1"/>
  <c r="D9" i="1"/>
  <c r="D11" i="1" s="1"/>
  <c r="D14" i="1" s="1"/>
  <c r="D16" i="1" s="1"/>
  <c r="E9" i="1"/>
  <c r="E11" i="1" s="1"/>
  <c r="E14" i="1" s="1"/>
  <c r="E16" i="1" s="1"/>
  <c r="F9" i="1"/>
  <c r="F11" i="1" s="1"/>
  <c r="F14" i="1" s="1"/>
  <c r="C9" i="1"/>
  <c r="C11" i="1" s="1"/>
  <c r="C14" i="1" s="1"/>
  <c r="D33" i="5"/>
  <c r="E33" i="5"/>
  <c r="F33" i="5"/>
  <c r="D31" i="5"/>
  <c r="E31" i="5"/>
  <c r="F31" i="5"/>
  <c r="D28" i="5"/>
  <c r="E28" i="5"/>
  <c r="F28" i="5"/>
  <c r="D27" i="5"/>
  <c r="E27" i="5"/>
  <c r="F27" i="5"/>
  <c r="C27" i="5"/>
  <c r="D26" i="5"/>
  <c r="E26" i="5"/>
  <c r="F26" i="5"/>
  <c r="C26" i="5"/>
  <c r="C28" i="5" s="1"/>
  <c r="C31" i="5" s="1"/>
  <c r="C33" i="5" s="1"/>
  <c r="D25" i="5"/>
  <c r="E25" i="5"/>
  <c r="F25" i="5"/>
  <c r="G61" i="1" l="1"/>
  <c r="E61" i="1"/>
  <c r="E63" i="1" s="1"/>
  <c r="D63" i="1"/>
  <c r="C81" i="1"/>
  <c r="C108" i="1"/>
  <c r="F108" i="1"/>
  <c r="E108" i="1"/>
  <c r="D108" i="1"/>
  <c r="I23" i="1"/>
  <c r="I12" i="1" s="1"/>
  <c r="I96" i="1" s="1"/>
  <c r="E94" i="1"/>
  <c r="E101" i="1" s="1"/>
  <c r="C94" i="1"/>
  <c r="C101" i="1" s="1"/>
  <c r="I57" i="1"/>
  <c r="I106" i="1" s="1"/>
  <c r="F94" i="1"/>
  <c r="I99" i="1"/>
  <c r="G99" i="1"/>
  <c r="F99" i="1"/>
  <c r="D65" i="1"/>
  <c r="I100" i="1"/>
  <c r="G100" i="1"/>
  <c r="F100" i="1"/>
  <c r="D94" i="1"/>
  <c r="D101" i="1" s="1"/>
  <c r="E65" i="1"/>
  <c r="F61" i="1"/>
  <c r="F65" i="1" s="1"/>
  <c r="C44" i="1"/>
  <c r="C46" i="1" s="1"/>
  <c r="F44" i="1"/>
  <c r="F46" i="1" s="1"/>
  <c r="E44" i="1"/>
  <c r="E46" i="1" s="1"/>
  <c r="D44" i="1"/>
  <c r="D46" i="1" s="1"/>
  <c r="G39" i="1"/>
  <c r="F97" i="1" s="1"/>
  <c r="H10" i="1"/>
  <c r="G11" i="1"/>
  <c r="G94" i="1" s="1"/>
  <c r="G40" i="1"/>
  <c r="H7" i="1"/>
  <c r="H39" i="1" s="1"/>
  <c r="G13" i="1"/>
  <c r="C16" i="1"/>
  <c r="C24" i="1"/>
  <c r="E24" i="1"/>
  <c r="D24" i="1"/>
  <c r="F16" i="1"/>
  <c r="F24" i="1"/>
  <c r="F63" i="1" l="1"/>
  <c r="H63" i="1" s="1"/>
  <c r="C109" i="1"/>
  <c r="C82" i="1"/>
  <c r="G71" i="1"/>
  <c r="G72" i="1" s="1"/>
  <c r="D80" i="1"/>
  <c r="D81" i="1" s="1"/>
  <c r="H71" i="1" s="1"/>
  <c r="D82" i="1"/>
  <c r="E80" i="1" s="1"/>
  <c r="F103" i="1"/>
  <c r="F104" i="1" s="1"/>
  <c r="H65" i="1"/>
  <c r="D66" i="1"/>
  <c r="D103" i="1"/>
  <c r="D104" i="1" s="1"/>
  <c r="D109" i="1" s="1"/>
  <c r="E66" i="1"/>
  <c r="E103" i="1"/>
  <c r="E104" i="1" s="1"/>
  <c r="E109" i="1" s="1"/>
  <c r="G97" i="1"/>
  <c r="F98" i="1"/>
  <c r="F101" i="1" s="1"/>
  <c r="I65" i="1"/>
  <c r="G65" i="1"/>
  <c r="G62" i="1" s="1"/>
  <c r="G14" i="1"/>
  <c r="G15" i="1" s="1"/>
  <c r="I7" i="1"/>
  <c r="H8" i="1"/>
  <c r="H40" i="1" s="1"/>
  <c r="H13" i="1"/>
  <c r="I39" i="1" l="1"/>
  <c r="C86" i="1"/>
  <c r="C88" i="1" s="1"/>
  <c r="I63" i="1"/>
  <c r="G107" i="1"/>
  <c r="G108" i="1" s="1"/>
  <c r="H69" i="1"/>
  <c r="H72" i="1" s="1"/>
  <c r="E81" i="1"/>
  <c r="I71" i="1" s="1"/>
  <c r="E82" i="1"/>
  <c r="F109" i="1"/>
  <c r="F66" i="1"/>
  <c r="I66" i="1" s="1"/>
  <c r="G98" i="1"/>
  <c r="H97" i="1"/>
  <c r="I97" i="1"/>
  <c r="G16" i="1"/>
  <c r="G56" i="1" s="1"/>
  <c r="G58" i="1" s="1"/>
  <c r="G28" i="1" s="1"/>
  <c r="G95" i="1"/>
  <c r="H66" i="1"/>
  <c r="H9" i="1"/>
  <c r="H11" i="1" s="1"/>
  <c r="H94" i="1" s="1"/>
  <c r="I13" i="1"/>
  <c r="I8" i="1"/>
  <c r="G66" i="1" l="1"/>
  <c r="F82" i="1"/>
  <c r="G80" i="1" s="1"/>
  <c r="G81" i="1" s="1"/>
  <c r="F80" i="1"/>
  <c r="F81" i="1" s="1"/>
  <c r="G82" i="1" s="1"/>
  <c r="H80" i="1" s="1"/>
  <c r="I69" i="1"/>
  <c r="I72" i="1" s="1"/>
  <c r="I107" i="1" s="1"/>
  <c r="I108" i="1" s="1"/>
  <c r="H107" i="1"/>
  <c r="H108" i="1" s="1"/>
  <c r="G101" i="1"/>
  <c r="H14" i="1"/>
  <c r="H15" i="1" s="1"/>
  <c r="H95" i="1" s="1"/>
  <c r="H55" i="1"/>
  <c r="G31" i="1"/>
  <c r="I9" i="1"/>
  <c r="I11" i="1" s="1"/>
  <c r="I40" i="1"/>
  <c r="G63" i="1" l="1"/>
  <c r="G64" i="1" s="1"/>
  <c r="H61" i="1"/>
  <c r="G33" i="1"/>
  <c r="H82" i="1"/>
  <c r="I80" i="1" s="1"/>
  <c r="H81" i="1"/>
  <c r="I81" i="1" s="1"/>
  <c r="H16" i="1"/>
  <c r="H56" i="1" s="1"/>
  <c r="H58" i="1" s="1"/>
  <c r="H98" i="1"/>
  <c r="H101" i="1" s="1"/>
  <c r="I98" i="1"/>
  <c r="I14" i="1"/>
  <c r="I15" i="1" s="1"/>
  <c r="I94" i="1"/>
  <c r="H62" i="1"/>
  <c r="D5" i="1"/>
  <c r="E5" i="1" s="1"/>
  <c r="F5" i="1" s="1"/>
  <c r="G5" i="1" s="1"/>
  <c r="H5" i="1" s="1"/>
  <c r="G103" i="1" l="1"/>
  <c r="G104" i="1" s="1"/>
  <c r="G109" i="1" s="1"/>
  <c r="H103" i="1"/>
  <c r="H104" i="1" s="1"/>
  <c r="H64" i="1"/>
  <c r="H109" i="1"/>
  <c r="I82" i="1"/>
  <c r="J80" i="1" s="1"/>
  <c r="I55" i="1"/>
  <c r="H28" i="1"/>
  <c r="H31" i="1" s="1"/>
  <c r="I16" i="1"/>
  <c r="I56" i="1" s="1"/>
  <c r="I95" i="1"/>
  <c r="I101" i="1" s="1"/>
  <c r="H33" i="1"/>
  <c r="I61" i="1"/>
  <c r="I5" i="1"/>
  <c r="G41" i="1" l="1"/>
  <c r="G42" i="1" s="1"/>
  <c r="H41" i="1"/>
  <c r="J82" i="1"/>
  <c r="K80" i="1" s="1"/>
  <c r="J81" i="1"/>
  <c r="I58" i="1"/>
  <c r="I28" i="1" s="1"/>
  <c r="I31" i="1" s="1"/>
  <c r="I62" i="1"/>
  <c r="H42" i="1" l="1"/>
  <c r="I103" i="1"/>
  <c r="I104" i="1" s="1"/>
  <c r="I109" i="1" s="1"/>
  <c r="K81" i="1"/>
  <c r="K82" i="1"/>
  <c r="L80" i="1" s="1"/>
  <c r="I41" i="1" l="1"/>
  <c r="I42" i="1" s="1"/>
  <c r="I64" i="1"/>
  <c r="I33" i="1" s="1"/>
  <c r="L82" i="1"/>
  <c r="L81" i="1"/>
  <c r="G37" i="1" l="1"/>
  <c r="G44" i="1"/>
  <c r="G46" i="1"/>
  <c r="I35" i="1"/>
  <c r="I37" i="1" s="1"/>
  <c r="I44" i="1" s="1"/>
  <c r="I46" i="1" s="1"/>
  <c r="H37" i="1"/>
  <c r="H44" i="1" s="1"/>
  <c r="H46" i="1" s="1"/>
</calcChain>
</file>

<file path=xl/sharedStrings.xml><?xml version="1.0" encoding="utf-8"?>
<sst xmlns="http://schemas.openxmlformats.org/spreadsheetml/2006/main" count="165" uniqueCount="110">
  <si>
    <t>Income statement</t>
  </si>
  <si>
    <t>X</t>
  </si>
  <si>
    <t>Revenue</t>
  </si>
  <si>
    <t>Gross Profit</t>
  </si>
  <si>
    <t>EBITDA</t>
  </si>
  <si>
    <t>(INR) in million</t>
  </si>
  <si>
    <t>PROFIT &amp; LOSS</t>
  </si>
  <si>
    <t>Report Date</t>
  </si>
  <si>
    <t>Sales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</si>
  <si>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</si>
  <si>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</si>
  <si>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</si>
  <si>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</si>
  <si>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</si>
  <si>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</si>
  <si>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</si>
  <si>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Other Income</t>
  </si>
  <si>
    <t>Depreciation</t>
  </si>
  <si>
    <t>Interest</t>
  </si>
  <si>
    <t>Profit before tax</t>
  </si>
  <si>
    <t>Tax</t>
  </si>
  <si>
    <t>Net profit</t>
  </si>
  <si>
    <t>Dividend Amount</t>
  </si>
  <si>
    <t>COGS</t>
  </si>
  <si>
    <t>Selling and General Expenses</t>
  </si>
  <si>
    <t>EBT</t>
  </si>
  <si>
    <t>Net Profit</t>
  </si>
  <si>
    <t>Assumption Drivers</t>
  </si>
  <si>
    <t>Revenue of Growth</t>
  </si>
  <si>
    <t>COGS % Of Revenue</t>
  </si>
  <si>
    <t>S&amp;G Expenses</t>
  </si>
  <si>
    <t>Depreciation % of Sales</t>
  </si>
  <si>
    <t>Taxes</t>
  </si>
  <si>
    <t>N/A</t>
  </si>
  <si>
    <t>Balance Sheet</t>
  </si>
  <si>
    <t>BALANCE SHEET</t>
  </si>
  <si>
    <t>Equity Share Capital</t>
  </si>
  <si>
    <t>Reserves</t>
  </si>
  <si>
    <t>Borrowings</t>
  </si>
  <si>
    <t>Other Liabilities</t>
  </si>
  <si>
    <t>Total</t>
  </si>
  <si>
    <t>Net Block</t>
  </si>
  <si>
    <t>Capital Work in Progress</t>
  </si>
  <si>
    <t>Investments</t>
  </si>
  <si>
    <t>Other Assets</t>
  </si>
  <si>
    <t>Receivables</t>
  </si>
  <si>
    <t>Inventory</t>
  </si>
  <si>
    <t>Cash &amp; Bank</t>
  </si>
  <si>
    <t>No. of Equity Shares</t>
  </si>
  <si>
    <t>Total Liabilites</t>
  </si>
  <si>
    <t>Fixed Asset Net Block</t>
  </si>
  <si>
    <t>Total Non-Current Assets</t>
  </si>
  <si>
    <t>Total Current Assets</t>
  </si>
  <si>
    <t>Total Assets</t>
  </si>
  <si>
    <t>Other assets:</t>
  </si>
  <si>
    <t>Balance Sheet Check</t>
  </si>
  <si>
    <t>Balance Sheet Assumption Drivers</t>
  </si>
  <si>
    <t>Account Receivable as a % of Revenue</t>
  </si>
  <si>
    <t>Inventory as a % of COGS</t>
  </si>
  <si>
    <t>Interest Expense</t>
  </si>
  <si>
    <t>Long Term Debt</t>
  </si>
  <si>
    <t>Working Capital</t>
  </si>
  <si>
    <t>Debtors</t>
  </si>
  <si>
    <t>Debtor Days</t>
  </si>
  <si>
    <t>Inventory Turnover</t>
  </si>
  <si>
    <t>Return on Equity</t>
  </si>
  <si>
    <t>Return on Capital Emp</t>
  </si>
  <si>
    <t>Net Income</t>
  </si>
  <si>
    <t>Dividends</t>
  </si>
  <si>
    <t>x</t>
  </si>
  <si>
    <t>Fixed Asset Net block</t>
  </si>
  <si>
    <t>Beginning Fixed Asset</t>
  </si>
  <si>
    <t>CapEx</t>
  </si>
  <si>
    <t>Ending Fixed Asset Block</t>
  </si>
  <si>
    <t>Dep as a % of beginning of Fixed Asset</t>
  </si>
  <si>
    <t>capex as a % of beginning of Fixed Asset</t>
  </si>
  <si>
    <t>End of Equity</t>
  </si>
  <si>
    <t>Reserve Schedule</t>
  </si>
  <si>
    <t>Beginning Reserve</t>
  </si>
  <si>
    <t>Cash Flow Statement</t>
  </si>
  <si>
    <t>Change in Accounts Receivables</t>
  </si>
  <si>
    <t>Operating Cash Flow</t>
  </si>
  <si>
    <t>Investing Activities</t>
  </si>
  <si>
    <t>Investing Cash Flow</t>
  </si>
  <si>
    <t>Financial Activities</t>
  </si>
  <si>
    <t>Net Borrowings</t>
  </si>
  <si>
    <t>Financial Cash Flow</t>
  </si>
  <si>
    <t>Net Cash Flow</t>
  </si>
  <si>
    <t>Change in Other Assets</t>
  </si>
  <si>
    <t>Change in Other Liabilities</t>
  </si>
  <si>
    <t>Beginning Debt</t>
  </si>
  <si>
    <t>New Debt</t>
  </si>
  <si>
    <t>Principal Amount</t>
  </si>
  <si>
    <t>Ending Debt</t>
  </si>
  <si>
    <t>Interest Rate after 2025</t>
  </si>
  <si>
    <t>Repay Debt In 10yrs</t>
  </si>
  <si>
    <t>Annual Payment:</t>
  </si>
  <si>
    <t>Period</t>
  </si>
  <si>
    <t>Payment</t>
  </si>
  <si>
    <t>Principal Repayment</t>
  </si>
  <si>
    <t>Residual Debt</t>
  </si>
  <si>
    <t>-</t>
  </si>
  <si>
    <t>CAGR Forcast</t>
  </si>
  <si>
    <t>Revenue Beginning Value</t>
  </si>
  <si>
    <t>Revenue Ending Value</t>
  </si>
  <si>
    <t>Number of Periods</t>
  </si>
  <si>
    <t>CAGR(%) - Present Value</t>
  </si>
  <si>
    <t>CAGR(%) - Future Value</t>
  </si>
  <si>
    <t>Assumption</t>
  </si>
  <si>
    <t>3 Statement Financial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</si>
</sst>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 * #,##0.00_ ;_ * \-#,##0.00_ ;_ * &quot;-&quot;??_ ;_ @_ "/>
    <numFmt numFmtId="164" formatCode="General\ \A"/>
    <numFmt numFmtId="165" formatCode="0\ &quot;E&quot;"/>
    <numFmt numFmtId="166" formatCode="&quot;₹&quot;\ &quot;in Million&quot;"/>
    <numFmt numFmtId="167" formatCode="#,##0.0;\(#,##0.0\)"/>
    <numFmt numFmtId="168" formatCode="[$-409]mmm\-yy;@"/>
    <numFmt numFmtId="169" formatCode="#,##0.00000000"/>
    <numFmt numFmtId="170" formatCode="0.0"/>
    <numFmt numFmtId="171" formatCode="#,##0.0;\(#,##0.0\);\ \-"/>
    <numFmt numFmtId="172" formatCode="#,##0.0;\(#,##0.0\);\ &quot;-&quot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rgb="FF002060"/>
      <name val="Calibri"/>
      <family val="2"/>
      <scheme val="minor"/>
    </font>
    <font>
      <b/>
      <i/>
      <sz val="20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275D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4" fillId="2" borderId="0" xfId="0" applyFont="1" applyFill="1"/>
    <xf numFmtId="0" fontId="2" fillId="2" borderId="0" xfId="0" applyFont="1" applyFill="1"/>
    <xf numFmtId="0" fontId="4" fillId="0" borderId="0" xfId="0" applyFont="1"/>
    <xf numFmtId="167" fontId="0" fillId="0" borderId="0" xfId="0" applyNumberFormat="1"/>
    <xf numFmtId="0" fontId="5" fillId="0" borderId="0" xfId="0" applyFont="1" applyAlignment="1">
      <alignment horizontal="center"/>
    </xf>
    <xf numFmtId="43" fontId="3" fillId="0" borderId="0" xfId="1" applyFont="1" applyBorder="1"/>
    <xf numFmtId="43" fontId="0" fillId="0" borderId="0" xfId="1" applyFont="1" applyBorder="1"/>
    <xf numFmtId="168" fontId="2" fillId="3" borderId="0" xfId="1" applyNumberFormat="1" applyFont="1" applyFill="1" applyBorder="1"/>
    <xf numFmtId="168" fontId="2" fillId="3" borderId="0" xfId="0" applyNumberFormat="1" applyFont="1" applyFill="1" applyAlignment="1">
      <alignment horizontal="center"/>
    </xf>
    <xf numFmtId="43" fontId="1" fillId="0" borderId="0" xfId="1" applyFont="1" applyBorder="1"/>
    <xf numFmtId="0" fontId="3" fillId="0" borderId="2" xfId="0" applyFont="1" applyBorder="1"/>
    <xf numFmtId="167" fontId="3" fillId="0" borderId="2" xfId="0" applyNumberFormat="1" applyFont="1" applyBorder="1"/>
    <xf numFmtId="167" fontId="6" fillId="0" borderId="0" xfId="0" applyNumberFormat="1" applyFont="1"/>
    <xf numFmtId="0" fontId="0" fillId="0" borderId="1" xfId="0" applyBorder="1"/>
    <xf numFmtId="0" fontId="0" fillId="0" borderId="0" xfId="0" applyAlignment="1">
      <alignment horizontal="right"/>
    </xf>
    <xf numFmtId="10" fontId="0" fillId="0" borderId="0" xfId="2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0" fontId="6" fillId="0" borderId="0" xfId="0" applyNumberFormat="1" applyFont="1" applyAlignment="1">
      <alignment horizontal="right"/>
    </xf>
    <xf numFmtId="167" fontId="6" fillId="0" borderId="0" xfId="0" applyNumberFormat="1" applyFont="1" applyAlignment="1">
      <alignment horizontal="right"/>
    </xf>
    <xf numFmtId="10" fontId="6" fillId="0" borderId="0" xfId="2" applyNumberFormat="1" applyFont="1" applyAlignment="1">
      <alignment horizontal="right"/>
    </xf>
    <xf numFmtId="0" fontId="6" fillId="0" borderId="0" xfId="0" applyFont="1" applyAlignment="1">
      <alignment horizontal="right"/>
    </xf>
    <xf numFmtId="10" fontId="5" fillId="0" borderId="0" xfId="0" applyNumberFormat="1" applyFont="1" applyAlignment="1">
      <alignment horizontal="right"/>
    </xf>
    <xf numFmtId="167" fontId="5" fillId="0" borderId="0" xfId="0" applyNumberFormat="1" applyFont="1" applyAlignment="1">
      <alignment horizontal="right"/>
    </xf>
    <xf numFmtId="10" fontId="5" fillId="0" borderId="0" xfId="2" applyNumberFormat="1" applyFont="1" applyAlignment="1">
      <alignment horizontal="right"/>
    </xf>
    <xf numFmtId="0" fontId="5" fillId="0" borderId="0" xfId="0" applyFont="1" applyAlignment="1">
      <alignment horizontal="right"/>
    </xf>
    <xf numFmtId="167" fontId="5" fillId="0" borderId="0" xfId="0" applyNumberFormat="1" applyFont="1"/>
    <xf numFmtId="167" fontId="5" fillId="0" borderId="1" xfId="0" applyNumberFormat="1" applyFont="1" applyBorder="1"/>
    <xf numFmtId="167" fontId="0" fillId="0" borderId="1" xfId="0" applyNumberFormat="1" applyBorder="1"/>
    <xf numFmtId="167" fontId="3" fillId="0" borderId="0" xfId="0" applyNumberFormat="1" applyFont="1" applyAlignment="1">
      <alignment horizontal="right"/>
    </xf>
    <xf numFmtId="0" fontId="7" fillId="0" borderId="0" xfId="0" applyFont="1"/>
    <xf numFmtId="10" fontId="0" fillId="0" borderId="0" xfId="2" applyNumberFormat="1" applyFont="1"/>
    <xf numFmtId="169" fontId="0" fillId="0" borderId="0" xfId="0" applyNumberFormat="1"/>
    <xf numFmtId="0" fontId="3" fillId="0" borderId="3" xfId="0" applyFont="1" applyBorder="1"/>
    <xf numFmtId="167" fontId="3" fillId="0" borderId="3" xfId="0" applyNumberFormat="1" applyFont="1" applyBorder="1"/>
    <xf numFmtId="4" fontId="0" fillId="0" borderId="0" xfId="0" applyNumberFormat="1"/>
    <xf numFmtId="10" fontId="0" fillId="0" borderId="0" xfId="0" applyNumberFormat="1"/>
    <xf numFmtId="170" fontId="0" fillId="0" borderId="0" xfId="0" applyNumberFormat="1"/>
    <xf numFmtId="0" fontId="2" fillId="4" borderId="0" xfId="0" applyFont="1" applyFill="1"/>
    <xf numFmtId="0" fontId="4" fillId="4" borderId="0" xfId="0" applyFont="1" applyFill="1"/>
    <xf numFmtId="0" fontId="0" fillId="0" borderId="0" xfId="0" applyAlignment="1">
      <alignment horizontal="left" indent="1"/>
    </xf>
    <xf numFmtId="0" fontId="3" fillId="0" borderId="1" xfId="0" applyFont="1" applyBorder="1"/>
    <xf numFmtId="0" fontId="3" fillId="0" borderId="4" xfId="0" applyFont="1" applyBorder="1"/>
    <xf numFmtId="4" fontId="0" fillId="0" borderId="1" xfId="0" applyNumberFormat="1" applyBorder="1"/>
    <xf numFmtId="4" fontId="0" fillId="0" borderId="4" xfId="0" applyNumberFormat="1" applyBorder="1"/>
    <xf numFmtId="0" fontId="0" fillId="0" borderId="3" xfId="0" applyBorder="1"/>
    <xf numFmtId="171" fontId="0" fillId="0" borderId="0" xfId="0" applyNumberFormat="1"/>
    <xf numFmtId="171" fontId="0" fillId="0" borderId="3" xfId="0" applyNumberFormat="1" applyBorder="1"/>
    <xf numFmtId="171" fontId="0" fillId="0" borderId="0" xfId="2" applyNumberFormat="1" applyFont="1" applyBorder="1"/>
    <xf numFmtId="171" fontId="3" fillId="0" borderId="0" xfId="0" applyNumberFormat="1" applyFont="1"/>
    <xf numFmtId="9" fontId="0" fillId="0" borderId="0" xfId="2" applyFont="1" applyBorder="1"/>
    <xf numFmtId="0" fontId="3" fillId="0" borderId="5" xfId="0" applyFont="1" applyBorder="1" applyAlignment="1">
      <alignment horizontal="right" indent="1"/>
    </xf>
    <xf numFmtId="0" fontId="3" fillId="0" borderId="5" xfId="0" applyFont="1" applyBorder="1" applyAlignment="1">
      <alignment horizontal="left" indent="1"/>
    </xf>
    <xf numFmtId="172" fontId="0" fillId="0" borderId="0" xfId="0" applyNumberFormat="1"/>
    <xf numFmtId="10" fontId="3" fillId="0" borderId="3" xfId="2" applyNumberFormat="1" applyFont="1" applyBorder="1"/>
    <xf numFmtId="10" fontId="3" fillId="0" borderId="0" xfId="2" applyNumberFormat="1" applyFont="1" applyBorder="1"/>
    <xf numFmtId="10" fontId="6" fillId="0" borderId="3" xfId="2" applyNumberFormat="1" applyFont="1" applyBorder="1"/>
    <xf numFmtId="0" fontId="8" fillId="5" borderId="0" xfId="0" applyFont="1" applyFill="1"/>
    <xf numFmtId="166" fontId="4" fillId="5" borderId="0" xfId="0" applyNumberFormat="1" applyFont="1" applyFill="1"/>
    <xf numFmtId="164" fontId="4" fillId="5" borderId="0" xfId="0" applyNumberFormat="1" applyFont="1" applyFill="1" applyAlignment="1">
      <alignment horizontal="center"/>
    </xf>
    <xf numFmtId="165" fontId="4" fillId="5" borderId="0" xfId="0" applyNumberFormat="1" applyFont="1" applyFill="1" applyAlignment="1">
      <alignment horizontal="center"/>
    </xf>
    <xf numFmtId="0" fontId="9" fillId="5" borderId="0" xfId="0" applyFont="1" applyFill="1"/>
    <xf numFmtId="0" fontId="10" fillId="0" borderId="0" xfId="0" applyFont="1" applyAlignment="1">
      <alignment horizontal="left" inden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1442-A314-47D4-BC0A-D5D8B865939B}">
  <sheetPr>
    <pageSetUpPr fitToPage="1"/>
  </sheetPr>
  <dimension ref="A1:L110"/>
  <sheetViews>
    <sheetView showGridLines="0" tabSelected="1" zoomScale="107" zoomScaleNormal="107" workbookViewId="0">
      <pane ySplit="5" topLeftCell="A39" activePane="bottomLeft" state="frozen"/>
      <selection pane="bottomLeft" activeCell="C88" sqref="C88"/>
    </sheetView>
  </sheetViews>
  <sheetFormatPr defaultRowHeight="14.25" outlineLevelRow="1" x14ac:dyDescent="0.45"/>
  <cols>
    <col min="1" max="1" width="3.19921875" customWidth="1"/>
    <col min="2" max="2" width="38" customWidth="1"/>
    <col min="3" max="9" width="12.59765625" customWidth="1"/>
    <col min="10" max="10" width="10" customWidth="1"/>
    <col min="11" max="11" width="11.33203125" customWidth="1"/>
    <col min="12" max="12" width="12.3984375" customWidth="1"/>
  </cols>
  <sheetData>
    <row r="1" spans="1:11" x14ac:dyDescent="0.45">
      <c r="B1" s="58"/>
      <c r="C1" s="58"/>
      <c r="D1" s="58"/>
      <c r="E1" s="58"/>
      <c r="F1" s="58"/>
      <c r="G1" s="58"/>
      <c r="H1" s="58"/>
      <c r="I1" s="58"/>
    </row>
    <row r="2" spans="1:11" ht="25.5" x14ac:dyDescent="0.75">
      <c r="B2" s="62" t="s">
        <v>109</v>
      </c>
      <c r="C2" s="58"/>
      <c r="D2" s="58"/>
      <c r="E2" s="58"/>
      <c r="F2" s="58"/>
      <c r="G2" s="58"/>
      <c r="H2" s="58"/>
      <c r="I2" s="58"/>
    </row>
    <row r="3" spans="1:11" x14ac:dyDescent="0.45">
      <c r="B3" s="58"/>
      <c r="C3" s="58"/>
      <c r="D3" s="58"/>
      <c r="E3" s="58"/>
      <c r="F3" s="58"/>
      <c r="G3" s="58"/>
      <c r="H3" s="58"/>
      <c r="I3" s="58"/>
    </row>
    <row r="5" spans="1:11" x14ac:dyDescent="0.45">
      <c r="B5" s="59" t="s">
        <v>5</v>
      </c>
      <c r="C5" s="60">
        <v>2021</v>
      </c>
      <c r="D5" s="60">
        <f>SUM(C5+1)</f>
        <v>2022</v>
      </c>
      <c r="E5" s="60">
        <f t="shared" ref="E5:I5" si="0">SUM(D5+1)</f>
        <v>2023</v>
      </c>
      <c r="F5" s="60">
        <f t="shared" si="0"/>
        <v>2024</v>
      </c>
      <c r="G5" s="61">
        <f t="shared" si="0"/>
        <v>2025</v>
      </c>
      <c r="H5" s="61">
        <f>SUM(G5+1)</f>
        <v>2026</v>
      </c>
      <c r="I5" s="61">
        <f t="shared" si="0"/>
        <v>2027</v>
      </c>
    </row>
    <row r="6" spans="1:11" s="4" customFormat="1" x14ac:dyDescent="0.45">
      <c r="A6" s="6" t="s">
        <v>1</v>
      </c>
      <c r="B6" s="3" t="s">
        <v>0</v>
      </c>
      <c r="C6" s="2"/>
      <c r="D6" s="2"/>
      <c r="E6" s="2"/>
      <c r="F6" s="2"/>
      <c r="G6" s="2"/>
      <c r="H6" s="2"/>
      <c r="I6" s="2"/>
      <c r="J6"/>
      <c r="K6"/>
    </row>
    <row r="7" spans="1:11" outlineLevel="1" x14ac:dyDescent="0.45">
      <c r="B7" t="s">
        <v>2</v>
      </c>
      <c r="C7" s="14">
        <v>33498.14</v>
      </c>
      <c r="D7" s="14">
        <v>38654.49</v>
      </c>
      <c r="E7" s="14">
        <v>43885.68</v>
      </c>
      <c r="F7" s="14">
        <v>48496.85</v>
      </c>
      <c r="G7" s="27">
        <f>F7*(1+G19)</f>
        <v>53152.547600000005</v>
      </c>
      <c r="H7" s="27">
        <f t="shared" ref="H7:I7" si="1">G7*(1+H19)</f>
        <v>58255.192169600014</v>
      </c>
      <c r="I7" s="27">
        <f t="shared" si="1"/>
        <v>63847.690617881621</v>
      </c>
    </row>
    <row r="8" spans="1:11" outlineLevel="1" x14ac:dyDescent="0.45">
      <c r="B8" t="s">
        <v>23</v>
      </c>
      <c r="C8" s="14">
        <v>17903.18</v>
      </c>
      <c r="D8" s="14">
        <v>20235.86</v>
      </c>
      <c r="E8" s="14">
        <v>21725.01</v>
      </c>
      <c r="F8" s="14">
        <v>23039.070000000003</v>
      </c>
      <c r="G8" s="27">
        <f>G7*G20</f>
        <v>25252.775364760004</v>
      </c>
      <c r="H8" s="27">
        <f t="shared" ref="H8:I8" si="2">H7*H20</f>
        <v>27677.041799776969</v>
      </c>
      <c r="I8" s="27">
        <f t="shared" si="2"/>
        <v>30334.037812555558</v>
      </c>
    </row>
    <row r="9" spans="1:11" outlineLevel="1" x14ac:dyDescent="0.45">
      <c r="B9" s="15" t="s">
        <v>3</v>
      </c>
      <c r="C9" s="28">
        <f>C7+C8</f>
        <v>51401.32</v>
      </c>
      <c r="D9" s="28">
        <f t="shared" ref="D9:F9" si="3">D7+D8</f>
        <v>58890.35</v>
      </c>
      <c r="E9" s="28">
        <f t="shared" si="3"/>
        <v>65610.69</v>
      </c>
      <c r="F9" s="28">
        <f t="shared" si="3"/>
        <v>71535.92</v>
      </c>
      <c r="G9" s="28">
        <f t="shared" ref="G9" si="4">G7+G8</f>
        <v>78405.322964760009</v>
      </c>
      <c r="H9" s="28">
        <f t="shared" ref="H9" si="5">H7+H8</f>
        <v>85932.233969376975</v>
      </c>
      <c r="I9" s="28">
        <f t="shared" ref="I9" si="6">I7+I8</f>
        <v>94181.728430437186</v>
      </c>
    </row>
    <row r="10" spans="1:11" outlineLevel="1" x14ac:dyDescent="0.45">
      <c r="B10" t="s">
        <v>24</v>
      </c>
      <c r="C10" s="14">
        <v>7125</v>
      </c>
      <c r="D10" s="14">
        <v>8161.06</v>
      </c>
      <c r="E10" s="14">
        <v>10510.23</v>
      </c>
      <c r="F10" s="14">
        <v>12440.01</v>
      </c>
      <c r="G10" s="5">
        <f>G21</f>
        <v>12440</v>
      </c>
      <c r="H10" s="5">
        <f t="shared" ref="H10:I10" si="7">H21</f>
        <v>12440</v>
      </c>
      <c r="I10" s="5">
        <f t="shared" si="7"/>
        <v>12440</v>
      </c>
    </row>
    <row r="11" spans="1:11" outlineLevel="1" x14ac:dyDescent="0.45">
      <c r="B11" s="15" t="s">
        <v>4</v>
      </c>
      <c r="C11" s="28">
        <f>C9-C10</f>
        <v>44276.32</v>
      </c>
      <c r="D11" s="28">
        <f t="shared" ref="D11:F11" si="8">D9-D10</f>
        <v>50729.29</v>
      </c>
      <c r="E11" s="28">
        <f t="shared" si="8"/>
        <v>55100.460000000006</v>
      </c>
      <c r="F11" s="28">
        <f t="shared" si="8"/>
        <v>59095.909999999996</v>
      </c>
      <c r="G11" s="29">
        <f t="shared" ref="G11" si="9">G9-G10</f>
        <v>65965.322964760009</v>
      </c>
      <c r="H11" s="29">
        <f t="shared" ref="H11" si="10">H9-H10</f>
        <v>73492.233969376975</v>
      </c>
      <c r="I11" s="29">
        <f t="shared" ref="I11" si="11">I9-I10</f>
        <v>81741.728430437186</v>
      </c>
    </row>
    <row r="12" spans="1:11" outlineLevel="1" x14ac:dyDescent="0.45">
      <c r="B12" t="s">
        <v>18</v>
      </c>
      <c r="C12" s="14">
        <v>141.43</v>
      </c>
      <c r="D12" s="14">
        <v>127.35</v>
      </c>
      <c r="E12" s="14">
        <v>172</v>
      </c>
      <c r="F12" s="14">
        <v>238.47</v>
      </c>
      <c r="G12">
        <f>G23</f>
        <v>238.5</v>
      </c>
      <c r="H12">
        <f t="shared" ref="H12:I12" si="12">H23</f>
        <v>238.5</v>
      </c>
      <c r="I12">
        <f t="shared" si="12"/>
        <v>238.5</v>
      </c>
    </row>
    <row r="13" spans="1:11" outlineLevel="1" x14ac:dyDescent="0.45">
      <c r="B13" t="s">
        <v>17</v>
      </c>
      <c r="C13" s="14">
        <v>2079.9499999999998</v>
      </c>
      <c r="D13" s="14">
        <v>2143.7399999999998</v>
      </c>
      <c r="E13" s="14">
        <v>2529.4299999999998</v>
      </c>
      <c r="F13" s="14">
        <v>2556.64</v>
      </c>
      <c r="G13" s="5">
        <f>G7*G22</f>
        <v>2801.1392585200001</v>
      </c>
      <c r="H13" s="5">
        <f t="shared" ref="H13:I13" si="13">H7*H22</f>
        <v>3070.0486273379206</v>
      </c>
      <c r="I13" s="5">
        <f t="shared" si="13"/>
        <v>3364.773295562361</v>
      </c>
    </row>
    <row r="14" spans="1:11" outlineLevel="1" x14ac:dyDescent="0.45">
      <c r="B14" s="15" t="s">
        <v>25</v>
      </c>
      <c r="C14" s="28">
        <f>C11-SUM(C13+C12)</f>
        <v>42054.94</v>
      </c>
      <c r="D14" s="28">
        <f t="shared" ref="D14:F14" si="14">D11-SUM(D13+D12)</f>
        <v>48458.200000000004</v>
      </c>
      <c r="E14" s="28">
        <f t="shared" si="14"/>
        <v>52399.030000000006</v>
      </c>
      <c r="F14" s="28">
        <f t="shared" si="14"/>
        <v>56300.799999999996</v>
      </c>
      <c r="G14" s="29">
        <f t="shared" ref="G14" si="15">G11-SUM(G13+G12)</f>
        <v>62925.683706240008</v>
      </c>
      <c r="H14" s="29">
        <f t="shared" ref="H14" si="16">H11-SUM(H13+H12)</f>
        <v>70183.685342039054</v>
      </c>
      <c r="I14" s="29">
        <f t="shared" ref="I14" si="17">I11-SUM(I13+I12)</f>
        <v>78138.455134874821</v>
      </c>
    </row>
    <row r="15" spans="1:11" outlineLevel="1" x14ac:dyDescent="0.45">
      <c r="B15" t="s">
        <v>20</v>
      </c>
      <c r="C15" s="14">
        <v>514.69000000000005</v>
      </c>
      <c r="D15" s="14">
        <v>1075.5</v>
      </c>
      <c r="E15" s="14">
        <v>847.59</v>
      </c>
      <c r="F15" s="14">
        <v>1439.45</v>
      </c>
      <c r="G15" s="5">
        <f>G14*G24</f>
        <v>1610.8975028797443</v>
      </c>
      <c r="H15" s="5">
        <f t="shared" ref="H15:I15" si="18">H14*H24</f>
        <v>1796.7023447561999</v>
      </c>
      <c r="I15" s="5">
        <f t="shared" si="18"/>
        <v>2000.3444514527955</v>
      </c>
    </row>
    <row r="16" spans="1:11" ht="14.65" outlineLevel="1" thickBot="1" x14ac:dyDescent="0.5">
      <c r="B16" s="12" t="s">
        <v>26</v>
      </c>
      <c r="C16" s="13">
        <f>C14-C15</f>
        <v>41540.25</v>
      </c>
      <c r="D16" s="13">
        <f t="shared" ref="D16:F16" si="19">D14-D15</f>
        <v>47382.700000000004</v>
      </c>
      <c r="E16" s="13">
        <f t="shared" si="19"/>
        <v>51551.44000000001</v>
      </c>
      <c r="F16" s="13">
        <f t="shared" si="19"/>
        <v>54861.35</v>
      </c>
      <c r="G16" s="13">
        <f t="shared" ref="G16" si="20">G14-G15</f>
        <v>61314.786203360265</v>
      </c>
      <c r="H16" s="13">
        <f t="shared" ref="H16" si="21">H14-H15</f>
        <v>68386.982997282859</v>
      </c>
      <c r="I16" s="13">
        <f t="shared" ref="I16" si="22">I14-I15</f>
        <v>76138.110683422026</v>
      </c>
    </row>
    <row r="17" spans="1:12" x14ac:dyDescent="0.45">
      <c r="K17" s="33"/>
    </row>
    <row r="18" spans="1:12" s="4" customFormat="1" x14ac:dyDescent="0.45">
      <c r="A18" s="6" t="s">
        <v>1</v>
      </c>
      <c r="B18" s="39" t="s">
        <v>27</v>
      </c>
      <c r="C18" s="40"/>
      <c r="D18" s="40"/>
      <c r="E18" s="40"/>
      <c r="F18" s="40"/>
      <c r="G18" s="40"/>
      <c r="H18" s="40"/>
      <c r="I18" s="40"/>
      <c r="J18"/>
      <c r="K18"/>
    </row>
    <row r="19" spans="1:12" x14ac:dyDescent="0.45">
      <c r="B19" t="s">
        <v>28</v>
      </c>
      <c r="C19" s="16" t="s">
        <v>33</v>
      </c>
      <c r="D19" s="17">
        <f>D7/C7-1</f>
        <v>0.15392944205260339</v>
      </c>
      <c r="E19" s="17">
        <f t="shared" ref="E19:F19" si="23">E7/D7-1</f>
        <v>0.1353320144697292</v>
      </c>
      <c r="F19" s="17">
        <f t="shared" si="23"/>
        <v>0.10507231516066295</v>
      </c>
      <c r="G19" s="19">
        <v>9.6000000000000002E-2</v>
      </c>
      <c r="H19" s="23">
        <f t="shared" ref="H19:H24" si="24">G19</f>
        <v>9.6000000000000002E-2</v>
      </c>
      <c r="I19" s="23">
        <f t="shared" ref="I19" si="25">H19</f>
        <v>9.6000000000000002E-2</v>
      </c>
    </row>
    <row r="20" spans="1:12" x14ac:dyDescent="0.45">
      <c r="B20" t="s">
        <v>29</v>
      </c>
      <c r="C20" s="17">
        <f>C8/C7</f>
        <v>0.53445295768660595</v>
      </c>
      <c r="D20" s="17">
        <f>D8/D7</f>
        <v>0.52350606617756446</v>
      </c>
      <c r="E20" s="17">
        <f t="shared" ref="E20:F20" si="26">E8/E7</f>
        <v>0.49503642190345459</v>
      </c>
      <c r="F20" s="17">
        <f t="shared" si="26"/>
        <v>0.47506322575589971</v>
      </c>
      <c r="G20" s="19">
        <v>0.47510000000000002</v>
      </c>
      <c r="H20" s="23">
        <f t="shared" si="24"/>
        <v>0.47510000000000002</v>
      </c>
      <c r="I20" s="23">
        <f t="shared" ref="I20" si="27">H20</f>
        <v>0.47510000000000002</v>
      </c>
    </row>
    <row r="21" spans="1:12" x14ac:dyDescent="0.45">
      <c r="B21" t="s">
        <v>30</v>
      </c>
      <c r="C21" s="18">
        <f>C10</f>
        <v>7125</v>
      </c>
      <c r="D21" s="18">
        <f>D10</f>
        <v>8161.06</v>
      </c>
      <c r="E21" s="18">
        <f t="shared" ref="E21:F21" si="28">E10</f>
        <v>10510.23</v>
      </c>
      <c r="F21" s="18">
        <f t="shared" si="28"/>
        <v>12440.01</v>
      </c>
      <c r="G21" s="20">
        <v>12440</v>
      </c>
      <c r="H21" s="24">
        <f t="shared" si="24"/>
        <v>12440</v>
      </c>
      <c r="I21" s="24">
        <f t="shared" ref="I21" si="29">H21</f>
        <v>12440</v>
      </c>
    </row>
    <row r="22" spans="1:12" x14ac:dyDescent="0.45">
      <c r="B22" t="s">
        <v>31</v>
      </c>
      <c r="C22" s="17">
        <f>C13/C7</f>
        <v>6.2091507170248854E-2</v>
      </c>
      <c r="D22" s="17">
        <f>D13/D7</f>
        <v>5.5459016533396244E-2</v>
      </c>
      <c r="E22" s="17">
        <f t="shared" ref="E22:F22" si="30">E13/E7</f>
        <v>5.7636796330830464E-2</v>
      </c>
      <c r="F22" s="17">
        <f t="shared" si="30"/>
        <v>5.2717650734016741E-2</v>
      </c>
      <c r="G22" s="21">
        <v>5.2699999999999997E-2</v>
      </c>
      <c r="H22" s="25">
        <f t="shared" si="24"/>
        <v>5.2699999999999997E-2</v>
      </c>
      <c r="I22" s="25">
        <f t="shared" ref="I22" si="31">H22</f>
        <v>5.2699999999999997E-2</v>
      </c>
      <c r="L22" s="17"/>
    </row>
    <row r="23" spans="1:12" x14ac:dyDescent="0.45">
      <c r="B23" t="s">
        <v>18</v>
      </c>
      <c r="C23" s="18">
        <f>C12</f>
        <v>141.43</v>
      </c>
      <c r="D23" s="18">
        <f>D12</f>
        <v>127.35</v>
      </c>
      <c r="E23" s="18">
        <f t="shared" ref="E23:F23" si="32">E12</f>
        <v>172</v>
      </c>
      <c r="F23" s="18">
        <f t="shared" si="32"/>
        <v>238.47</v>
      </c>
      <c r="G23" s="22">
        <v>238.5</v>
      </c>
      <c r="H23" s="26">
        <f t="shared" si="24"/>
        <v>238.5</v>
      </c>
      <c r="I23" s="26">
        <f t="shared" ref="I23" si="33">H23</f>
        <v>238.5</v>
      </c>
    </row>
    <row r="24" spans="1:12" x14ac:dyDescent="0.45">
      <c r="B24" t="s">
        <v>32</v>
      </c>
      <c r="C24" s="17">
        <f>C15/C14</f>
        <v>1.2238514666766854E-2</v>
      </c>
      <c r="D24" s="17">
        <f t="shared" ref="D24:F24" si="34">D15/D14</f>
        <v>2.2194386089454416E-2</v>
      </c>
      <c r="E24" s="17">
        <f t="shared" si="34"/>
        <v>1.6175681114707657E-2</v>
      </c>
      <c r="F24" s="17">
        <f t="shared" si="34"/>
        <v>2.556713226099807E-2</v>
      </c>
      <c r="G24" s="21">
        <v>2.5600000000000001E-2</v>
      </c>
      <c r="H24" s="25">
        <f t="shared" si="24"/>
        <v>2.5600000000000001E-2</v>
      </c>
      <c r="I24" s="25">
        <f t="shared" ref="I24" si="35">H24</f>
        <v>2.5600000000000001E-2</v>
      </c>
    </row>
    <row r="26" spans="1:12" s="4" customFormat="1" x14ac:dyDescent="0.45">
      <c r="A26" s="6" t="s">
        <v>1</v>
      </c>
      <c r="B26" s="3" t="s">
        <v>34</v>
      </c>
      <c r="C26" s="2"/>
      <c r="D26" s="2"/>
      <c r="E26" s="2"/>
      <c r="F26" s="2"/>
      <c r="G26" s="2"/>
      <c r="H26" s="2"/>
      <c r="I26" s="2"/>
      <c r="J26"/>
      <c r="K26"/>
    </row>
    <row r="27" spans="1:12" x14ac:dyDescent="0.45">
      <c r="B27" t="s">
        <v>36</v>
      </c>
      <c r="C27" s="20">
        <v>239.93</v>
      </c>
      <c r="D27" s="20">
        <v>239.93</v>
      </c>
      <c r="E27" s="20">
        <v>239.93</v>
      </c>
      <c r="F27" s="20">
        <v>239.93</v>
      </c>
      <c r="G27" s="18">
        <f>F27</f>
        <v>239.93</v>
      </c>
      <c r="H27" s="18">
        <f t="shared" ref="H27:I27" si="36">G27</f>
        <v>239.93</v>
      </c>
      <c r="I27" s="18">
        <f t="shared" si="36"/>
        <v>239.93</v>
      </c>
    </row>
    <row r="28" spans="1:12" x14ac:dyDescent="0.45">
      <c r="B28" t="s">
        <v>37</v>
      </c>
      <c r="C28" s="20">
        <v>46222.85</v>
      </c>
      <c r="D28" s="20">
        <v>47771.29</v>
      </c>
      <c r="E28" s="20">
        <v>55755.45</v>
      </c>
      <c r="F28" s="20">
        <v>63426.82</v>
      </c>
      <c r="G28" s="18">
        <f>G58</f>
        <v>121840.60620336026</v>
      </c>
      <c r="H28" s="18">
        <f t="shared" ref="H28:I28" si="37">H58</f>
        <v>187326.58920064312</v>
      </c>
      <c r="I28" s="18">
        <f t="shared" si="37"/>
        <v>260563.69988406514</v>
      </c>
    </row>
    <row r="29" spans="1:12" x14ac:dyDescent="0.45">
      <c r="B29" t="s">
        <v>38</v>
      </c>
      <c r="C29" s="20">
        <v>3868.58</v>
      </c>
      <c r="D29" s="20">
        <v>1290.3</v>
      </c>
      <c r="E29" s="20">
        <v>6885.87</v>
      </c>
      <c r="F29" s="20">
        <v>3273.67</v>
      </c>
      <c r="G29" s="18">
        <f>F29</f>
        <v>3273.67</v>
      </c>
      <c r="H29" s="18">
        <f t="shared" ref="H29:I29" si="38">G29</f>
        <v>3273.67</v>
      </c>
      <c r="I29" s="18">
        <f t="shared" si="38"/>
        <v>3273.67</v>
      </c>
    </row>
    <row r="30" spans="1:12" x14ac:dyDescent="0.45">
      <c r="B30" t="s">
        <v>39</v>
      </c>
      <c r="C30" s="20">
        <v>17290.86</v>
      </c>
      <c r="D30" s="20">
        <v>20474.39</v>
      </c>
      <c r="E30" s="20">
        <v>17830.650000000001</v>
      </c>
      <c r="F30" s="20">
        <v>18367.400000000001</v>
      </c>
      <c r="G30" s="18">
        <f>F30</f>
        <v>18367.400000000001</v>
      </c>
      <c r="H30" s="18">
        <f t="shared" ref="H30:I30" si="39">G30</f>
        <v>18367.400000000001</v>
      </c>
      <c r="I30" s="18">
        <f t="shared" si="39"/>
        <v>18367.400000000001</v>
      </c>
    </row>
    <row r="31" spans="1:12" s="1" customFormat="1" x14ac:dyDescent="0.45">
      <c r="B31" s="1" t="s">
        <v>49</v>
      </c>
      <c r="C31" s="30">
        <f>SUM(C27:C30)</f>
        <v>67622.22</v>
      </c>
      <c r="D31" s="30">
        <f t="shared" ref="D31:F31" si="40">SUM(D27:D30)</f>
        <v>69775.91</v>
      </c>
      <c r="E31" s="30">
        <f t="shared" si="40"/>
        <v>80711.899999999994</v>
      </c>
      <c r="F31" s="30">
        <f t="shared" si="40"/>
        <v>85307.82</v>
      </c>
      <c r="G31" s="30">
        <f>SUM(G27:G30)</f>
        <v>143721.60620336025</v>
      </c>
      <c r="H31" s="30">
        <f t="shared" ref="H31:I31" si="41">SUM(H27:H30)</f>
        <v>209207.58920064312</v>
      </c>
      <c r="I31" s="30">
        <f t="shared" si="41"/>
        <v>282444.69988406514</v>
      </c>
    </row>
    <row r="32" spans="1:12" x14ac:dyDescent="0.45">
      <c r="C32" s="18"/>
      <c r="D32" s="18"/>
      <c r="E32" s="18"/>
      <c r="F32" s="18"/>
      <c r="G32" s="18"/>
      <c r="H32" s="18"/>
      <c r="I32" s="18"/>
    </row>
    <row r="33" spans="1:11" x14ac:dyDescent="0.45">
      <c r="B33" t="s">
        <v>50</v>
      </c>
      <c r="C33" s="20">
        <v>21552.98</v>
      </c>
      <c r="D33" s="20">
        <v>22665.16</v>
      </c>
      <c r="E33" s="20">
        <v>24065.439999999999</v>
      </c>
      <c r="F33" s="20">
        <v>23211.38</v>
      </c>
      <c r="G33" s="18">
        <f>G64</f>
        <v>28572.813290504597</v>
      </c>
      <c r="H33" s="18">
        <f t="shared" ref="H33:I33" si="42">H64</f>
        <v>34501.064996384259</v>
      </c>
      <c r="I33" s="18">
        <f t="shared" si="42"/>
        <v>41075.012724578308</v>
      </c>
    </row>
    <row r="34" spans="1:11" x14ac:dyDescent="0.45">
      <c r="B34" t="s">
        <v>42</v>
      </c>
      <c r="C34" s="20">
        <v>1566.83</v>
      </c>
      <c r="D34" s="20">
        <v>1286.8</v>
      </c>
      <c r="E34" s="20">
        <v>4973.16</v>
      </c>
      <c r="F34" s="20">
        <v>5353.88</v>
      </c>
      <c r="G34" s="18">
        <f>F34</f>
        <v>5353.88</v>
      </c>
      <c r="H34" s="18">
        <f t="shared" ref="H34:I34" si="43">G34</f>
        <v>5353.88</v>
      </c>
      <c r="I34" s="18">
        <f t="shared" si="43"/>
        <v>5353.88</v>
      </c>
    </row>
    <row r="35" spans="1:11" x14ac:dyDescent="0.45">
      <c r="B35" t="s">
        <v>43</v>
      </c>
      <c r="C35" s="20">
        <v>9612.4500000000007</v>
      </c>
      <c r="D35" s="20">
        <v>12848.59</v>
      </c>
      <c r="E35" s="20">
        <v>14824.34</v>
      </c>
      <c r="F35" s="20">
        <v>15025.77</v>
      </c>
      <c r="G35" s="18">
        <f>F35*(SUM(1+C91))^3</f>
        <v>17895.932482320004</v>
      </c>
      <c r="H35" s="18">
        <f t="shared" ref="H35:I35" si="44">G35*(1+D91)^3</f>
        <v>17895.932482320004</v>
      </c>
      <c r="I35" s="18">
        <f t="shared" si="44"/>
        <v>17895.932482320004</v>
      </c>
    </row>
    <row r="36" spans="1:11" x14ac:dyDescent="0.45">
      <c r="B36" t="s">
        <v>44</v>
      </c>
      <c r="C36" s="20">
        <v>10386.029999999999</v>
      </c>
      <c r="D36" s="20">
        <v>8532.2900000000009</v>
      </c>
      <c r="E36" s="20">
        <v>9127.11</v>
      </c>
      <c r="F36" s="20">
        <v>10078.449999999997</v>
      </c>
      <c r="G36" s="18">
        <f>F36</f>
        <v>10078.449999999997</v>
      </c>
      <c r="H36" s="18">
        <f t="shared" ref="H36:I36" si="45">G36</f>
        <v>10078.449999999997</v>
      </c>
      <c r="I36" s="18">
        <f t="shared" si="45"/>
        <v>10078.449999999997</v>
      </c>
    </row>
    <row r="37" spans="1:11" s="1" customFormat="1" x14ac:dyDescent="0.45">
      <c r="B37" t="s">
        <v>51</v>
      </c>
      <c r="C37" s="18">
        <f>SUM(C33:C36)</f>
        <v>43118.289999999994</v>
      </c>
      <c r="D37" s="18">
        <f t="shared" ref="D37:F37" si="46">SUM(D33:D36)</f>
        <v>45332.840000000004</v>
      </c>
      <c r="E37" s="18">
        <f t="shared" si="46"/>
        <v>52990.05</v>
      </c>
      <c r="F37" s="18">
        <f t="shared" si="46"/>
        <v>53669.479999999996</v>
      </c>
      <c r="G37" s="18">
        <f t="shared" ref="G37" si="47">SUM(G33:G36)</f>
        <v>61901.075772824595</v>
      </c>
      <c r="H37" s="18">
        <f t="shared" ref="H37" si="48">SUM(H33:H36)</f>
        <v>67829.327478704261</v>
      </c>
      <c r="I37" s="18">
        <f t="shared" ref="I37" si="49">SUM(I33:I36)</f>
        <v>74403.27520689831</v>
      </c>
    </row>
    <row r="38" spans="1:11" x14ac:dyDescent="0.45">
      <c r="C38" s="18"/>
      <c r="D38" s="18"/>
      <c r="E38" s="18"/>
      <c r="F38" s="18"/>
      <c r="G38" s="18"/>
      <c r="H38" s="18"/>
      <c r="I38" s="18"/>
    </row>
    <row r="39" spans="1:11" x14ac:dyDescent="0.45">
      <c r="B39" t="s">
        <v>45</v>
      </c>
      <c r="C39" s="20">
        <v>9061.4</v>
      </c>
      <c r="D39" s="20">
        <v>10484.59</v>
      </c>
      <c r="E39" s="20">
        <v>11438.51</v>
      </c>
      <c r="F39" s="20">
        <v>11249.37</v>
      </c>
      <c r="G39" s="18">
        <f>C49*G7</f>
        <v>14378.007101965663</v>
      </c>
      <c r="H39" s="18">
        <f t="shared" ref="H39:I39" si="50">D49*H7</f>
        <v>15801.057141601574</v>
      </c>
      <c r="I39" s="18">
        <f t="shared" si="50"/>
        <v>16641.475023505278</v>
      </c>
    </row>
    <row r="40" spans="1:11" x14ac:dyDescent="0.45">
      <c r="B40" t="s">
        <v>46</v>
      </c>
      <c r="C40" s="20">
        <v>8997.02</v>
      </c>
      <c r="D40" s="20">
        <v>8925.1299999999992</v>
      </c>
      <c r="E40" s="20">
        <v>10513.05</v>
      </c>
      <c r="F40" s="20">
        <v>9868.2900000000009</v>
      </c>
      <c r="G40" s="18">
        <f>C50*G8</f>
        <v>12690.467560078883</v>
      </c>
      <c r="H40" s="18">
        <f t="shared" ref="H40" si="51">D50*H8</f>
        <v>12207.101456446298</v>
      </c>
      <c r="I40" s="18">
        <f t="shared" ref="I40" si="52">E50*I8</f>
        <v>14679.084438869635</v>
      </c>
    </row>
    <row r="41" spans="1:11" x14ac:dyDescent="0.45">
      <c r="B41" t="s">
        <v>47</v>
      </c>
      <c r="C41" s="20">
        <v>6445.51</v>
      </c>
      <c r="D41" s="20">
        <v>5033.3500000000004</v>
      </c>
      <c r="E41" s="20">
        <v>5770.29</v>
      </c>
      <c r="F41" s="20">
        <v>10520.68</v>
      </c>
      <c r="G41" s="18">
        <f>F41+G109</f>
        <v>82481.040023973153</v>
      </c>
      <c r="H41" s="18">
        <f t="shared" ref="H41:I41" si="53">G41+H109</f>
        <v>164509.69220243336</v>
      </c>
      <c r="I41" s="18">
        <f t="shared" si="53"/>
        <v>191912.67062194843</v>
      </c>
    </row>
    <row r="42" spans="1:11" s="1" customFormat="1" x14ac:dyDescent="0.45">
      <c r="B42" t="s">
        <v>52</v>
      </c>
      <c r="C42" s="24">
        <f>SUM(C39:C41)</f>
        <v>24503.93</v>
      </c>
      <c r="D42" s="24">
        <f t="shared" ref="D42:F42" si="54">SUM(D39:D41)</f>
        <v>24443.07</v>
      </c>
      <c r="E42" s="24">
        <f t="shared" si="54"/>
        <v>27721.85</v>
      </c>
      <c r="F42" s="24">
        <f t="shared" si="54"/>
        <v>31638.340000000004</v>
      </c>
      <c r="G42" s="24">
        <f t="shared" ref="G42" si="55">SUM(G39:G41)</f>
        <v>109549.5146860177</v>
      </c>
      <c r="H42" s="24">
        <f t="shared" ref="H42" si="56">SUM(H39:H41)</f>
        <v>192517.85080048122</v>
      </c>
      <c r="I42" s="24">
        <f t="shared" ref="I42" si="57">SUM(I39:I41)</f>
        <v>223233.23008432335</v>
      </c>
    </row>
    <row r="43" spans="1:11" x14ac:dyDescent="0.45">
      <c r="B43" s="1"/>
      <c r="C43" s="18"/>
      <c r="D43" s="18"/>
      <c r="E43" s="18"/>
      <c r="F43" s="18"/>
      <c r="G43" s="18"/>
      <c r="H43" s="18"/>
      <c r="I43" s="18"/>
    </row>
    <row r="44" spans="1:11" s="1" customFormat="1" x14ac:dyDescent="0.45">
      <c r="B44" s="1" t="s">
        <v>53</v>
      </c>
      <c r="C44" s="30">
        <f>C37+C42</f>
        <v>67622.22</v>
      </c>
      <c r="D44" s="30">
        <f t="shared" ref="D44:F44" si="58">D37+D42</f>
        <v>69775.91</v>
      </c>
      <c r="E44" s="30">
        <f t="shared" si="58"/>
        <v>80711.899999999994</v>
      </c>
      <c r="F44" s="30">
        <f t="shared" si="58"/>
        <v>85307.82</v>
      </c>
      <c r="G44" s="30">
        <f>SUM(G37+G42)</f>
        <v>171450.59045884229</v>
      </c>
      <c r="H44" s="30">
        <f t="shared" ref="H44:I44" si="59">SUM(H37+H42)</f>
        <v>260347.17827918549</v>
      </c>
      <c r="I44" s="30">
        <f t="shared" si="59"/>
        <v>297636.50529122166</v>
      </c>
    </row>
    <row r="45" spans="1:11" x14ac:dyDescent="0.45">
      <c r="C45" s="28"/>
      <c r="D45" s="28"/>
      <c r="E45" s="28"/>
      <c r="F45" s="28"/>
      <c r="G45" s="28"/>
      <c r="H45" s="28"/>
      <c r="I45" s="28"/>
    </row>
    <row r="46" spans="1:11" s="31" customFormat="1" x14ac:dyDescent="0.45">
      <c r="B46" s="31" t="s">
        <v>55</v>
      </c>
      <c r="C46" s="31" t="b">
        <f>C44=C31</f>
        <v>1</v>
      </c>
      <c r="D46" s="31" t="b">
        <f t="shared" ref="D46:F46" si="60">D44=D31</f>
        <v>1</v>
      </c>
      <c r="E46" s="31" t="b">
        <f t="shared" si="60"/>
        <v>1</v>
      </c>
      <c r="F46" s="31" t="b">
        <f t="shared" si="60"/>
        <v>1</v>
      </c>
      <c r="G46" s="30">
        <f>G44-G31</f>
        <v>27728.984255482035</v>
      </c>
      <c r="H46" s="30">
        <f t="shared" ref="H46:I46" si="61">H44-H31</f>
        <v>51139.589078542369</v>
      </c>
      <c r="I46" s="30">
        <f t="shared" si="61"/>
        <v>15191.805407156528</v>
      </c>
    </row>
    <row r="48" spans="1:11" s="4" customFormat="1" x14ac:dyDescent="0.45">
      <c r="A48" s="6" t="s">
        <v>1</v>
      </c>
      <c r="B48" s="39" t="s">
        <v>56</v>
      </c>
      <c r="C48" s="40"/>
      <c r="D48" s="40"/>
      <c r="E48" s="40"/>
      <c r="F48" s="40"/>
      <c r="G48" s="40"/>
      <c r="H48" s="40"/>
      <c r="I48" s="40"/>
      <c r="J48"/>
      <c r="K48"/>
    </row>
    <row r="49" spans="1:11" x14ac:dyDescent="0.45">
      <c r="B49" t="s">
        <v>57</v>
      </c>
      <c r="C49" s="32">
        <f>C39/C7</f>
        <v>0.27050457129858552</v>
      </c>
      <c r="D49" s="32">
        <f t="shared" ref="D49:F49" si="62">D39/D7</f>
        <v>0.27123860643356051</v>
      </c>
      <c r="E49" s="32">
        <f t="shared" si="62"/>
        <v>0.26064333513802224</v>
      </c>
      <c r="F49" s="32">
        <f t="shared" si="62"/>
        <v>0.23196083869364714</v>
      </c>
      <c r="G49" s="32">
        <f>F49</f>
        <v>0.23196083869364714</v>
      </c>
      <c r="H49" s="32">
        <f t="shared" ref="H49:I49" si="63">G49</f>
        <v>0.23196083869364714</v>
      </c>
      <c r="I49" s="32">
        <f t="shared" si="63"/>
        <v>0.23196083869364714</v>
      </c>
    </row>
    <row r="50" spans="1:11" x14ac:dyDescent="0.45">
      <c r="B50" t="s">
        <v>58</v>
      </c>
      <c r="C50" s="32">
        <f>C40/C8</f>
        <v>0.50253753802397116</v>
      </c>
      <c r="D50" s="32">
        <f t="shared" ref="D50:F50" si="64">D40/D8</f>
        <v>0.44105513677204722</v>
      </c>
      <c r="E50" s="32">
        <f t="shared" si="64"/>
        <v>0.4839146219035112</v>
      </c>
      <c r="F50" s="32">
        <f t="shared" si="64"/>
        <v>0.42832848721758299</v>
      </c>
      <c r="G50" s="32">
        <f>F50</f>
        <v>0.42832848721758299</v>
      </c>
      <c r="H50" s="32">
        <f t="shared" ref="H50:I50" si="65">G50</f>
        <v>0.42832848721758299</v>
      </c>
      <c r="I50" s="32">
        <f t="shared" si="65"/>
        <v>0.42832848721758299</v>
      </c>
    </row>
    <row r="51" spans="1:11" x14ac:dyDescent="0.45">
      <c r="B51" t="s">
        <v>59</v>
      </c>
      <c r="C51" s="14">
        <v>-1414</v>
      </c>
      <c r="D51" s="14">
        <v>-1274</v>
      </c>
      <c r="E51" s="14">
        <v>-1720</v>
      </c>
      <c r="F51" s="14">
        <v>-2385</v>
      </c>
      <c r="G51" s="14">
        <v>-2191</v>
      </c>
      <c r="H51" s="5">
        <f>G51</f>
        <v>-2191</v>
      </c>
      <c r="I51" s="5">
        <f>H51</f>
        <v>-2191</v>
      </c>
    </row>
    <row r="52" spans="1:11" x14ac:dyDescent="0.45">
      <c r="B52" t="s">
        <v>60</v>
      </c>
      <c r="C52" s="5">
        <f>C29</f>
        <v>3868.58</v>
      </c>
      <c r="D52" s="5">
        <f t="shared" ref="D52:F52" si="66">D29</f>
        <v>1290.3</v>
      </c>
      <c r="E52" s="5">
        <f t="shared" si="66"/>
        <v>6885.87</v>
      </c>
      <c r="F52" s="5">
        <f t="shared" si="66"/>
        <v>3273.67</v>
      </c>
      <c r="G52" s="5">
        <f>F52</f>
        <v>3273.67</v>
      </c>
      <c r="H52" s="5">
        <f t="shared" ref="H52:I52" si="67">G52</f>
        <v>3273.67</v>
      </c>
      <c r="I52" s="5">
        <f t="shared" si="67"/>
        <v>3273.67</v>
      </c>
    </row>
    <row r="53" spans="1:11" x14ac:dyDescent="0.45">
      <c r="C53" s="5"/>
      <c r="D53" s="5"/>
      <c r="E53" s="5"/>
      <c r="F53" s="5"/>
      <c r="G53" s="5"/>
      <c r="H53" s="5"/>
      <c r="I53" s="5"/>
    </row>
    <row r="54" spans="1:11" s="4" customFormat="1" x14ac:dyDescent="0.45">
      <c r="A54" s="6" t="s">
        <v>1</v>
      </c>
      <c r="B54" s="39" t="s">
        <v>77</v>
      </c>
      <c r="C54" s="40"/>
      <c r="D54" s="40"/>
      <c r="E54" s="40"/>
      <c r="F54" s="40"/>
      <c r="G54" s="40"/>
      <c r="H54" s="40"/>
      <c r="I54" s="40"/>
      <c r="J54"/>
      <c r="K54"/>
    </row>
    <row r="55" spans="1:11" x14ac:dyDescent="0.45">
      <c r="B55" t="s">
        <v>78</v>
      </c>
      <c r="G55" s="5">
        <f>F58</f>
        <v>63426.82</v>
      </c>
      <c r="H55" s="5">
        <f t="shared" ref="H55:I55" si="68">G58</f>
        <v>121840.60620336026</v>
      </c>
      <c r="I55" s="5">
        <f t="shared" si="68"/>
        <v>187326.58920064312</v>
      </c>
    </row>
    <row r="56" spans="1:11" x14ac:dyDescent="0.45">
      <c r="B56" t="s">
        <v>67</v>
      </c>
      <c r="G56" s="5">
        <f>G16</f>
        <v>61314.786203360265</v>
      </c>
      <c r="H56" s="5">
        <f t="shared" ref="H56:I56" si="69">H16</f>
        <v>68386.982997282859</v>
      </c>
      <c r="I56" s="5">
        <f t="shared" si="69"/>
        <v>76138.110683422026</v>
      </c>
    </row>
    <row r="57" spans="1:11" x14ac:dyDescent="0.45">
      <c r="B57" t="s">
        <v>68</v>
      </c>
      <c r="D57" s="14">
        <v>-1586</v>
      </c>
      <c r="E57" s="14">
        <v>-2169</v>
      </c>
      <c r="F57" s="14">
        <v>-2520</v>
      </c>
      <c r="G57" s="14">
        <v>-2901</v>
      </c>
      <c r="H57" s="14">
        <f>G57</f>
        <v>-2901</v>
      </c>
      <c r="I57" s="14">
        <f>H57</f>
        <v>-2901</v>
      </c>
    </row>
    <row r="58" spans="1:11" s="1" customFormat="1" x14ac:dyDescent="0.45">
      <c r="B58" s="34" t="s">
        <v>76</v>
      </c>
      <c r="C58" s="34"/>
      <c r="D58" s="34"/>
      <c r="E58" s="34"/>
      <c r="F58" s="35">
        <f>F28</f>
        <v>63426.82</v>
      </c>
      <c r="G58" s="35">
        <f>SUM(G55:G57)</f>
        <v>121840.60620336026</v>
      </c>
      <c r="H58" s="35">
        <f t="shared" ref="H58:I58" si="70">SUM(H55:H57)</f>
        <v>187326.58920064312</v>
      </c>
      <c r="I58" s="35">
        <f t="shared" si="70"/>
        <v>260563.69988406514</v>
      </c>
    </row>
    <row r="60" spans="1:11" s="4" customFormat="1" x14ac:dyDescent="0.45">
      <c r="A60" s="6" t="s">
        <v>69</v>
      </c>
      <c r="B60" s="39" t="s">
        <v>70</v>
      </c>
      <c r="C60" s="40"/>
      <c r="D60" s="40"/>
      <c r="E60" s="40"/>
      <c r="F60" s="40"/>
      <c r="G60" s="40"/>
      <c r="H60" s="40"/>
      <c r="I60" s="40"/>
      <c r="J60"/>
      <c r="K60"/>
    </row>
    <row r="61" spans="1:11" x14ac:dyDescent="0.45">
      <c r="B61" t="s">
        <v>71</v>
      </c>
      <c r="C61" s="5"/>
      <c r="D61" s="5">
        <f>C64</f>
        <v>21552.98</v>
      </c>
      <c r="E61" s="5">
        <f t="shared" ref="E61:I61" si="71">D64</f>
        <v>22665.16</v>
      </c>
      <c r="F61" s="5">
        <f t="shared" si="71"/>
        <v>24065.439999999999</v>
      </c>
      <c r="G61" s="5">
        <f t="shared" si="71"/>
        <v>23211.38</v>
      </c>
      <c r="H61" s="5">
        <f t="shared" si="71"/>
        <v>28572.813290504597</v>
      </c>
      <c r="I61" s="5">
        <f t="shared" si="71"/>
        <v>34501.064996384259</v>
      </c>
    </row>
    <row r="62" spans="1:11" x14ac:dyDescent="0.45">
      <c r="B62" t="s">
        <v>17</v>
      </c>
      <c r="D62" s="5">
        <f>D13</f>
        <v>2143.7399999999998</v>
      </c>
      <c r="E62" s="5">
        <f t="shared" ref="E62:F62" si="72">E13</f>
        <v>2529.4299999999998</v>
      </c>
      <c r="F62" s="5">
        <f t="shared" si="72"/>
        <v>2556.64</v>
      </c>
      <c r="G62" s="38">
        <f>G65*G61</f>
        <v>2528.1476701745278</v>
      </c>
      <c r="H62" s="38">
        <f t="shared" ref="H62:I62" si="73">H65*H61</f>
        <v>3112.106705879658</v>
      </c>
      <c r="I62" s="38">
        <f t="shared" si="73"/>
        <v>3757.8027281940504</v>
      </c>
    </row>
    <row r="63" spans="1:11" x14ac:dyDescent="0.45">
      <c r="B63" t="s">
        <v>72</v>
      </c>
      <c r="D63" s="36">
        <f>D64-D61+D62</f>
        <v>3255.92</v>
      </c>
      <c r="E63" s="36">
        <f t="shared" ref="E63:F63" si="74">E64-E61+E62</f>
        <v>3929.7099999999987</v>
      </c>
      <c r="F63" s="36">
        <f t="shared" si="74"/>
        <v>1702.5800000000022</v>
      </c>
      <c r="G63" s="36">
        <f>G66*G61</f>
        <v>2833.285620330068</v>
      </c>
      <c r="H63" s="36">
        <f>AVERAGE($E$63:$F$63)</f>
        <v>2816.1450000000004</v>
      </c>
      <c r="I63" s="36">
        <f>AVERAGE($E$63:$F$63)</f>
        <v>2816.1450000000004</v>
      </c>
    </row>
    <row r="64" spans="1:11" s="1" customFormat="1" x14ac:dyDescent="0.45">
      <c r="B64" s="34" t="s">
        <v>73</v>
      </c>
      <c r="C64" s="35">
        <f>C33</f>
        <v>21552.98</v>
      </c>
      <c r="D64" s="35">
        <f t="shared" ref="D64:F64" si="75">D33</f>
        <v>22665.16</v>
      </c>
      <c r="E64" s="35">
        <f t="shared" si="75"/>
        <v>24065.439999999999</v>
      </c>
      <c r="F64" s="35">
        <f t="shared" si="75"/>
        <v>23211.38</v>
      </c>
      <c r="G64" s="35">
        <f>SUM(G61:G63)</f>
        <v>28572.813290504597</v>
      </c>
      <c r="H64" s="35">
        <f t="shared" ref="H64:I64" si="76">SUM(H61:H63)</f>
        <v>34501.064996384259</v>
      </c>
      <c r="I64" s="35">
        <f t="shared" si="76"/>
        <v>41075.012724578308</v>
      </c>
    </row>
    <row r="65" spans="1:12" x14ac:dyDescent="0.45">
      <c r="B65" t="s">
        <v>74</v>
      </c>
      <c r="D65" s="32">
        <f>D62/D61</f>
        <v>9.9463740048939861E-2</v>
      </c>
      <c r="E65" s="32">
        <f t="shared" ref="E65:F65" si="77">E62/E61</f>
        <v>0.11159991811220392</v>
      </c>
      <c r="F65" s="32">
        <f t="shared" si="77"/>
        <v>0.10623699379691375</v>
      </c>
      <c r="G65" s="37">
        <f>AVERAGE($E$65:$F$65)</f>
        <v>0.10891845595455883</v>
      </c>
      <c r="H65" s="37">
        <f t="shared" ref="H65:I65" si="78">AVERAGE($E$65:$F$65)</f>
        <v>0.10891845595455883</v>
      </c>
      <c r="I65" s="37">
        <f t="shared" si="78"/>
        <v>0.10891845595455883</v>
      </c>
    </row>
    <row r="66" spans="1:12" x14ac:dyDescent="0.45">
      <c r="B66" t="s">
        <v>75</v>
      </c>
      <c r="D66" s="32">
        <f>D63/D61</f>
        <v>0.15106588508874411</v>
      </c>
      <c r="E66" s="32">
        <f t="shared" ref="E66:F66" si="79">E63/E61</f>
        <v>0.17338108356614287</v>
      </c>
      <c r="F66" s="32">
        <f t="shared" si="79"/>
        <v>7.0747927318179193E-2</v>
      </c>
      <c r="G66" s="37">
        <f>AVERAGE($E$66:$F$66)</f>
        <v>0.12206450544216103</v>
      </c>
      <c r="H66" s="37">
        <f t="shared" ref="H66:I66" si="80">AVERAGE($E$66:$F$66)</f>
        <v>0.12206450544216103</v>
      </c>
      <c r="I66" s="37">
        <f t="shared" si="80"/>
        <v>0.12206450544216103</v>
      </c>
    </row>
    <row r="67" spans="1:12" x14ac:dyDescent="0.45">
      <c r="D67" s="32"/>
      <c r="E67" s="32"/>
      <c r="F67" s="32"/>
      <c r="G67" s="37"/>
      <c r="H67" s="37"/>
      <c r="I67" s="37"/>
      <c r="K67" s="16"/>
    </row>
    <row r="68" spans="1:12" s="4" customFormat="1" x14ac:dyDescent="0.45">
      <c r="A68" s="6" t="s">
        <v>1</v>
      </c>
      <c r="B68" s="39" t="s">
        <v>38</v>
      </c>
      <c r="C68" s="40"/>
      <c r="D68" s="40"/>
      <c r="E68" s="40"/>
      <c r="F68" s="40"/>
      <c r="G68" s="40"/>
      <c r="H68" s="40"/>
      <c r="I68" s="40"/>
      <c r="J68"/>
      <c r="K68"/>
    </row>
    <row r="69" spans="1:12" x14ac:dyDescent="0.45">
      <c r="B69" t="s">
        <v>90</v>
      </c>
      <c r="C69" s="47"/>
      <c r="D69" s="47">
        <f>C72</f>
        <v>3868.58</v>
      </c>
      <c r="E69" s="47"/>
      <c r="F69" s="47"/>
      <c r="G69" s="47">
        <f>F72</f>
        <v>23211.38</v>
      </c>
      <c r="H69" s="47">
        <f t="shared" ref="H69:I69" si="81">G72</f>
        <v>13868.459704635028</v>
      </c>
      <c r="I69" s="47">
        <f t="shared" si="81"/>
        <v>6207.2650624357502</v>
      </c>
      <c r="J69" s="47"/>
      <c r="K69" s="47"/>
      <c r="L69" s="47"/>
    </row>
    <row r="70" spans="1:12" x14ac:dyDescent="0.45">
      <c r="B70" t="s">
        <v>91</v>
      </c>
      <c r="C70" s="47"/>
      <c r="D70" s="47">
        <f>IF(D72&gt;D69,D72-D69)</f>
        <v>18796.580000000002</v>
      </c>
      <c r="E70" s="47">
        <f t="shared" ref="E70:F70" si="82">IF(E72&gt;E69,E72-E69)</f>
        <v>24065.439999999999</v>
      </c>
      <c r="F70" s="54">
        <f t="shared" si="82"/>
        <v>23211.38</v>
      </c>
      <c r="G70" s="16" t="s">
        <v>101</v>
      </c>
      <c r="H70" s="16" t="s">
        <v>101</v>
      </c>
      <c r="I70" s="16" t="s">
        <v>101</v>
      </c>
      <c r="J70" s="47"/>
      <c r="K70" s="47"/>
      <c r="L70" s="47"/>
    </row>
    <row r="71" spans="1:12" x14ac:dyDescent="0.45">
      <c r="B71" t="s">
        <v>92</v>
      </c>
      <c r="C71" s="47"/>
      <c r="D71" s="47"/>
      <c r="E71" s="47"/>
      <c r="F71" s="47"/>
      <c r="G71" s="47">
        <f>C81</f>
        <v>-9342.9202953649728</v>
      </c>
      <c r="H71" s="47">
        <f t="shared" ref="H71:I71" si="83">D81</f>
        <v>-7661.194642199278</v>
      </c>
      <c r="I71" s="47">
        <f t="shared" si="83"/>
        <v>-5979.4689890335831</v>
      </c>
      <c r="J71" s="47"/>
      <c r="K71" s="47"/>
      <c r="L71" s="47"/>
    </row>
    <row r="72" spans="1:12" x14ac:dyDescent="0.45">
      <c r="B72" s="46" t="s">
        <v>93</v>
      </c>
      <c r="C72" s="48">
        <f>C29</f>
        <v>3868.58</v>
      </c>
      <c r="D72" s="48">
        <f>D33</f>
        <v>22665.16</v>
      </c>
      <c r="E72" s="48">
        <f>E33</f>
        <v>24065.439999999999</v>
      </c>
      <c r="F72" s="48">
        <f>F33</f>
        <v>23211.38</v>
      </c>
      <c r="G72" s="48">
        <f>SUM(G69:G71)</f>
        <v>13868.459704635028</v>
      </c>
      <c r="H72" s="48">
        <f t="shared" ref="H72:I72" si="84">SUM(H69:H71)</f>
        <v>6207.2650624357502</v>
      </c>
      <c r="I72" s="48">
        <f t="shared" si="84"/>
        <v>227.79607340216717</v>
      </c>
      <c r="J72" s="47"/>
      <c r="K72" s="47"/>
      <c r="L72" s="47"/>
    </row>
    <row r="73" spans="1:12" x14ac:dyDescent="0.45">
      <c r="C73" s="47"/>
      <c r="D73" s="49"/>
      <c r="E73" s="49"/>
      <c r="F73" s="49"/>
      <c r="G73" s="47"/>
      <c r="H73" s="47"/>
      <c r="I73" s="47"/>
      <c r="J73" s="47"/>
      <c r="K73" s="47"/>
      <c r="L73" s="47"/>
    </row>
    <row r="74" spans="1:12" x14ac:dyDescent="0.45">
      <c r="B74" t="s">
        <v>94</v>
      </c>
      <c r="C74" s="51">
        <v>0.18</v>
      </c>
      <c r="D74" s="49"/>
      <c r="E74" s="49"/>
      <c r="F74" s="49"/>
      <c r="G74" s="47"/>
      <c r="H74" s="47"/>
      <c r="I74" s="47"/>
      <c r="J74" s="47"/>
      <c r="K74" s="47"/>
      <c r="L74" s="47"/>
    </row>
    <row r="75" spans="1:12" x14ac:dyDescent="0.45">
      <c r="B75" t="s">
        <v>95</v>
      </c>
      <c r="C75">
        <v>10</v>
      </c>
      <c r="D75" s="49"/>
      <c r="E75" s="49"/>
      <c r="F75" s="49"/>
      <c r="G75" s="47"/>
      <c r="H75" s="47"/>
      <c r="I75" s="47"/>
      <c r="J75" s="47"/>
      <c r="K75" s="47"/>
      <c r="L75" s="47"/>
    </row>
    <row r="76" spans="1:12" x14ac:dyDescent="0.45">
      <c r="B76" t="s">
        <v>96</v>
      </c>
      <c r="C76" s="50">
        <f>PMT(C74,C75,F72)</f>
        <v>-5164.8718953649732</v>
      </c>
      <c r="D76" s="49"/>
      <c r="E76" s="49"/>
      <c r="F76" s="49"/>
      <c r="G76" s="47"/>
      <c r="H76" s="47"/>
      <c r="I76" s="47"/>
      <c r="J76" s="47"/>
      <c r="K76" s="47"/>
      <c r="L76" s="47"/>
    </row>
    <row r="77" spans="1:12" x14ac:dyDescent="0.45">
      <c r="C77" s="47"/>
      <c r="D77" s="49"/>
      <c r="E77" s="49"/>
      <c r="F77" s="49"/>
      <c r="G77" s="47"/>
      <c r="H77" s="47"/>
      <c r="I77" s="47"/>
      <c r="J77" s="47"/>
      <c r="K77" s="47"/>
      <c r="L77" s="47"/>
    </row>
    <row r="78" spans="1:12" s="1" customFormat="1" x14ac:dyDescent="0.45">
      <c r="B78" s="53" t="s">
        <v>97</v>
      </c>
      <c r="C78" s="52">
        <v>1</v>
      </c>
      <c r="D78" s="52">
        <f>C78+1</f>
        <v>2</v>
      </c>
      <c r="E78" s="52">
        <f t="shared" ref="E78:L78" si="85">D78+1</f>
        <v>3</v>
      </c>
      <c r="F78" s="52">
        <f t="shared" si="85"/>
        <v>4</v>
      </c>
      <c r="G78" s="52">
        <f t="shared" si="85"/>
        <v>5</v>
      </c>
      <c r="H78" s="52">
        <f t="shared" si="85"/>
        <v>6</v>
      </c>
      <c r="I78" s="52">
        <f t="shared" si="85"/>
        <v>7</v>
      </c>
      <c r="J78" s="52">
        <f t="shared" si="85"/>
        <v>8</v>
      </c>
      <c r="K78" s="52">
        <f t="shared" si="85"/>
        <v>9</v>
      </c>
      <c r="L78" s="52">
        <f t="shared" si="85"/>
        <v>10</v>
      </c>
    </row>
    <row r="79" spans="1:12" x14ac:dyDescent="0.45">
      <c r="B79" s="5" t="s">
        <v>98</v>
      </c>
      <c r="C79" s="47">
        <f>$C$76</f>
        <v>-5164.8718953649732</v>
      </c>
      <c r="D79" s="47">
        <f t="shared" ref="D79:L79" si="86">$C$76</f>
        <v>-5164.8718953649732</v>
      </c>
      <c r="E79" s="47">
        <f t="shared" si="86"/>
        <v>-5164.8718953649732</v>
      </c>
      <c r="F79" s="47">
        <f t="shared" si="86"/>
        <v>-5164.8718953649732</v>
      </c>
      <c r="G79" s="47">
        <f t="shared" si="86"/>
        <v>-5164.8718953649732</v>
      </c>
      <c r="H79" s="47">
        <f t="shared" si="86"/>
        <v>-5164.8718953649732</v>
      </c>
      <c r="I79" s="47">
        <f t="shared" si="86"/>
        <v>-5164.8718953649732</v>
      </c>
      <c r="J79" s="47">
        <f t="shared" si="86"/>
        <v>-5164.8718953649732</v>
      </c>
      <c r="K79" s="47">
        <f t="shared" si="86"/>
        <v>-5164.8718953649732</v>
      </c>
      <c r="L79" s="47">
        <f t="shared" si="86"/>
        <v>-5164.8718953649732</v>
      </c>
    </row>
    <row r="80" spans="1:12" x14ac:dyDescent="0.45">
      <c r="B80" s="5" t="s">
        <v>18</v>
      </c>
      <c r="C80" s="47">
        <f>F72*$C$74</f>
        <v>4178.0483999999997</v>
      </c>
      <c r="D80" s="47">
        <f>C82*$C74</f>
        <v>2496.3227468343048</v>
      </c>
      <c r="E80" s="47">
        <f>D82*$C$74</f>
        <v>814.59709366860989</v>
      </c>
      <c r="F80" s="47">
        <f t="shared" ref="F80:L80" si="87">E82*$C$74</f>
        <v>-564.41794192726002</v>
      </c>
      <c r="G80" s="47">
        <f t="shared" si="87"/>
        <v>-1640.7223599533049</v>
      </c>
      <c r="H80" s="47">
        <f t="shared" si="87"/>
        <v>-2468.8040715720931</v>
      </c>
      <c r="I80" s="47">
        <f t="shared" si="87"/>
        <v>-3103.1509879461933</v>
      </c>
      <c r="J80" s="47">
        <f t="shared" si="87"/>
        <v>-3588.4431962289118</v>
      </c>
      <c r="K80" s="47">
        <f t="shared" si="87"/>
        <v>-3959.5529595642925</v>
      </c>
      <c r="L80" s="47">
        <f t="shared" si="87"/>
        <v>-4243.3101254087833</v>
      </c>
    </row>
    <row r="81" spans="1:12" x14ac:dyDescent="0.45">
      <c r="B81" s="5" t="s">
        <v>99</v>
      </c>
      <c r="C81" s="47">
        <f>C79-C80</f>
        <v>-9342.9202953649728</v>
      </c>
      <c r="D81" s="47">
        <f t="shared" ref="D81:L81" si="88">D79-D80</f>
        <v>-7661.194642199278</v>
      </c>
      <c r="E81" s="47">
        <f t="shared" si="88"/>
        <v>-5979.4689890335831</v>
      </c>
      <c r="F81" s="47">
        <f t="shared" si="88"/>
        <v>-4600.4539534377127</v>
      </c>
      <c r="G81" s="47">
        <f t="shared" si="88"/>
        <v>-3524.1495354116682</v>
      </c>
      <c r="H81" s="47">
        <f t="shared" si="88"/>
        <v>-2696.0678237928801</v>
      </c>
      <c r="I81" s="47">
        <f t="shared" si="88"/>
        <v>-2061.7209074187799</v>
      </c>
      <c r="J81" s="47">
        <f t="shared" si="88"/>
        <v>-1576.4286991360614</v>
      </c>
      <c r="K81" s="47">
        <f t="shared" si="88"/>
        <v>-1205.3189358006807</v>
      </c>
      <c r="L81" s="47">
        <f t="shared" si="88"/>
        <v>-921.56176995618989</v>
      </c>
    </row>
    <row r="82" spans="1:12" x14ac:dyDescent="0.45">
      <c r="B82" t="s">
        <v>100</v>
      </c>
      <c r="C82" s="47">
        <f>C81+F72</f>
        <v>13868.459704635028</v>
      </c>
      <c r="D82" s="47">
        <f>C82+C81</f>
        <v>4525.5394092700553</v>
      </c>
      <c r="E82" s="47">
        <f t="shared" ref="E82:L82" si="89">D82+D81</f>
        <v>-3135.6552329292226</v>
      </c>
      <c r="F82" s="47">
        <f t="shared" si="89"/>
        <v>-9115.1242219628057</v>
      </c>
      <c r="G82" s="47">
        <f t="shared" si="89"/>
        <v>-13715.578175400518</v>
      </c>
      <c r="H82" s="47">
        <f t="shared" si="89"/>
        <v>-17239.727710812185</v>
      </c>
      <c r="I82" s="47">
        <f t="shared" si="89"/>
        <v>-19935.795534605066</v>
      </c>
      <c r="J82" s="47">
        <f t="shared" si="89"/>
        <v>-21997.516442023847</v>
      </c>
      <c r="K82" s="47">
        <f t="shared" si="89"/>
        <v>-23573.945141159908</v>
      </c>
      <c r="L82" s="47">
        <f t="shared" si="89"/>
        <v>-24779.26407696059</v>
      </c>
    </row>
    <row r="83" spans="1:12" x14ac:dyDescent="0.45">
      <c r="C83" s="47"/>
      <c r="D83" s="47"/>
      <c r="E83" s="47"/>
      <c r="F83" s="47"/>
      <c r="G83" s="47"/>
      <c r="H83" s="47"/>
      <c r="I83" s="47"/>
      <c r="J83" s="47"/>
      <c r="K83" s="47"/>
      <c r="L83" s="47"/>
    </row>
    <row r="84" spans="1:12" s="4" customFormat="1" x14ac:dyDescent="0.45">
      <c r="A84" s="6" t="s">
        <v>1</v>
      </c>
      <c r="B84" s="39" t="s">
        <v>102</v>
      </c>
      <c r="C84" s="40"/>
      <c r="D84" s="40"/>
      <c r="E84" s="40"/>
      <c r="F84" s="40"/>
      <c r="G84" s="40"/>
      <c r="H84" s="40"/>
      <c r="I84" s="40"/>
      <c r="J84"/>
      <c r="K84"/>
    </row>
    <row r="85" spans="1:12" x14ac:dyDescent="0.45">
      <c r="B85" t="s">
        <v>103</v>
      </c>
      <c r="C85" s="47">
        <f>C7</f>
        <v>33498.14</v>
      </c>
      <c r="D85" s="47"/>
      <c r="E85" s="47"/>
      <c r="F85" s="47"/>
      <c r="G85" s="47"/>
      <c r="H85" s="47"/>
      <c r="I85" s="47"/>
      <c r="J85" s="47"/>
      <c r="K85" s="47"/>
      <c r="L85" s="47"/>
    </row>
    <row r="86" spans="1:12" x14ac:dyDescent="0.45">
      <c r="B86" t="s">
        <v>104</v>
      </c>
      <c r="C86" s="47">
        <f>I7</f>
        <v>63847.690617881621</v>
      </c>
      <c r="D86" s="47"/>
      <c r="E86" s="47"/>
      <c r="F86" s="47"/>
      <c r="G86" s="47"/>
      <c r="H86" s="47"/>
      <c r="I86" s="47"/>
      <c r="J86" s="47"/>
      <c r="K86" s="47"/>
      <c r="L86" s="47"/>
    </row>
    <row r="87" spans="1:12" x14ac:dyDescent="0.45">
      <c r="B87" t="s">
        <v>105</v>
      </c>
      <c r="C87" s="52">
        <v>4</v>
      </c>
      <c r="D87" s="47"/>
      <c r="E87" s="47"/>
      <c r="F87" s="47"/>
      <c r="G87" s="47"/>
      <c r="H87" s="47"/>
      <c r="I87" s="47"/>
      <c r="J87" s="47"/>
      <c r="K87" s="47"/>
      <c r="L87" s="47"/>
    </row>
    <row r="88" spans="1:12" x14ac:dyDescent="0.45">
      <c r="B88" s="34" t="s">
        <v>106</v>
      </c>
      <c r="C88" s="55">
        <f>(C86/C85)^(SUM(1-C87)-1)</f>
        <v>7.5770822170543761E-2</v>
      </c>
      <c r="D88" s="47"/>
      <c r="E88" s="47"/>
      <c r="F88" s="47"/>
      <c r="G88" s="47"/>
      <c r="H88" s="47"/>
      <c r="I88" s="47"/>
      <c r="J88" s="47"/>
      <c r="K88" s="47"/>
      <c r="L88" s="47"/>
    </row>
    <row r="89" spans="1:12" x14ac:dyDescent="0.45">
      <c r="B89" s="1"/>
      <c r="C89" s="56"/>
      <c r="D89" s="47"/>
      <c r="E89" s="47"/>
      <c r="F89" s="47"/>
      <c r="G89" s="47"/>
      <c r="H89" s="47"/>
      <c r="I89" s="47"/>
      <c r="J89" s="47"/>
      <c r="K89" s="47"/>
      <c r="L89" s="47"/>
    </row>
    <row r="90" spans="1:12" x14ac:dyDescent="0.45">
      <c r="B90" t="s">
        <v>108</v>
      </c>
      <c r="C90" s="52"/>
      <c r="D90" s="47"/>
      <c r="E90" s="47"/>
      <c r="F90" s="47"/>
      <c r="G90" s="47"/>
      <c r="H90" s="47"/>
      <c r="I90" s="47"/>
      <c r="J90" s="47"/>
      <c r="K90" s="47"/>
      <c r="L90" s="47"/>
    </row>
    <row r="91" spans="1:12" x14ac:dyDescent="0.45">
      <c r="B91" s="46" t="s">
        <v>107</v>
      </c>
      <c r="C91" s="57">
        <v>0.06</v>
      </c>
      <c r="D91" s="47"/>
      <c r="E91" s="47"/>
      <c r="F91" s="47"/>
      <c r="G91" s="47"/>
      <c r="H91" s="47"/>
      <c r="I91" s="47"/>
      <c r="J91" s="47"/>
      <c r="K91" s="47"/>
      <c r="L91" s="47"/>
    </row>
    <row r="92" spans="1:12" x14ac:dyDescent="0.45">
      <c r="B92" s="34"/>
      <c r="C92" s="55"/>
      <c r="D92" s="47"/>
      <c r="E92" s="47"/>
      <c r="F92" s="47"/>
      <c r="G92" s="47"/>
      <c r="H92" s="47"/>
      <c r="I92" s="47"/>
      <c r="J92" s="47"/>
      <c r="K92" s="47"/>
      <c r="L92" s="47"/>
    </row>
    <row r="93" spans="1:12" s="4" customFormat="1" x14ac:dyDescent="0.45">
      <c r="A93" s="6" t="s">
        <v>1</v>
      </c>
      <c r="B93" s="3" t="s">
        <v>79</v>
      </c>
      <c r="C93" s="2"/>
      <c r="D93" s="2"/>
      <c r="E93" s="2"/>
      <c r="F93" s="2"/>
      <c r="G93" s="2"/>
      <c r="H93" s="2"/>
      <c r="I93" s="2"/>
      <c r="J93"/>
      <c r="K93"/>
    </row>
    <row r="94" spans="1:12" x14ac:dyDescent="0.45">
      <c r="B94" t="s">
        <v>4</v>
      </c>
      <c r="C94" s="5">
        <f t="shared" ref="C94:I94" si="90">C11</f>
        <v>44276.32</v>
      </c>
      <c r="D94" s="5">
        <f t="shared" si="90"/>
        <v>50729.29</v>
      </c>
      <c r="E94" s="5">
        <f t="shared" si="90"/>
        <v>55100.460000000006</v>
      </c>
      <c r="F94" s="5">
        <f t="shared" si="90"/>
        <v>59095.909999999996</v>
      </c>
      <c r="G94" s="5">
        <f t="shared" si="90"/>
        <v>65965.322964760009</v>
      </c>
      <c r="H94" s="5">
        <f t="shared" si="90"/>
        <v>73492.233969376975</v>
      </c>
      <c r="I94" s="5">
        <f t="shared" si="90"/>
        <v>81741.728430437186</v>
      </c>
    </row>
    <row r="95" spans="1:12" x14ac:dyDescent="0.45">
      <c r="B95" s="41" t="s">
        <v>32</v>
      </c>
      <c r="C95" s="5">
        <f t="shared" ref="C95:I95" si="91">C15</f>
        <v>514.69000000000005</v>
      </c>
      <c r="D95" s="5">
        <f t="shared" si="91"/>
        <v>1075.5</v>
      </c>
      <c r="E95" s="5">
        <f t="shared" si="91"/>
        <v>847.59</v>
      </c>
      <c r="F95" s="5">
        <f t="shared" si="91"/>
        <v>1439.45</v>
      </c>
      <c r="G95" s="5">
        <f t="shared" si="91"/>
        <v>1610.8975028797443</v>
      </c>
      <c r="H95" s="5">
        <f t="shared" si="91"/>
        <v>1796.7023447561999</v>
      </c>
      <c r="I95" s="5">
        <f t="shared" si="91"/>
        <v>2000.3444514527955</v>
      </c>
    </row>
    <row r="96" spans="1:12" x14ac:dyDescent="0.45">
      <c r="B96" s="41" t="s">
        <v>18</v>
      </c>
      <c r="C96" s="5">
        <f t="shared" ref="C96:I96" si="92">C12</f>
        <v>141.43</v>
      </c>
      <c r="D96" s="5">
        <f t="shared" si="92"/>
        <v>127.35</v>
      </c>
      <c r="E96" s="5">
        <f t="shared" si="92"/>
        <v>172</v>
      </c>
      <c r="F96" s="5">
        <f t="shared" si="92"/>
        <v>238.47</v>
      </c>
      <c r="G96" s="5">
        <f t="shared" si="92"/>
        <v>238.5</v>
      </c>
      <c r="H96" s="5">
        <f t="shared" si="92"/>
        <v>238.5</v>
      </c>
      <c r="I96" s="5">
        <f t="shared" si="92"/>
        <v>238.5</v>
      </c>
    </row>
    <row r="97" spans="2:10" x14ac:dyDescent="0.45">
      <c r="B97" s="41" t="s">
        <v>80</v>
      </c>
      <c r="C97" s="5">
        <f t="shared" ref="C97:I98" si="93">D39-C39</f>
        <v>1423.1900000000005</v>
      </c>
      <c r="D97" s="5">
        <f t="shared" si="93"/>
        <v>953.92000000000007</v>
      </c>
      <c r="E97" s="5">
        <f t="shared" si="93"/>
        <v>-189.13999999999942</v>
      </c>
      <c r="F97" s="5">
        <f t="shared" si="93"/>
        <v>3128.6371019656617</v>
      </c>
      <c r="G97" s="5">
        <f t="shared" si="93"/>
        <v>1423.0500396359112</v>
      </c>
      <c r="H97" s="5">
        <f t="shared" si="93"/>
        <v>840.41788190370426</v>
      </c>
      <c r="I97" s="5">
        <f t="shared" si="93"/>
        <v>-16641.475023505278</v>
      </c>
    </row>
    <row r="98" spans="2:10" x14ac:dyDescent="0.45">
      <c r="B98" s="41" t="s">
        <v>10</v>
      </c>
      <c r="C98" s="5">
        <f t="shared" si="93"/>
        <v>-71.890000000001237</v>
      </c>
      <c r="D98" s="5">
        <f t="shared" si="93"/>
        <v>1587.92</v>
      </c>
      <c r="E98" s="5">
        <f t="shared" si="93"/>
        <v>-644.7599999999984</v>
      </c>
      <c r="F98" s="5">
        <f t="shared" si="93"/>
        <v>2822.1775600788824</v>
      </c>
      <c r="G98" s="5">
        <f t="shared" si="93"/>
        <v>-483.36610363258478</v>
      </c>
      <c r="H98" s="5">
        <f t="shared" si="93"/>
        <v>2471.9829824233366</v>
      </c>
      <c r="I98" s="5">
        <f t="shared" si="93"/>
        <v>-14679.084438869635</v>
      </c>
    </row>
    <row r="99" spans="2:10" x14ac:dyDescent="0.45">
      <c r="B99" s="41" t="s">
        <v>88</v>
      </c>
      <c r="C99" s="5">
        <f t="shared" ref="C99:I99" si="94">D36-C36</f>
        <v>-1853.739999999998</v>
      </c>
      <c r="D99" s="5">
        <f t="shared" si="94"/>
        <v>594.81999999999971</v>
      </c>
      <c r="E99" s="5">
        <f t="shared" si="94"/>
        <v>951.33999999999651</v>
      </c>
      <c r="F99" s="5">
        <f t="shared" si="94"/>
        <v>0</v>
      </c>
      <c r="G99" s="5">
        <f t="shared" si="94"/>
        <v>0</v>
      </c>
      <c r="H99" s="5">
        <f t="shared" si="94"/>
        <v>0</v>
      </c>
      <c r="I99" s="5">
        <f t="shared" si="94"/>
        <v>-10078.449999999997</v>
      </c>
    </row>
    <row r="100" spans="2:10" x14ac:dyDescent="0.45">
      <c r="B100" s="41" t="s">
        <v>89</v>
      </c>
      <c r="C100" s="5">
        <f t="shared" ref="C100:I100" si="95">D30-C30</f>
        <v>3183.5299999999988</v>
      </c>
      <c r="D100" s="5">
        <f t="shared" si="95"/>
        <v>-2643.739999999998</v>
      </c>
      <c r="E100" s="5">
        <f t="shared" si="95"/>
        <v>536.75</v>
      </c>
      <c r="F100" s="5">
        <f t="shared" si="95"/>
        <v>0</v>
      </c>
      <c r="G100" s="5">
        <f t="shared" si="95"/>
        <v>0</v>
      </c>
      <c r="H100" s="5">
        <f t="shared" si="95"/>
        <v>0</v>
      </c>
      <c r="I100" s="5">
        <f t="shared" si="95"/>
        <v>-18367.400000000001</v>
      </c>
    </row>
    <row r="101" spans="2:10" x14ac:dyDescent="0.45">
      <c r="B101" s="42" t="s">
        <v>81</v>
      </c>
      <c r="C101" s="29">
        <f>SUM(C94:C100)</f>
        <v>47613.530000000006</v>
      </c>
      <c r="D101" s="29">
        <f t="shared" ref="D101:I101" si="96">SUM(D94:D100)</f>
        <v>52425.06</v>
      </c>
      <c r="E101" s="29">
        <f t="shared" si="96"/>
        <v>56774.240000000005</v>
      </c>
      <c r="F101" s="29">
        <f t="shared" si="96"/>
        <v>66724.644662044535</v>
      </c>
      <c r="G101" s="29">
        <f t="shared" si="96"/>
        <v>68754.404403643086</v>
      </c>
      <c r="H101" s="29">
        <f t="shared" si="96"/>
        <v>78839.837178460206</v>
      </c>
      <c r="I101" s="29">
        <f t="shared" si="96"/>
        <v>24214.163419515069</v>
      </c>
      <c r="J101" s="5"/>
    </row>
    <row r="102" spans="2:10" x14ac:dyDescent="0.45">
      <c r="B102" s="63" t="s">
        <v>82</v>
      </c>
    </row>
    <row r="103" spans="2:10" x14ac:dyDescent="0.45">
      <c r="B103" s="41" t="s">
        <v>72</v>
      </c>
      <c r="C103" s="36">
        <f t="shared" ref="C103:I103" si="97">C63</f>
        <v>0</v>
      </c>
      <c r="D103" s="36">
        <f t="shared" si="97"/>
        <v>3255.92</v>
      </c>
      <c r="E103" s="36">
        <f t="shared" si="97"/>
        <v>3929.7099999999987</v>
      </c>
      <c r="F103" s="36">
        <f t="shared" si="97"/>
        <v>1702.5800000000022</v>
      </c>
      <c r="G103" s="36">
        <f t="shared" si="97"/>
        <v>2833.285620330068</v>
      </c>
      <c r="H103" s="36">
        <f t="shared" si="97"/>
        <v>2816.1450000000004</v>
      </c>
      <c r="I103" s="36">
        <f t="shared" si="97"/>
        <v>2816.1450000000004</v>
      </c>
    </row>
    <row r="104" spans="2:10" x14ac:dyDescent="0.45">
      <c r="B104" s="42" t="s">
        <v>83</v>
      </c>
      <c r="C104" s="44">
        <f>C103</f>
        <v>0</v>
      </c>
      <c r="D104" s="44">
        <f t="shared" ref="D104:I104" si="98">D103</f>
        <v>3255.92</v>
      </c>
      <c r="E104" s="44">
        <f t="shared" si="98"/>
        <v>3929.7099999999987</v>
      </c>
      <c r="F104" s="44">
        <f t="shared" si="98"/>
        <v>1702.5800000000022</v>
      </c>
      <c r="G104" s="44">
        <f t="shared" si="98"/>
        <v>2833.285620330068</v>
      </c>
      <c r="H104" s="44">
        <f t="shared" si="98"/>
        <v>2816.1450000000004</v>
      </c>
      <c r="I104" s="44">
        <f t="shared" si="98"/>
        <v>2816.1450000000004</v>
      </c>
    </row>
    <row r="105" spans="2:10" x14ac:dyDescent="0.45">
      <c r="B105" s="63" t="s">
        <v>84</v>
      </c>
    </row>
    <row r="106" spans="2:10" x14ac:dyDescent="0.45">
      <c r="B106" s="41" t="s">
        <v>68</v>
      </c>
      <c r="C106">
        <f t="shared" ref="C106:I106" si="99">C57</f>
        <v>0</v>
      </c>
      <c r="D106">
        <f t="shared" si="99"/>
        <v>-1586</v>
      </c>
      <c r="E106">
        <f t="shared" si="99"/>
        <v>-2169</v>
      </c>
      <c r="F106">
        <f t="shared" si="99"/>
        <v>-2520</v>
      </c>
      <c r="G106">
        <f t="shared" si="99"/>
        <v>-2901</v>
      </c>
      <c r="H106">
        <f t="shared" si="99"/>
        <v>-2901</v>
      </c>
      <c r="I106">
        <f t="shared" si="99"/>
        <v>-2901</v>
      </c>
    </row>
    <row r="107" spans="2:10" x14ac:dyDescent="0.45">
      <c r="B107" s="41" t="s">
        <v>85</v>
      </c>
      <c r="C107" s="5">
        <f t="shared" ref="C107:I107" si="100">C29</f>
        <v>3868.58</v>
      </c>
      <c r="D107" s="5">
        <f t="shared" si="100"/>
        <v>1290.3</v>
      </c>
      <c r="E107" s="5">
        <f t="shared" si="100"/>
        <v>6885.87</v>
      </c>
      <c r="F107" s="5">
        <f t="shared" si="100"/>
        <v>3273.67</v>
      </c>
      <c r="G107" s="5">
        <f t="shared" si="100"/>
        <v>3273.67</v>
      </c>
      <c r="H107" s="5">
        <f t="shared" si="100"/>
        <v>3273.67</v>
      </c>
      <c r="I107" s="5">
        <f t="shared" si="100"/>
        <v>3273.67</v>
      </c>
    </row>
    <row r="108" spans="2:10" x14ac:dyDescent="0.45">
      <c r="B108" s="42" t="s">
        <v>86</v>
      </c>
      <c r="C108" s="15">
        <f>SUM(C106:C107)</f>
        <v>3868.58</v>
      </c>
      <c r="D108" s="15">
        <f t="shared" ref="D108:I108" si="101">SUM(D106:D107)</f>
        <v>-295.70000000000005</v>
      </c>
      <c r="E108" s="15">
        <f t="shared" si="101"/>
        <v>4716.87</v>
      </c>
      <c r="F108" s="15">
        <f t="shared" si="101"/>
        <v>753.67000000000007</v>
      </c>
      <c r="G108" s="15">
        <f t="shared" si="101"/>
        <v>372.67000000000007</v>
      </c>
      <c r="H108" s="15">
        <f t="shared" si="101"/>
        <v>372.67000000000007</v>
      </c>
      <c r="I108" s="15">
        <f t="shared" si="101"/>
        <v>372.67000000000007</v>
      </c>
    </row>
    <row r="109" spans="2:10" ht="14.65" thickBot="1" x14ac:dyDescent="0.5">
      <c r="B109" s="43" t="s">
        <v>87</v>
      </c>
      <c r="C109" s="45">
        <f>SUM(C101+C104+C108)</f>
        <v>51482.110000000008</v>
      </c>
      <c r="D109" s="45">
        <f t="shared" ref="D109:I109" si="102">SUM(D101+D104+D108)</f>
        <v>55385.279999999999</v>
      </c>
      <c r="E109" s="45">
        <f t="shared" si="102"/>
        <v>65420.820000000007</v>
      </c>
      <c r="F109" s="45">
        <f t="shared" si="102"/>
        <v>69180.894662044535</v>
      </c>
      <c r="G109" s="45">
        <f t="shared" si="102"/>
        <v>71960.360023973146</v>
      </c>
      <c r="H109" s="45">
        <f t="shared" si="102"/>
        <v>82028.652178460208</v>
      </c>
      <c r="I109" s="45">
        <f t="shared" si="102"/>
        <v>27402.978419515071</v>
      </c>
    </row>
    <row r="110" spans="2:10" ht="14.65" thickTop="1" x14ac:dyDescent="0.45"/>
  </sheetData>
  <pageMargins left="0.7" right="0.7" top="0.75" bottom="0.75" header="0.3" footer="0.3"/>
  <pageSetup paperSize="9" scale="8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78AA5-3A47-4FA1-B10C-211DC0E65E85}">
  <dimension ref="B3:Q41"/>
  <sheetViews>
    <sheetView workbookViewId="0">
      <selection activeCell="D25" sqref="D25"/>
    </sheetView>
  </sheetViews>
  <sheetFormatPr defaultRowHeight="14.25" x14ac:dyDescent="0.45"/>
  <cols>
    <col min="2" max="2" width="36.46484375" customWidth="1"/>
    <col min="8" max="8" width="22" customWidth="1"/>
    <col min="9" max="9" width="12.73046875" customWidth="1"/>
    <col min="10" max="10" width="11.46484375" customWidth="1"/>
    <col min="11" max="11" width="12.46484375" customWidth="1"/>
    <col min="12" max="12" width="14.19921875" customWidth="1"/>
  </cols>
  <sheetData>
    <row r="3" spans="2:17" x14ac:dyDescent="0.45">
      <c r="B3" s="7" t="s">
        <v>6</v>
      </c>
      <c r="C3" s="8"/>
      <c r="D3" s="8"/>
      <c r="E3" s="8"/>
      <c r="F3" s="8"/>
      <c r="G3" s="8"/>
      <c r="H3" s="7" t="s">
        <v>35</v>
      </c>
      <c r="I3" s="8"/>
      <c r="J3" s="8"/>
      <c r="K3" s="8"/>
      <c r="L3" s="8"/>
    </row>
    <row r="4" spans="2:17" x14ac:dyDescent="0.45">
      <c r="B4" s="9" t="s">
        <v>7</v>
      </c>
      <c r="C4" s="10">
        <v>44286</v>
      </c>
      <c r="D4" s="10">
        <v>44651</v>
      </c>
      <c r="E4" s="10">
        <v>45016</v>
      </c>
      <c r="F4" s="10">
        <v>45382</v>
      </c>
      <c r="G4" s="10"/>
      <c r="H4" s="9" t="s">
        <v>7</v>
      </c>
      <c r="I4" s="10">
        <v>44286</v>
      </c>
      <c r="J4" s="10">
        <v>44651</v>
      </c>
      <c r="K4" s="10">
        <v>45016</v>
      </c>
      <c r="L4" s="10">
        <v>45382</v>
      </c>
    </row>
    <row r="5" spans="2:17" x14ac:dyDescent="0.45">
      <c r="B5" s="11" t="s">
        <v>8</v>
      </c>
      <c r="C5">
        <v>33498.14</v>
      </c>
      <c r="D5">
        <v>38654.49</v>
      </c>
      <c r="E5">
        <v>43885.68</v>
      </c>
      <c r="F5">
        <v>48496.85</v>
      </c>
      <c r="H5" s="11" t="s">
        <v>36</v>
      </c>
      <c r="I5">
        <v>239.93</v>
      </c>
      <c r="J5">
        <v>239.93</v>
      </c>
      <c r="K5">
        <v>239.93</v>
      </c>
      <c r="L5">
        <v>239.93</v>
      </c>
    </row>
    <row r="6" spans="2:17" x14ac:dyDescent="0.45">
      <c r="B6" s="8" t="s">
        <v>9</v>
      </c>
      <c r="C6">
        <v>9328.2999999999993</v>
      </c>
      <c r="D6">
        <v>10459.15</v>
      </c>
      <c r="E6">
        <v>11349.07</v>
      </c>
      <c r="F6">
        <v>10370.48</v>
      </c>
      <c r="H6" s="11" t="s">
        <v>37</v>
      </c>
      <c r="I6">
        <v>46222.85</v>
      </c>
      <c r="J6">
        <v>47771.29</v>
      </c>
      <c r="K6">
        <v>55755.45</v>
      </c>
      <c r="L6">
        <v>63426.82</v>
      </c>
    </row>
    <row r="7" spans="2:17" x14ac:dyDescent="0.45">
      <c r="B7" s="8" t="s">
        <v>10</v>
      </c>
      <c r="C7">
        <v>638.22</v>
      </c>
      <c r="D7">
        <v>107.61</v>
      </c>
      <c r="E7">
        <v>686.91</v>
      </c>
      <c r="F7">
        <v>-292.13</v>
      </c>
      <c r="H7" s="11" t="s">
        <v>38</v>
      </c>
      <c r="I7">
        <v>3868.58</v>
      </c>
      <c r="J7">
        <v>1290.3</v>
      </c>
      <c r="K7">
        <v>6885.87</v>
      </c>
      <c r="L7">
        <v>3273.67</v>
      </c>
    </row>
    <row r="8" spans="2:17" x14ac:dyDescent="0.45">
      <c r="B8" s="8" t="s">
        <v>11</v>
      </c>
      <c r="C8">
        <v>627.09</v>
      </c>
      <c r="D8">
        <v>702.78</v>
      </c>
      <c r="E8">
        <v>830.05</v>
      </c>
      <c r="F8">
        <v>760.78</v>
      </c>
      <c r="H8" s="11" t="s">
        <v>39</v>
      </c>
      <c r="I8">
        <v>17290.86</v>
      </c>
      <c r="J8">
        <v>20474.39</v>
      </c>
      <c r="K8">
        <v>17830.650000000001</v>
      </c>
      <c r="L8">
        <v>18367.400000000001</v>
      </c>
    </row>
    <row r="9" spans="2:17" x14ac:dyDescent="0.45">
      <c r="B9" s="8" t="s">
        <v>12</v>
      </c>
      <c r="C9">
        <v>1723.78</v>
      </c>
      <c r="D9">
        <v>1880.71</v>
      </c>
      <c r="E9">
        <v>1936.77</v>
      </c>
      <c r="F9">
        <v>2186.62</v>
      </c>
      <c r="H9" s="7" t="s">
        <v>40</v>
      </c>
      <c r="I9">
        <v>67622.22</v>
      </c>
      <c r="J9">
        <v>69775.91</v>
      </c>
      <c r="K9">
        <v>80711.899999999994</v>
      </c>
      <c r="L9">
        <v>85307.82</v>
      </c>
    </row>
    <row r="10" spans="2:17" x14ac:dyDescent="0.45">
      <c r="B10" s="8" t="s">
        <v>13</v>
      </c>
      <c r="C10">
        <v>6862.23</v>
      </c>
      <c r="D10">
        <v>7300.83</v>
      </c>
      <c r="E10">
        <v>8296.0300000000007</v>
      </c>
      <c r="F10">
        <v>9429.06</v>
      </c>
      <c r="H10" s="11" t="s">
        <v>41</v>
      </c>
      <c r="I10">
        <v>21552.98</v>
      </c>
      <c r="J10">
        <v>22665.16</v>
      </c>
      <c r="K10">
        <v>24065.439999999999</v>
      </c>
      <c r="L10">
        <v>23211.38</v>
      </c>
    </row>
    <row r="11" spans="2:17" x14ac:dyDescent="0.45">
      <c r="B11" s="8" t="s">
        <v>14</v>
      </c>
      <c r="C11">
        <v>6283.41</v>
      </c>
      <c r="D11">
        <v>7366.88</v>
      </c>
      <c r="E11">
        <v>9482.36</v>
      </c>
      <c r="F11">
        <v>11033.19</v>
      </c>
      <c r="H11" s="11" t="s">
        <v>42</v>
      </c>
      <c r="I11">
        <v>1566.83</v>
      </c>
      <c r="J11">
        <v>1286.8</v>
      </c>
      <c r="K11">
        <v>4973.16</v>
      </c>
      <c r="L11">
        <v>5353.88</v>
      </c>
    </row>
    <row r="12" spans="2:17" x14ac:dyDescent="0.45">
      <c r="B12" s="8" t="s">
        <v>15</v>
      </c>
      <c r="C12">
        <v>841.59</v>
      </c>
      <c r="D12">
        <v>794.18</v>
      </c>
      <c r="E12">
        <v>1027.8699999999999</v>
      </c>
      <c r="F12">
        <v>1406.82</v>
      </c>
      <c r="H12" s="11" t="s">
        <v>43</v>
      </c>
      <c r="I12">
        <v>9612.4500000000007</v>
      </c>
      <c r="J12">
        <v>12848.59</v>
      </c>
      <c r="K12">
        <v>14824.34</v>
      </c>
      <c r="L12">
        <v>15025.77</v>
      </c>
      <c r="N12" t="s">
        <v>54</v>
      </c>
    </row>
    <row r="13" spans="2:17" x14ac:dyDescent="0.45">
      <c r="B13" s="11" t="s">
        <v>16</v>
      </c>
      <c r="C13">
        <v>-3449.21</v>
      </c>
      <c r="D13">
        <v>-3505.16</v>
      </c>
      <c r="E13">
        <v>459.42</v>
      </c>
      <c r="F13">
        <v>865.23</v>
      </c>
      <c r="H13" s="11" t="s">
        <v>44</v>
      </c>
      <c r="I13">
        <v>34889.96</v>
      </c>
      <c r="J13">
        <v>32975.360000000001</v>
      </c>
      <c r="K13">
        <v>36848.959999999999</v>
      </c>
      <c r="L13">
        <v>41716.79</v>
      </c>
      <c r="N13">
        <f>I13-SUM(I15:I17)</f>
        <v>10386.029999999999</v>
      </c>
      <c r="O13">
        <f t="shared" ref="O13:P13" si="0">J13-SUM(J15:J17)</f>
        <v>8532.2900000000009</v>
      </c>
      <c r="P13">
        <f t="shared" si="0"/>
        <v>9127.11</v>
      </c>
      <c r="Q13">
        <f t="shared" ref="Q13" si="1">L13-SUM(L15:L17)</f>
        <v>10078.449999999997</v>
      </c>
    </row>
    <row r="14" spans="2:17" x14ac:dyDescent="0.45">
      <c r="B14" s="11" t="s">
        <v>17</v>
      </c>
      <c r="C14">
        <v>2079.9499999999998</v>
      </c>
      <c r="D14">
        <v>2143.7399999999998</v>
      </c>
      <c r="E14">
        <v>2529.4299999999998</v>
      </c>
      <c r="F14">
        <v>2556.64</v>
      </c>
      <c r="H14" s="7" t="s">
        <v>40</v>
      </c>
      <c r="I14">
        <v>67622.22</v>
      </c>
      <c r="J14">
        <v>69775.91</v>
      </c>
      <c r="K14">
        <v>80711.899999999994</v>
      </c>
      <c r="L14">
        <v>85307.82</v>
      </c>
    </row>
    <row r="15" spans="2:17" x14ac:dyDescent="0.45">
      <c r="B15" s="11" t="s">
        <v>18</v>
      </c>
      <c r="C15">
        <v>141.43</v>
      </c>
      <c r="D15">
        <v>127.35</v>
      </c>
      <c r="E15">
        <v>172</v>
      </c>
      <c r="F15">
        <v>238.47</v>
      </c>
      <c r="H15" s="11" t="s">
        <v>45</v>
      </c>
      <c r="I15">
        <v>9061.4</v>
      </c>
      <c r="J15">
        <v>10484.59</v>
      </c>
      <c r="K15">
        <v>11438.51</v>
      </c>
      <c r="L15">
        <v>11249.37</v>
      </c>
    </row>
    <row r="16" spans="2:17" x14ac:dyDescent="0.45">
      <c r="B16" s="11" t="s">
        <v>19</v>
      </c>
      <c r="C16">
        <v>2799.37</v>
      </c>
      <c r="D16">
        <v>4481.32</v>
      </c>
      <c r="E16">
        <v>9408.43</v>
      </c>
      <c r="F16">
        <v>11087.89</v>
      </c>
      <c r="H16" s="11" t="s">
        <v>46</v>
      </c>
      <c r="I16">
        <v>8997.02</v>
      </c>
      <c r="J16">
        <v>8925.1299999999992</v>
      </c>
      <c r="K16">
        <v>10513.05</v>
      </c>
      <c r="L16">
        <v>9868.2900000000009</v>
      </c>
    </row>
    <row r="17" spans="2:12" x14ac:dyDescent="0.45">
      <c r="B17" s="11" t="s">
        <v>20</v>
      </c>
      <c r="C17">
        <v>514.69000000000005</v>
      </c>
      <c r="D17">
        <v>1075.5</v>
      </c>
      <c r="E17">
        <v>847.59</v>
      </c>
      <c r="F17">
        <v>1439.45</v>
      </c>
      <c r="H17" s="8" t="s">
        <v>47</v>
      </c>
      <c r="I17">
        <v>6445.51</v>
      </c>
      <c r="J17">
        <v>5033.3500000000004</v>
      </c>
      <c r="K17">
        <v>5770.29</v>
      </c>
      <c r="L17">
        <v>10520.68</v>
      </c>
    </row>
    <row r="18" spans="2:12" x14ac:dyDescent="0.45">
      <c r="B18" s="11" t="s">
        <v>21</v>
      </c>
      <c r="C18">
        <v>2903.82</v>
      </c>
      <c r="D18">
        <v>3272.73</v>
      </c>
      <c r="E18">
        <v>8473.58</v>
      </c>
      <c r="F18">
        <v>9576.3799999999992</v>
      </c>
      <c r="H18" s="8" t="s">
        <v>48</v>
      </c>
      <c r="I18">
        <v>2399334970</v>
      </c>
      <c r="J18">
        <v>2399334970</v>
      </c>
      <c r="K18">
        <v>2399334970</v>
      </c>
      <c r="L18">
        <v>2399334970</v>
      </c>
    </row>
    <row r="19" spans="2:12" x14ac:dyDescent="0.45">
      <c r="B19" s="11" t="s">
        <v>22</v>
      </c>
      <c r="C19">
        <v>1799.48</v>
      </c>
      <c r="D19">
        <v>2399.3000000000002</v>
      </c>
      <c r="E19">
        <v>2759.2</v>
      </c>
      <c r="F19">
        <v>3239.06</v>
      </c>
    </row>
    <row r="21" spans="2:12" x14ac:dyDescent="0.45">
      <c r="H21" t="s">
        <v>36</v>
      </c>
      <c r="I21">
        <v>239.93</v>
      </c>
      <c r="J21">
        <v>239.93</v>
      </c>
      <c r="K21">
        <v>239.93</v>
      </c>
      <c r="L21">
        <v>239.93</v>
      </c>
    </row>
    <row r="22" spans="2:12" x14ac:dyDescent="0.45">
      <c r="H22" t="s">
        <v>37</v>
      </c>
      <c r="I22">
        <v>46222.85</v>
      </c>
      <c r="J22">
        <v>47771.29</v>
      </c>
      <c r="K22">
        <v>55755.45</v>
      </c>
      <c r="L22">
        <v>63426.82</v>
      </c>
    </row>
    <row r="23" spans="2:12" x14ac:dyDescent="0.45">
      <c r="H23" t="s">
        <v>38</v>
      </c>
      <c r="I23">
        <v>3868.58</v>
      </c>
      <c r="J23">
        <v>1290.3</v>
      </c>
      <c r="K23">
        <v>6885.87</v>
      </c>
      <c r="L23">
        <v>3273.67</v>
      </c>
    </row>
    <row r="24" spans="2:12" x14ac:dyDescent="0.45">
      <c r="B24" t="s">
        <v>2</v>
      </c>
      <c r="C24">
        <v>33498.14</v>
      </c>
      <c r="D24">
        <v>38654.49</v>
      </c>
      <c r="E24">
        <v>43885.68</v>
      </c>
      <c r="F24">
        <v>48496.85</v>
      </c>
      <c r="H24" t="s">
        <v>39</v>
      </c>
      <c r="I24">
        <v>17290.86</v>
      </c>
      <c r="J24">
        <v>20474.39</v>
      </c>
      <c r="K24">
        <v>17830.650000000001</v>
      </c>
      <c r="L24">
        <v>18367.400000000001</v>
      </c>
    </row>
    <row r="25" spans="2:12" x14ac:dyDescent="0.45">
      <c r="B25" t="s">
        <v>23</v>
      </c>
      <c r="C25">
        <f>IFERROR(SUM(C6,C8:C10)-1*C7,0)</f>
        <v>17903.18</v>
      </c>
      <c r="D25">
        <f t="shared" ref="D25:F25" si="2">IFERROR(SUM(D6,D8:D10)-1*D7,0)</f>
        <v>20235.86</v>
      </c>
      <c r="E25">
        <f t="shared" si="2"/>
        <v>21725.01</v>
      </c>
      <c r="F25">
        <f t="shared" si="2"/>
        <v>23039.070000000003</v>
      </c>
      <c r="H25" t="s">
        <v>40</v>
      </c>
      <c r="I25">
        <v>67622.22</v>
      </c>
      <c r="J25">
        <v>69775.91</v>
      </c>
      <c r="K25">
        <v>80711.899999999994</v>
      </c>
      <c r="L25">
        <v>85307.82</v>
      </c>
    </row>
    <row r="26" spans="2:12" x14ac:dyDescent="0.45">
      <c r="B26" s="1" t="s">
        <v>3</v>
      </c>
      <c r="C26">
        <f>C24+C25</f>
        <v>51401.32</v>
      </c>
      <c r="D26">
        <f t="shared" ref="D26:F26" si="3">D24+D25</f>
        <v>58890.35</v>
      </c>
      <c r="E26">
        <f t="shared" si="3"/>
        <v>65610.69</v>
      </c>
      <c r="F26">
        <f t="shared" si="3"/>
        <v>71535.92</v>
      </c>
    </row>
    <row r="27" spans="2:12" x14ac:dyDescent="0.45">
      <c r="B27" t="s">
        <v>24</v>
      </c>
      <c r="C27">
        <f>C11+C12</f>
        <v>7125</v>
      </c>
      <c r="D27">
        <f t="shared" ref="D27:F27" si="4">D11+D12</f>
        <v>8161.06</v>
      </c>
      <c r="E27">
        <f t="shared" si="4"/>
        <v>10510.23</v>
      </c>
      <c r="F27">
        <f t="shared" si="4"/>
        <v>12440.01</v>
      </c>
      <c r="H27" t="s">
        <v>41</v>
      </c>
      <c r="I27">
        <v>21552.98</v>
      </c>
      <c r="J27">
        <v>22665.16</v>
      </c>
      <c r="K27">
        <v>24065.439999999999</v>
      </c>
      <c r="L27">
        <v>23211.38</v>
      </c>
    </row>
    <row r="28" spans="2:12" x14ac:dyDescent="0.45">
      <c r="B28" t="s">
        <v>4</v>
      </c>
      <c r="C28">
        <f>C26-C27</f>
        <v>44276.32</v>
      </c>
      <c r="D28">
        <f t="shared" ref="D28:F28" si="5">D26-D27</f>
        <v>50729.29</v>
      </c>
      <c r="E28">
        <f t="shared" si="5"/>
        <v>55100.460000000006</v>
      </c>
      <c r="F28">
        <f t="shared" si="5"/>
        <v>59095.909999999996</v>
      </c>
      <c r="H28" t="s">
        <v>42</v>
      </c>
      <c r="I28">
        <v>1566.83</v>
      </c>
      <c r="J28">
        <v>1286.8</v>
      </c>
      <c r="K28">
        <v>4973.16</v>
      </c>
      <c r="L28">
        <v>5353.88</v>
      </c>
    </row>
    <row r="29" spans="2:12" x14ac:dyDescent="0.45">
      <c r="B29" t="s">
        <v>18</v>
      </c>
      <c r="C29">
        <v>141.43</v>
      </c>
      <c r="D29">
        <v>127.35</v>
      </c>
      <c r="E29">
        <v>172</v>
      </c>
      <c r="F29">
        <v>238.47</v>
      </c>
      <c r="H29" t="s">
        <v>43</v>
      </c>
      <c r="I29">
        <v>9612.4500000000007</v>
      </c>
      <c r="J29">
        <v>12848.59</v>
      </c>
      <c r="K29">
        <v>14824.34</v>
      </c>
      <c r="L29">
        <v>15025.77</v>
      </c>
    </row>
    <row r="30" spans="2:12" x14ac:dyDescent="0.45">
      <c r="B30" t="s">
        <v>17</v>
      </c>
      <c r="C30">
        <v>2079.9499999999998</v>
      </c>
      <c r="D30">
        <v>2143.7399999999998</v>
      </c>
      <c r="E30">
        <v>2529.4299999999998</v>
      </c>
      <c r="F30">
        <v>2556.64</v>
      </c>
      <c r="H30" t="s">
        <v>44</v>
      </c>
      <c r="I30">
        <v>34889.96</v>
      </c>
      <c r="J30">
        <v>32975.360000000001</v>
      </c>
      <c r="K30">
        <v>36848.959999999999</v>
      </c>
      <c r="L30">
        <v>41716.79</v>
      </c>
    </row>
    <row r="31" spans="2:12" x14ac:dyDescent="0.45">
      <c r="B31" t="s">
        <v>25</v>
      </c>
      <c r="C31">
        <f>IFERROR(C28-SUM(C30+C29),0)</f>
        <v>42054.94</v>
      </c>
      <c r="D31">
        <f t="shared" ref="D31:F31" si="6">IFERROR(D28-SUM(D30+D29),0)</f>
        <v>48458.200000000004</v>
      </c>
      <c r="E31">
        <f t="shared" si="6"/>
        <v>52399.030000000006</v>
      </c>
      <c r="F31">
        <f t="shared" si="6"/>
        <v>56300.799999999996</v>
      </c>
      <c r="H31" t="s">
        <v>40</v>
      </c>
      <c r="I31">
        <v>67622.22</v>
      </c>
      <c r="J31">
        <v>69775.91</v>
      </c>
      <c r="K31">
        <v>80711.899999999994</v>
      </c>
      <c r="L31">
        <v>85307.82</v>
      </c>
    </row>
    <row r="32" spans="2:12" x14ac:dyDescent="0.45">
      <c r="B32" t="s">
        <v>20</v>
      </c>
      <c r="C32">
        <v>514.69000000000005</v>
      </c>
      <c r="D32">
        <v>1075.5</v>
      </c>
      <c r="E32">
        <v>847.59</v>
      </c>
      <c r="F32">
        <v>1439.45</v>
      </c>
    </row>
    <row r="33" spans="2:12" x14ac:dyDescent="0.45">
      <c r="B33" t="s">
        <v>26</v>
      </c>
      <c r="C33">
        <f>C31-C32</f>
        <v>41540.25</v>
      </c>
      <c r="D33">
        <f t="shared" ref="D33:F33" si="7">D31-D32</f>
        <v>47382.700000000004</v>
      </c>
      <c r="E33">
        <f t="shared" si="7"/>
        <v>51551.44000000001</v>
      </c>
      <c r="F33">
        <f t="shared" si="7"/>
        <v>54861.35</v>
      </c>
      <c r="H33" t="s">
        <v>61</v>
      </c>
      <c r="I33">
        <v>17599.099999999999</v>
      </c>
      <c r="J33">
        <v>12500.970000000001</v>
      </c>
      <c r="K33">
        <v>19018.309999999998</v>
      </c>
      <c r="L33">
        <v>23349.39</v>
      </c>
    </row>
    <row r="34" spans="2:12" x14ac:dyDescent="0.45">
      <c r="H34" t="s">
        <v>62</v>
      </c>
      <c r="I34">
        <v>9061.4</v>
      </c>
      <c r="J34">
        <v>10484.59</v>
      </c>
      <c r="K34">
        <v>11438.51</v>
      </c>
      <c r="L34">
        <v>11249.37</v>
      </c>
    </row>
    <row r="35" spans="2:12" x14ac:dyDescent="0.45">
      <c r="H35" t="s">
        <v>46</v>
      </c>
      <c r="I35">
        <v>8997.02</v>
      </c>
      <c r="J35">
        <v>8925.1299999999992</v>
      </c>
      <c r="K35">
        <v>10513.05</v>
      </c>
      <c r="L35">
        <v>9868.2900000000009</v>
      </c>
    </row>
    <row r="37" spans="2:12" x14ac:dyDescent="0.45">
      <c r="H37" t="s">
        <v>63</v>
      </c>
      <c r="I37">
        <v>98.734168523983726</v>
      </c>
      <c r="J37">
        <v>99.002091348249579</v>
      </c>
      <c r="K37">
        <v>95.134817325378123</v>
      </c>
      <c r="L37">
        <v>84.665706123181209</v>
      </c>
    </row>
    <row r="38" spans="2:12" x14ac:dyDescent="0.45">
      <c r="H38" t="s">
        <v>64</v>
      </c>
      <c r="I38">
        <v>3.723248364458454</v>
      </c>
      <c r="J38">
        <v>4.3309722099285954</v>
      </c>
      <c r="K38">
        <v>4.1744003880890892</v>
      </c>
      <c r="L38">
        <v>4.9144127300677214</v>
      </c>
    </row>
    <row r="40" spans="2:12" x14ac:dyDescent="0.45">
      <c r="H40" t="s">
        <v>65</v>
      </c>
      <c r="I40">
        <v>6.2497767029867785E-2</v>
      </c>
      <c r="J40">
        <v>6.8165941211241865E-2</v>
      </c>
      <c r="K40">
        <v>0.15132641300050112</v>
      </c>
      <c r="L40">
        <v>0.15041414867258027</v>
      </c>
    </row>
    <row r="41" spans="2:12" x14ac:dyDescent="0.45">
      <c r="H41" t="s">
        <v>66</v>
      </c>
      <c r="I41">
        <v>5.6602453510798553E-2</v>
      </c>
      <c r="J41">
        <v>9.2513033849869641E-2</v>
      </c>
      <c r="K41">
        <v>0.17080038226904187</v>
      </c>
      <c r="L41">
        <v>0.1744910537662934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N 5 E n W b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N 5 E n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e R J 1 k o i k e 4 D g A A A B E A A A A T A B w A R m 9 y b X V s Y X M v U 2 V j d G l v b j E u b S C i G A A o o B Q A A A A A A A A A A A A A A A A A A A A A A A A A A A A r T k 0 u y c z P U w i G 0 I b W A F B L A Q I t A B Q A A g A I A D e R J 1 m 7 Z 9 K P p A A A A P Y A A A A S A A A A A A A A A A A A A A A A A A A A A A B D b 2 5 m a W c v U G F j a 2 F n Z S 5 4 b W x Q S w E C L Q A U A A I A C A A 3 k S d Z D 8 r p q 6 Q A A A D p A A A A E w A A A A A A A A A A A A A A A A D w A A A A W 0 N v b n R l b n R f V H l w Z X N d L n h t b F B L A Q I t A B Q A A g A I A D e R J 1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x v H r C 5 + E I R I / 6 y J + a r J n R A A A A A A I A A A A A A B B m A A A A A Q A A I A A A A G 5 q m r e V h Q L W L 3 M m 5 F S D + 5 K S + Y V O I + S j Y y / X j M s J 8 h a g A A A A A A 6 A A A A A A g A A I A A A A C G R Y s q m s U w s y J g m Z H V C D L / 6 K l x P N + J y K t W N / s U Y 2 v w F U A A A A J h K C k I 0 G s n g F 6 w U 0 U J m D J Y C 2 P d x 5 Y V a m W p n q B S 2 F F C T c N H 0 O 3 9 S B 7 i 4 S R 5 u 2 H l n s G i e x l W g A L 0 k Y R l P 9 i Z I C I Q i n X e C I 4 D H Y k C 6 q 3 0 B q L R k Q A A A A B M N A k b c V Z 4 L h b I P i 0 P T v c f g R u g F h t W O i y 2 4 h x E C d Q i v l L d 6 U B n d d Q j D R c q H + O + g h G a S y B Y V H U a 4 t c 6 l K Z j 3 0 j c = < / D a t a M a s h u p > 
</file>

<file path=customXml/itemProps1.xml><?xml version="1.0" encoding="utf-8"?>
<ds:datastoreItem xmlns:ds="http://schemas.openxmlformats.org/officeDocument/2006/customXml" ds:itemID="{0BC8228F-953A-486B-B661-EE84D277E8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Fianancial statement</vt:lpstr>
      <vt:lpstr>Data Souce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vikshita mali</dc:creator>
  <cp:lastModifiedBy>vikshita mali</cp:lastModifiedBy>
  <cp:lastPrinted>2024-10-26T16:01:23Z</cp:lastPrinted>
  <dcterms:created xsi:type="dcterms:W3CDTF">2024-09-07T07:32:52Z</dcterms:created>
  <dcterms:modified xsi:type="dcterms:W3CDTF">2024-10-27T10:21:26Z</dcterms:modified>
</cp:coreProperties>
</file>