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332" documentId="8_{61139F90-97EF-4CD3-B142-143AE92128F6}" xr6:coauthVersionLast="47" xr6:coauthVersionMax="47" xr10:uidLastSave="{7C984A87-E154-4785-B8C6-561DBF111D2A}"/>
  <bookViews>
    <workbookView xWindow="-98" yWindow="-98" windowWidth="21795" windowHeight="12975" xr2:uid="{F5D346EE-BF6A-4CB8-B40A-D73A66AD61BC}"/>
  </bookViews>
  <sheets>
    <sheet name="Comparative Analysis" sheetId="3" r:id="rId1"/>
    <sheet name="Comps Value" sheetId="1" r:id="rId2"/>
    <sheet name="Beta Comp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5" i="3"/>
  <c r="D6" i="3"/>
  <c r="D7" i="3"/>
  <c r="D8" i="3"/>
  <c r="D9" i="3"/>
  <c r="D10" i="3"/>
  <c r="D11" i="3"/>
  <c r="D5" i="3"/>
  <c r="C6" i="3"/>
  <c r="C7" i="3"/>
  <c r="C8" i="3"/>
  <c r="C9" i="3"/>
  <c r="C10" i="3"/>
  <c r="C11" i="3"/>
  <c r="C5" i="3"/>
  <c r="D32" i="2"/>
  <c r="D31" i="2"/>
  <c r="D30" i="2"/>
  <c r="D29" i="2"/>
  <c r="D28" i="2"/>
  <c r="D27" i="2"/>
  <c r="D26" i="2"/>
  <c r="F26" i="2"/>
  <c r="J26" i="2"/>
  <c r="H26" i="2"/>
  <c r="G26" i="2"/>
  <c r="E26" i="2"/>
  <c r="F28" i="2"/>
  <c r="F29" i="2"/>
  <c r="F30" i="2"/>
  <c r="F31" i="2"/>
  <c r="F32" i="2"/>
  <c r="F27" i="2"/>
  <c r="J32" i="2"/>
  <c r="J31" i="2"/>
  <c r="J30" i="2"/>
  <c r="J29" i="2"/>
  <c r="J28" i="2"/>
  <c r="J27" i="2"/>
  <c r="H32" i="2"/>
  <c r="H31" i="2"/>
  <c r="H30" i="2"/>
  <c r="H29" i="2"/>
  <c r="H28" i="2"/>
  <c r="H27" i="2"/>
  <c r="G32" i="2"/>
  <c r="G31" i="2"/>
  <c r="G30" i="2"/>
  <c r="G29" i="2"/>
  <c r="G28" i="2"/>
  <c r="G27" i="2"/>
  <c r="E32" i="2"/>
  <c r="E31" i="2"/>
  <c r="E30" i="2"/>
  <c r="E29" i="2"/>
  <c r="E28" i="2"/>
  <c r="E27" i="2"/>
  <c r="G9" i="1"/>
  <c r="Q28" i="1"/>
  <c r="P28" i="1"/>
  <c r="O28" i="1"/>
  <c r="Q26" i="1"/>
  <c r="P26" i="1"/>
  <c r="O26" i="1"/>
  <c r="P20" i="1"/>
  <c r="P19" i="1"/>
  <c r="P17" i="1"/>
  <c r="P14" i="1"/>
  <c r="M14" i="1"/>
  <c r="K14" i="1"/>
  <c r="H14" i="1"/>
  <c r="O14" i="1" s="1"/>
  <c r="G14" i="1"/>
  <c r="E14" i="1"/>
  <c r="F14" i="1" s="1"/>
  <c r="Q14" i="1" s="1"/>
  <c r="D14" i="1"/>
  <c r="B14" i="1"/>
  <c r="P13" i="1"/>
  <c r="M13" i="1"/>
  <c r="K13" i="1"/>
  <c r="H13" i="1"/>
  <c r="O13" i="1" s="1"/>
  <c r="G13" i="1"/>
  <c r="E13" i="1"/>
  <c r="F13" i="1" s="1"/>
  <c r="Q13" i="1" s="1"/>
  <c r="D13" i="1"/>
  <c r="B13" i="1"/>
  <c r="P12" i="1"/>
  <c r="O12" i="1"/>
  <c r="M12" i="1"/>
  <c r="L12" i="1"/>
  <c r="K12" i="1"/>
  <c r="H12" i="1"/>
  <c r="G12" i="1"/>
  <c r="E12" i="1"/>
  <c r="F12" i="1" s="1"/>
  <c r="Q12" i="1" s="1"/>
  <c r="D12" i="1"/>
  <c r="B12" i="1"/>
  <c r="P11" i="1"/>
  <c r="M11" i="1"/>
  <c r="K11" i="1"/>
  <c r="H11" i="1"/>
  <c r="L11" i="1" s="1"/>
  <c r="G11" i="1"/>
  <c r="F11" i="1"/>
  <c r="Q11" i="1" s="1"/>
  <c r="E11" i="1"/>
  <c r="D11" i="1"/>
  <c r="B11" i="1"/>
  <c r="P10" i="1"/>
  <c r="M10" i="1"/>
  <c r="K10" i="1"/>
  <c r="H10" i="1"/>
  <c r="L10" i="1" s="1"/>
  <c r="G10" i="1"/>
  <c r="E10" i="1"/>
  <c r="F10" i="1" s="1"/>
  <c r="Q10" i="1" s="1"/>
  <c r="D10" i="1"/>
  <c r="B10" i="1"/>
  <c r="P9" i="1"/>
  <c r="M9" i="1"/>
  <c r="K9" i="1"/>
  <c r="H9" i="1"/>
  <c r="O9" i="1" s="1"/>
  <c r="E9" i="1"/>
  <c r="F9" i="1" s="1"/>
  <c r="Q9" i="1" s="1"/>
  <c r="D9" i="1"/>
  <c r="B9" i="1"/>
  <c r="P8" i="1"/>
  <c r="P16" i="1" s="1"/>
  <c r="O8" i="1"/>
  <c r="M8" i="1"/>
  <c r="L8" i="1"/>
  <c r="K8" i="1"/>
  <c r="H8" i="1"/>
  <c r="G8" i="1"/>
  <c r="E8" i="1"/>
  <c r="F8" i="1" s="1"/>
  <c r="Q8" i="1" s="1"/>
  <c r="D8" i="1"/>
  <c r="B8" i="1"/>
  <c r="J21" i="2"/>
  <c r="G21" i="2"/>
  <c r="K21" i="2" s="1"/>
  <c r="J20" i="2"/>
  <c r="G20" i="2"/>
  <c r="K20" i="2" s="1"/>
  <c r="J19" i="2"/>
  <c r="G19" i="2"/>
  <c r="K19" i="2" s="1"/>
  <c r="J18" i="2"/>
  <c r="G18" i="2"/>
  <c r="K18" i="2" s="1"/>
  <c r="J17" i="2"/>
  <c r="G17" i="2"/>
  <c r="K17" i="2" s="1"/>
  <c r="J16" i="2"/>
  <c r="G16" i="2"/>
  <c r="K16" i="2" s="1"/>
  <c r="J15" i="2"/>
  <c r="G15" i="2"/>
  <c r="K15" i="2" s="1"/>
  <c r="P25" i="1" l="1"/>
  <c r="P27" i="1" s="1"/>
  <c r="P30" i="1" s="1"/>
  <c r="P32" i="1" s="1"/>
  <c r="Q16" i="1"/>
  <c r="Q21" i="1"/>
  <c r="Q20" i="1"/>
  <c r="Q19" i="1"/>
  <c r="Q27" i="1" s="1"/>
  <c r="Q18" i="1"/>
  <c r="Q17" i="1"/>
  <c r="P18" i="1"/>
  <c r="O11" i="1"/>
  <c r="O10" i="1"/>
  <c r="L14" i="1"/>
  <c r="L9" i="1"/>
  <c r="L13" i="1"/>
  <c r="P21" i="1"/>
  <c r="O16" i="1" l="1"/>
  <c r="Q25" i="1"/>
  <c r="Q30" i="1"/>
  <c r="Q32" i="1" s="1"/>
  <c r="O21" i="1"/>
  <c r="O18" i="1"/>
  <c r="O20" i="1"/>
  <c r="O19" i="1"/>
  <c r="O25" i="1" s="1"/>
  <c r="O27" i="1" s="1"/>
  <c r="O30" i="1" s="1"/>
  <c r="O32" i="1" s="1"/>
  <c r="O17" i="1"/>
</calcChain>
</file>

<file path=xl/sharedStrings.xml><?xml version="1.0" encoding="utf-8"?>
<sst xmlns="http://schemas.openxmlformats.org/spreadsheetml/2006/main" count="118" uniqueCount="83">
  <si>
    <t>S.No.</t>
  </si>
  <si>
    <t>Name</t>
  </si>
  <si>
    <t>CMP Rs.</t>
  </si>
  <si>
    <t xml:space="preserve">Mar Cap Rs.Cr. </t>
  </si>
  <si>
    <t>Debt Rs.Cr.</t>
  </si>
  <si>
    <t>Debt / Eq</t>
  </si>
  <si>
    <t>Sun Pharma.Inds.</t>
  </si>
  <si>
    <t>Divi's Lab.</t>
  </si>
  <si>
    <t>Cipla</t>
  </si>
  <si>
    <t>Torrent Pharma.</t>
  </si>
  <si>
    <t>Dr Reddy's Labs</t>
  </si>
  <si>
    <t>No. Eq. Shares Cr.</t>
  </si>
  <si>
    <t xml:space="preserve">Market Cap </t>
  </si>
  <si>
    <t>Cash End Rs.Cr.</t>
  </si>
  <si>
    <t>Net debt</t>
  </si>
  <si>
    <t>EV</t>
  </si>
  <si>
    <t>Sales Rs.Cr.</t>
  </si>
  <si>
    <t>EV / EBITDA</t>
  </si>
  <si>
    <t>NP 12M Rs.Cr.</t>
  </si>
  <si>
    <t>Mankind Pharma</t>
  </si>
  <si>
    <t>Zydus Lifesci.</t>
  </si>
  <si>
    <t>Lupin</t>
  </si>
  <si>
    <t>Aurobindo Pharma</t>
  </si>
  <si>
    <t>Amount in Crores</t>
  </si>
  <si>
    <t>Comparable Company Valuation</t>
  </si>
  <si>
    <t>Market Value</t>
  </si>
  <si>
    <t>Financials</t>
  </si>
  <si>
    <t>Valuation</t>
  </si>
  <si>
    <t>Company</t>
  </si>
  <si>
    <t>Ticker</t>
  </si>
  <si>
    <t>Share Price</t>
  </si>
  <si>
    <t>Share Outstanding</t>
  </si>
  <si>
    <t>Equity Value</t>
  </si>
  <si>
    <t>Net Debt</t>
  </si>
  <si>
    <t>Enterprise Value</t>
  </si>
  <si>
    <t>Revenue</t>
  </si>
  <si>
    <t>EBITDA</t>
  </si>
  <si>
    <t>Net Income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</si>
  <si>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</si>
  <si>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</si>
  <si>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</si>
  <si>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</si>
  <si>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</si>
  <si>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</si>
  <si>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</si>
  <si>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</si>
  <si>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</si>
  <si>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Sun Pharma. Inds. Comparble Valuation</t>
  </si>
  <si>
    <t xml:space="preserve"> </t>
  </si>
  <si>
    <t>Implied Enterprise Value</t>
  </si>
  <si>
    <t>Implied Market Value</t>
  </si>
  <si>
    <t>Shares Outstanding</t>
  </si>
  <si>
    <t>Implied Value Per Share</t>
  </si>
  <si>
    <t>P/E Ratio</t>
  </si>
  <si>
    <t>P/S Ratio</t>
  </si>
  <si>
    <t>Comparative Analysis</t>
  </si>
  <si>
    <t>Pipeline Strength</t>
  </si>
  <si>
    <t xml:space="preserve">    ROE (%)</t>
  </si>
  <si>
    <t>Pfizer</t>
  </si>
  <si>
    <t>Novartis</t>
  </si>
  <si>
    <t>Sun Pharmaceutical Industries</t>
  </si>
  <si>
    <t>Dr. Reddy’s Laboratories</t>
  </si>
  <si>
    <t>Strong (oncology, immunology, rare diseases)</t>
  </si>
  <si>
    <t>Strong (oncology, neuroscience, cardiology)</t>
  </si>
  <si>
    <t>Moderate (generics, formulations)</t>
  </si>
  <si>
    <t>Moderate (generics, biosimilars)</t>
  </si>
  <si>
    <t>Moderate (respiratory, HIV/AIDS, oncology)</t>
  </si>
  <si>
    <t>Moderate (cardiovascular, diabetes)</t>
  </si>
  <si>
    <t>Moderate (antibiotics, antiretrovirals)</t>
  </si>
  <si>
    <t xml:space="preserve">Market Value per Share </t>
  </si>
  <si>
    <t>Earnings per Share (EPS)</t>
  </si>
  <si>
    <t>Sales per Share</t>
  </si>
  <si>
    <t>Shareholder's Equity</t>
  </si>
  <si>
    <t>R&amp;D Expenses</t>
  </si>
  <si>
    <t>Total Revenue</t>
  </si>
  <si>
    <t>return on asset/leve</t>
  </si>
  <si>
    <t>Novartis India</t>
  </si>
  <si>
    <t>EV Rs.Cr.</t>
  </si>
  <si>
    <t>Mar Cap Rs.Cr.</t>
  </si>
  <si>
    <t>EPS 12M Rs.</t>
  </si>
  <si>
    <t>ROA 12M %</t>
  </si>
  <si>
    <t>Leverage Rs.</t>
  </si>
  <si>
    <t>R&amp;D Spending(%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</si>
</sst>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\x"/>
    <numFmt numFmtId="166" formatCode="#,##0.0;\(#,##0.0\)"/>
    <numFmt numFmtId="172" formatCode="0.0"/>
    <numFmt numFmtId="173" formatCode="0.00\x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/>
      <bottom style="hair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theme="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/>
      <top/>
      <bottom style="dotted">
        <color rgb="FF00206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 wrapText="1"/>
    </xf>
    <xf numFmtId="0" fontId="1" fillId="3" borderId="0" xfId="0" applyFont="1" applyFill="1"/>
    <xf numFmtId="0" fontId="1" fillId="3" borderId="0" xfId="0" applyFont="1" applyFill="1" applyAlignment="1">
      <alignment horizontal="right" wrapText="1"/>
    </xf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0" xfId="0" applyFill="1"/>
    <xf numFmtId="0" fontId="0" fillId="4" borderId="3" xfId="0" applyFill="1" applyBorder="1"/>
    <xf numFmtId="164" fontId="0" fillId="4" borderId="3" xfId="0" applyNumberFormat="1" applyFill="1" applyBorder="1"/>
    <xf numFmtId="2" fontId="0" fillId="4" borderId="3" xfId="0" applyNumberFormat="1" applyFill="1" applyBorder="1"/>
    <xf numFmtId="3" fontId="0" fillId="4" borderId="3" xfId="0" applyNumberFormat="1" applyFill="1" applyBorder="1"/>
    <xf numFmtId="0" fontId="0" fillId="4" borderId="3" xfId="0" applyFill="1" applyBorder="1" applyAlignment="1">
      <alignment wrapText="1"/>
    </xf>
    <xf numFmtId="165" fontId="0" fillId="4" borderId="3" xfId="0" applyNumberFormat="1" applyFill="1" applyBorder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3" fontId="0" fillId="0" borderId="3" xfId="0" applyNumberFormat="1" applyBorder="1"/>
    <xf numFmtId="0" fontId="0" fillId="0" borderId="3" xfId="0" applyBorder="1" applyAlignment="1">
      <alignment wrapText="1"/>
    </xf>
    <xf numFmtId="165" fontId="0" fillId="0" borderId="3" xfId="0" applyNumberFormat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165" fontId="2" fillId="4" borderId="3" xfId="0" applyNumberFormat="1" applyFont="1" applyFill="1" applyBorder="1"/>
    <xf numFmtId="0" fontId="1" fillId="2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2" fontId="0" fillId="0" borderId="4" xfId="0" applyNumberFormat="1" applyBorder="1"/>
    <xf numFmtId="2" fontId="0" fillId="0" borderId="0" xfId="0" applyNumberFormat="1"/>
    <xf numFmtId="0" fontId="2" fillId="4" borderId="5" xfId="0" applyFont="1" applyFill="1" applyBorder="1"/>
    <xf numFmtId="0" fontId="2" fillId="4" borderId="5" xfId="0" applyFont="1" applyFill="1" applyBorder="1" applyAlignment="1">
      <alignment wrapText="1"/>
    </xf>
    <xf numFmtId="166" fontId="2" fillId="4" borderId="5" xfId="0" applyNumberFormat="1" applyFont="1" applyFill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8" xfId="0" applyBorder="1" applyAlignment="1">
      <alignment horizontal="center" wrapText="1"/>
    </xf>
    <xf numFmtId="3" fontId="0" fillId="0" borderId="0" xfId="0" applyNumberFormat="1"/>
    <xf numFmtId="172" fontId="0" fillId="0" borderId="7" xfId="0" applyNumberFormat="1" applyBorder="1" applyAlignment="1">
      <alignment horizontal="right" vertical="center"/>
    </xf>
    <xf numFmtId="173" fontId="0" fillId="0" borderId="7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352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3f78c0013ef2bfa/final%20financial%20modelling.xlsx" TargetMode="External"/><Relationship Id="rId1" Type="http://schemas.openxmlformats.org/officeDocument/2006/relationships/externalLinkPath" Target="/03f78c0013ef2bfa/final%20financial%20mod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Data Sheet"/>
      <sheetName val="Cash Flow Data"/>
      <sheetName val="Historical Data"/>
      <sheetName val="Ratio Analysis"/>
      <sheetName val="Forecasting"/>
      <sheetName val="Financial Ratio Analysis "/>
      <sheetName val="Rm"/>
      <sheetName val="Beta Regression&gt;"/>
      <sheetName val="WACC Analysis"/>
      <sheetName val="Data Room&gt;"/>
      <sheetName val="Intrisic Growth"/>
      <sheetName val="DCF&gt;"/>
      <sheetName val="Beta Comps&gt;"/>
      <sheetName val="Comps Value"/>
      <sheetName val="Football Field Analysis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4">
          <cell r="C14" t="str">
            <v>Sun Pharma.Inds.</v>
          </cell>
          <cell r="D14">
            <v>1910.35</v>
          </cell>
          <cell r="E14">
            <v>239.93</v>
          </cell>
          <cell r="I14">
            <v>-7247.01</v>
          </cell>
          <cell r="J14">
            <v>451103.26549999998</v>
          </cell>
          <cell r="K14">
            <v>49208.76</v>
          </cell>
          <cell r="L14">
            <v>30.11</v>
          </cell>
          <cell r="M14">
            <v>10464.89</v>
          </cell>
        </row>
        <row r="15">
          <cell r="C15" t="str">
            <v>Cipla</v>
          </cell>
          <cell r="D15">
            <v>1551.7</v>
          </cell>
          <cell r="E15">
            <v>80.760000000000005</v>
          </cell>
          <cell r="I15">
            <v>-315.56000000000006</v>
          </cell>
          <cell r="J15">
            <v>124999.73200000002</v>
          </cell>
          <cell r="K15">
            <v>26139.14</v>
          </cell>
          <cell r="L15">
            <v>17.16</v>
          </cell>
          <cell r="M15">
            <v>4331.1099999999997</v>
          </cell>
        </row>
        <row r="16">
          <cell r="C16" t="str">
            <v>Dr Reddy's Labs</v>
          </cell>
          <cell r="D16">
            <v>6741.1</v>
          </cell>
          <cell r="E16">
            <v>16.690000000000001</v>
          </cell>
          <cell r="I16">
            <v>274.29999999999995</v>
          </cell>
          <cell r="J16">
            <v>112783.25900000002</v>
          </cell>
          <cell r="K16">
            <v>28949.3</v>
          </cell>
          <cell r="L16">
            <v>12.64</v>
          </cell>
          <cell r="M16">
            <v>5565.3</v>
          </cell>
        </row>
        <row r="17">
          <cell r="C17" t="str">
            <v>Mankind Pharma</v>
          </cell>
          <cell r="D17">
            <v>2647.2</v>
          </cell>
          <cell r="E17">
            <v>40.06</v>
          </cell>
          <cell r="I17">
            <v>-752.45</v>
          </cell>
          <cell r="J17">
            <v>105294.382</v>
          </cell>
          <cell r="K17">
            <v>9211.73</v>
          </cell>
          <cell r="L17">
            <v>40.04</v>
          </cell>
          <cell r="M17">
            <v>1927.61</v>
          </cell>
        </row>
        <row r="18">
          <cell r="C18" t="str">
            <v>Zydus Lifesci.</v>
          </cell>
          <cell r="D18">
            <v>1022.45</v>
          </cell>
          <cell r="E18">
            <v>100.62</v>
          </cell>
          <cell r="I18">
            <v>-300.89999999999986</v>
          </cell>
          <cell r="J18">
            <v>102578.019</v>
          </cell>
          <cell r="K18">
            <v>20615.3</v>
          </cell>
          <cell r="L18">
            <v>16.350000000000001</v>
          </cell>
          <cell r="M18">
            <v>4321.7</v>
          </cell>
        </row>
        <row r="19">
          <cell r="C19" t="str">
            <v>Lupin</v>
          </cell>
          <cell r="D19">
            <v>2179.6999999999998</v>
          </cell>
          <cell r="E19">
            <v>45.61</v>
          </cell>
          <cell r="I19">
            <v>1719.23</v>
          </cell>
          <cell r="J19">
            <v>101135.34699999999</v>
          </cell>
          <cell r="K19">
            <v>20797.09</v>
          </cell>
          <cell r="L19">
            <v>23.2</v>
          </cell>
          <cell r="M19">
            <v>2287.7800000000002</v>
          </cell>
        </row>
        <row r="20">
          <cell r="C20" t="str">
            <v>Aurobindo Pharma</v>
          </cell>
          <cell r="D20">
            <v>1472.7</v>
          </cell>
          <cell r="E20">
            <v>58.59</v>
          </cell>
          <cell r="I20">
            <v>369.32999999999993</v>
          </cell>
          <cell r="J20">
            <v>86654.823000000004</v>
          </cell>
          <cell r="K20">
            <v>29718.37</v>
          </cell>
          <cell r="L20">
            <v>12.46</v>
          </cell>
          <cell r="M20">
            <v>3517.48</v>
          </cell>
        </row>
      </sheetData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2725-F136-43A6-B9D8-CFAF46E3116F}">
  <sheetPr>
    <tabColor rgb="FFB43524"/>
    <pageSetUpPr fitToPage="1"/>
  </sheetPr>
  <dimension ref="A2:G11"/>
  <sheetViews>
    <sheetView showGridLines="0" tabSelected="1" workbookViewId="0">
      <selection activeCell="J6" sqref="J6"/>
    </sheetView>
  </sheetViews>
  <sheetFormatPr defaultRowHeight="14.25" x14ac:dyDescent="0.45"/>
  <cols>
    <col min="1" max="1" width="1.73046875" style="2" customWidth="1"/>
    <col min="2" max="2" width="25.86328125" customWidth="1"/>
    <col min="3" max="3" width="11.53125" customWidth="1"/>
    <col min="4" max="4" width="9.06640625" customWidth="1"/>
    <col min="5" max="5" width="8.86328125" customWidth="1"/>
    <col min="6" max="6" width="10.46484375" customWidth="1"/>
    <col min="7" max="7" width="18.796875" customWidth="1"/>
  </cols>
  <sheetData>
    <row r="2" spans="2:7" ht="14.65" thickBot="1" x14ac:dyDescent="0.5">
      <c r="B2" s="44" t="s">
        <v>55</v>
      </c>
      <c r="C2" s="44"/>
      <c r="D2" s="44"/>
      <c r="E2" s="44"/>
      <c r="F2" s="44"/>
      <c r="G2" s="44"/>
    </row>
    <row r="3" spans="2:7" ht="30.4" customHeight="1" x14ac:dyDescent="0.45">
      <c r="B3" s="8" t="s">
        <v>28</v>
      </c>
      <c r="C3" s="11" t="s">
        <v>53</v>
      </c>
      <c r="D3" s="11" t="s">
        <v>54</v>
      </c>
      <c r="E3" s="9" t="s">
        <v>57</v>
      </c>
      <c r="F3" s="9" t="s">
        <v>82</v>
      </c>
      <c r="G3" s="9" t="s">
        <v>56</v>
      </c>
    </row>
    <row r="4" spans="2:7" ht="4.5" customHeight="1" x14ac:dyDescent="0.45"/>
    <row r="5" spans="2:7" ht="46.15" customHeight="1" x14ac:dyDescent="0.45">
      <c r="B5" s="45" t="s">
        <v>58</v>
      </c>
      <c r="C5" s="51">
        <f>'Beta Comps'!D26/'Beta Comps'!E26</f>
        <v>38.486908239005338</v>
      </c>
      <c r="D5" s="51">
        <f>'Beta Comps'!D26/'Beta Comps'!F26</f>
        <v>313.73360461448124</v>
      </c>
      <c r="E5" s="50">
        <f>'Beta Comps'!G26/'Beta Comps'!H26</f>
        <v>52.923065364387668</v>
      </c>
      <c r="F5" s="50">
        <v>15</v>
      </c>
      <c r="G5" s="46" t="s">
        <v>62</v>
      </c>
    </row>
    <row r="6" spans="2:7" ht="43.15" customHeight="1" x14ac:dyDescent="0.45">
      <c r="B6" s="45" t="s">
        <v>59</v>
      </c>
      <c r="C6" s="51">
        <f>'Beta Comps'!D27/'Beta Comps'!E27</f>
        <v>29.234543333562062</v>
      </c>
      <c r="D6" s="51">
        <f>'Beta Comps'!D27/'Beta Comps'!F27</f>
        <v>106.15618302537345</v>
      </c>
      <c r="E6" s="50">
        <f>'Beta Comps'!G27/'Beta Comps'!H27</f>
        <v>12.829357798165139</v>
      </c>
      <c r="F6" s="50">
        <v>18</v>
      </c>
      <c r="G6" s="46" t="s">
        <v>63</v>
      </c>
    </row>
    <row r="7" spans="2:7" ht="33" customHeight="1" x14ac:dyDescent="0.45">
      <c r="B7" s="45" t="s">
        <v>60</v>
      </c>
      <c r="C7" s="51">
        <f>'Beta Comps'!D28/'Beta Comps'!E28</f>
        <v>38.906578741207447</v>
      </c>
      <c r="D7" s="51">
        <f>'Beta Comps'!D28/'Beta Comps'!F28</f>
        <v>1.6414386658141304</v>
      </c>
      <c r="E7" s="50">
        <f>'Beta Comps'!G28/'Beta Comps'!H28</f>
        <v>1196.3788079470201</v>
      </c>
      <c r="F7" s="50">
        <v>10</v>
      </c>
      <c r="G7" s="46" t="s">
        <v>64</v>
      </c>
    </row>
    <row r="8" spans="2:7" ht="33.4" customHeight="1" x14ac:dyDescent="0.45">
      <c r="B8" s="45" t="s">
        <v>61</v>
      </c>
      <c r="C8" s="51">
        <f>'Beta Comps'!D29/'Beta Comps'!E29</f>
        <v>19.2012130722675</v>
      </c>
      <c r="D8" s="51">
        <f>'Beta Comps'!D29/'Beta Comps'!F29</f>
        <v>2.6142074178078594</v>
      </c>
      <c r="E8" s="50">
        <f>'Beta Comps'!G29/'Beta Comps'!H29</f>
        <v>440.14810045074057</v>
      </c>
      <c r="F8" s="50">
        <v>12</v>
      </c>
      <c r="G8" s="46" t="s">
        <v>65</v>
      </c>
    </row>
    <row r="9" spans="2:7" ht="30" customHeight="1" x14ac:dyDescent="0.45">
      <c r="B9" s="45" t="s">
        <v>8</v>
      </c>
      <c r="C9" s="51">
        <f>'Beta Comps'!D30/'Beta Comps'!E30</f>
        <v>26.750114260966146</v>
      </c>
      <c r="D9" s="51">
        <f>'Beta Comps'!D30/'Beta Comps'!F30</f>
        <v>3.0989604197657918</v>
      </c>
      <c r="E9" s="50">
        <f>'Beta Comps'!G30/'Beta Comps'!H30</f>
        <v>379.11524434719178</v>
      </c>
      <c r="F9" s="50">
        <v>11.5</v>
      </c>
      <c r="G9" s="46" t="s">
        <v>66</v>
      </c>
    </row>
    <row r="10" spans="2:7" ht="42.75" x14ac:dyDescent="0.45">
      <c r="B10" s="45" t="s">
        <v>21</v>
      </c>
      <c r="C10" s="51">
        <f>'Beta Comps'!D31/'Beta Comps'!E31</f>
        <v>35.576665118074693</v>
      </c>
      <c r="D10" s="51">
        <f>'Beta Comps'!D31/'Beta Comps'!F31</f>
        <v>5.5114267350235862</v>
      </c>
      <c r="E10" s="50">
        <f>'Beta Comps'!G31/'Beta Comps'!H31</f>
        <v>525.87131386861302</v>
      </c>
      <c r="F10" s="50">
        <v>12.5</v>
      </c>
      <c r="G10" s="46" t="s">
        <v>67</v>
      </c>
    </row>
    <row r="11" spans="2:7" ht="28.5" x14ac:dyDescent="0.45">
      <c r="B11" s="47" t="s">
        <v>22</v>
      </c>
      <c r="C11" s="51">
        <f>'Beta Comps'!D32/'Beta Comps'!E32</f>
        <v>20.715418027333929</v>
      </c>
      <c r="D11" s="51">
        <f>'Beta Comps'!D32/'Beta Comps'!F32</f>
        <v>2.555237365751458</v>
      </c>
      <c r="E11" s="50">
        <f>'Beta Comps'!G32/'Beta Comps'!H32</f>
        <v>650.94212628865978</v>
      </c>
      <c r="F11" s="50">
        <v>11</v>
      </c>
      <c r="G11" s="48" t="s">
        <v>68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E71-F775-4049-82DF-884D966BFE1B}">
  <sheetPr>
    <tabColor rgb="FFC00000"/>
  </sheetPr>
  <dimension ref="B2:Q32"/>
  <sheetViews>
    <sheetView showGridLines="0" topLeftCell="A3" workbookViewId="0">
      <selection activeCell="E8" sqref="E8"/>
    </sheetView>
  </sheetViews>
  <sheetFormatPr defaultRowHeight="14.25" x14ac:dyDescent="0.45"/>
  <cols>
    <col min="1" max="1" width="1.73046875" customWidth="1"/>
    <col min="2" max="2" width="16.9296875" customWidth="1"/>
    <col min="3" max="3" width="8.73046875" customWidth="1"/>
    <col min="5" max="5" width="12" customWidth="1"/>
    <col min="8" max="8" width="10.1328125" customWidth="1"/>
    <col min="10" max="10" width="1.73046875" customWidth="1"/>
    <col min="12" max="12" width="10.53125" customWidth="1"/>
    <col min="13" max="13" width="10.1328125" customWidth="1"/>
    <col min="14" max="14" width="1.73046875" style="2" customWidth="1"/>
    <col min="16" max="16" width="10.265625" customWidth="1"/>
    <col min="17" max="17" width="8.33203125" customWidth="1"/>
  </cols>
  <sheetData>
    <row r="2" spans="2:17" x14ac:dyDescent="0.45">
      <c r="B2" s="1" t="s">
        <v>23</v>
      </c>
    </row>
    <row r="3" spans="2:17" ht="14.65" thickBot="1" x14ac:dyDescent="0.5">
      <c r="B3" s="3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ht="4.9000000000000004" customHeight="1" thickTop="1" x14ac:dyDescent="0.45"/>
    <row r="5" spans="2:17" x14ac:dyDescent="0.45">
      <c r="B5" s="5"/>
      <c r="C5" s="5"/>
      <c r="D5" s="6" t="s">
        <v>25</v>
      </c>
      <c r="E5" s="6"/>
      <c r="F5" s="6"/>
      <c r="G5" s="6"/>
      <c r="H5" s="6"/>
      <c r="I5" s="6"/>
      <c r="J5" s="5"/>
      <c r="K5" s="6" t="s">
        <v>26</v>
      </c>
      <c r="L5" s="6"/>
      <c r="M5" s="6"/>
      <c r="N5" s="7"/>
      <c r="O5" s="6" t="s">
        <v>27</v>
      </c>
      <c r="P5" s="6"/>
      <c r="Q5" s="6"/>
    </row>
    <row r="6" spans="2:17" ht="28.5" x14ac:dyDescent="0.45">
      <c r="B6" s="8" t="s">
        <v>28</v>
      </c>
      <c r="C6" s="8" t="s">
        <v>29</v>
      </c>
      <c r="D6" s="9" t="s">
        <v>30</v>
      </c>
      <c r="E6" s="9" t="s">
        <v>31</v>
      </c>
      <c r="F6" s="9" t="s">
        <v>32</v>
      </c>
      <c r="G6" s="9" t="s">
        <v>33</v>
      </c>
      <c r="H6" s="9" t="s">
        <v>34</v>
      </c>
      <c r="I6" s="10"/>
      <c r="J6" s="10"/>
      <c r="K6" s="11" t="s">
        <v>35</v>
      </c>
      <c r="L6" s="11" t="s">
        <v>36</v>
      </c>
      <c r="M6" s="11" t="s">
        <v>37</v>
      </c>
      <c r="N6" s="12"/>
      <c r="O6" s="11" t="s">
        <v>38</v>
      </c>
      <c r="P6" s="11" t="s">
        <v>39</v>
      </c>
      <c r="Q6" s="11" t="s">
        <v>40</v>
      </c>
    </row>
    <row r="7" spans="2:17" s="18" customFormat="1" ht="5.75" customHeight="1" x14ac:dyDescent="0.45">
      <c r="B7" s="13"/>
      <c r="C7" s="13"/>
      <c r="D7" s="14"/>
      <c r="E7" s="14"/>
      <c r="F7" s="14"/>
      <c r="G7" s="14"/>
      <c r="H7" s="14"/>
      <c r="I7" s="15"/>
      <c r="J7" s="15"/>
      <c r="K7" s="16"/>
      <c r="L7" s="16"/>
      <c r="M7" s="16"/>
      <c r="N7" s="17"/>
      <c r="O7" s="15"/>
      <c r="P7" s="15"/>
      <c r="Q7" s="15"/>
    </row>
    <row r="8" spans="2:17" x14ac:dyDescent="0.45">
      <c r="B8" s="19" t="str">
        <f>'[1]Beta Comps&gt;'!C14</f>
        <v>Sun Pharma.Inds.</v>
      </c>
      <c r="C8" s="19"/>
      <c r="D8" s="20">
        <f>'[1]Beta Comps&gt;'!D14</f>
        <v>1910.35</v>
      </c>
      <c r="E8" s="21">
        <f>'[1]Beta Comps&gt;'!E14</f>
        <v>239.93</v>
      </c>
      <c r="F8" s="20">
        <f>E8*D8</f>
        <v>458350.27549999999</v>
      </c>
      <c r="G8" s="20">
        <f>'[1]Beta Comps&gt;'!I14</f>
        <v>-7247.01</v>
      </c>
      <c r="H8" s="20">
        <f>'[1]Beta Comps&gt;'!J14</f>
        <v>451103.26549999998</v>
      </c>
      <c r="I8" s="20"/>
      <c r="J8" s="20"/>
      <c r="K8" s="20">
        <f>'[1]Beta Comps&gt;'!K14</f>
        <v>49208.76</v>
      </c>
      <c r="L8" s="22">
        <f t="shared" ref="L8:L14" si="0">$H8/P8</f>
        <v>14981.842095649286</v>
      </c>
      <c r="M8" s="20">
        <f>'[1]Beta Comps&gt;'!M14</f>
        <v>10464.89</v>
      </c>
      <c r="N8" s="23"/>
      <c r="O8" s="24">
        <f>$H8/K8</f>
        <v>9.1671333620274105</v>
      </c>
      <c r="P8" s="24">
        <f>'[1]Beta Comps&gt;'!L14</f>
        <v>30.11</v>
      </c>
      <c r="Q8" s="24">
        <f>F8/M8</f>
        <v>43.798862243176949</v>
      </c>
    </row>
    <row r="9" spans="2:17" x14ac:dyDescent="0.45">
      <c r="B9" s="25" t="str">
        <f>'[1]Beta Comps&gt;'!C15</f>
        <v>Cipla</v>
      </c>
      <c r="C9" s="25"/>
      <c r="D9" s="26">
        <f>'[1]Beta Comps&gt;'!D15</f>
        <v>1551.7</v>
      </c>
      <c r="E9" s="27">
        <f>'[1]Beta Comps&gt;'!E15</f>
        <v>80.760000000000005</v>
      </c>
      <c r="F9" s="26">
        <f t="shared" ref="F9:F14" si="1">E9*D9</f>
        <v>125315.29200000002</v>
      </c>
      <c r="G9" s="26">
        <f>'[1]Beta Comps&gt;'!I15</f>
        <v>-315.56000000000006</v>
      </c>
      <c r="H9" s="26">
        <f>'[1]Beta Comps&gt;'!J15</f>
        <v>124999.73200000002</v>
      </c>
      <c r="I9" s="26"/>
      <c r="J9" s="26"/>
      <c r="K9" s="26">
        <f>'[1]Beta Comps&gt;'!K15</f>
        <v>26139.14</v>
      </c>
      <c r="L9" s="28">
        <f t="shared" si="0"/>
        <v>7284.3666666666677</v>
      </c>
      <c r="M9" s="26">
        <f>'[1]Beta Comps&gt;'!M15</f>
        <v>4331.1099999999997</v>
      </c>
      <c r="N9" s="29"/>
      <c r="O9" s="30">
        <f t="shared" ref="O9:O14" si="2">$H9/K9</f>
        <v>4.7820904589822018</v>
      </c>
      <c r="P9" s="30">
        <f>'[1]Beta Comps&gt;'!L15</f>
        <v>17.16</v>
      </c>
      <c r="Q9" s="30">
        <f t="shared" ref="Q9:Q14" si="3">F9/M9</f>
        <v>28.933758782390662</v>
      </c>
    </row>
    <row r="10" spans="2:17" x14ac:dyDescent="0.45">
      <c r="B10" s="25" t="str">
        <f>'[1]Beta Comps&gt;'!C16</f>
        <v>Dr Reddy's Labs</v>
      </c>
      <c r="C10" s="25"/>
      <c r="D10" s="26">
        <f>'[1]Beta Comps&gt;'!D16</f>
        <v>6741.1</v>
      </c>
      <c r="E10" s="27">
        <f>'[1]Beta Comps&gt;'!E16</f>
        <v>16.690000000000001</v>
      </c>
      <c r="F10" s="26">
        <f t="shared" si="1"/>
        <v>112508.95900000002</v>
      </c>
      <c r="G10" s="26">
        <f>'[1]Beta Comps&gt;'!I16</f>
        <v>274.29999999999995</v>
      </c>
      <c r="H10" s="26">
        <f>'[1]Beta Comps&gt;'!J16</f>
        <v>112783.25900000002</v>
      </c>
      <c r="I10" s="26"/>
      <c r="J10" s="26"/>
      <c r="K10" s="26">
        <f>'[1]Beta Comps&gt;'!K16</f>
        <v>28949.3</v>
      </c>
      <c r="L10" s="28">
        <f t="shared" si="0"/>
        <v>8922.7261867088619</v>
      </c>
      <c r="M10" s="26">
        <f>'[1]Beta Comps&gt;'!M16</f>
        <v>5565.3</v>
      </c>
      <c r="N10" s="29"/>
      <c r="O10" s="30">
        <f t="shared" si="2"/>
        <v>3.8958889852258958</v>
      </c>
      <c r="P10" s="30">
        <f>'[1]Beta Comps&gt;'!L16</f>
        <v>12.64</v>
      </c>
      <c r="Q10" s="30">
        <f t="shared" si="3"/>
        <v>20.216153486784183</v>
      </c>
    </row>
    <row r="11" spans="2:17" x14ac:dyDescent="0.45">
      <c r="B11" s="25" t="str">
        <f>'[1]Beta Comps&gt;'!C17</f>
        <v>Mankind Pharma</v>
      </c>
      <c r="C11" s="25"/>
      <c r="D11" s="26">
        <f>'[1]Beta Comps&gt;'!D17</f>
        <v>2647.2</v>
      </c>
      <c r="E11" s="27">
        <f>'[1]Beta Comps&gt;'!E17</f>
        <v>40.06</v>
      </c>
      <c r="F11" s="26">
        <f t="shared" si="1"/>
        <v>106046.83199999999</v>
      </c>
      <c r="G11" s="26">
        <f>'[1]Beta Comps&gt;'!I17</f>
        <v>-752.45</v>
      </c>
      <c r="H11" s="26">
        <f>'[1]Beta Comps&gt;'!J17</f>
        <v>105294.382</v>
      </c>
      <c r="I11" s="26"/>
      <c r="J11" s="26"/>
      <c r="K11" s="26">
        <f>'[1]Beta Comps&gt;'!K17</f>
        <v>9211.73</v>
      </c>
      <c r="L11" s="28">
        <f t="shared" si="0"/>
        <v>2629.7298201798203</v>
      </c>
      <c r="M11" s="26">
        <f>'[1]Beta Comps&gt;'!M17</f>
        <v>1927.61</v>
      </c>
      <c r="N11" s="29"/>
      <c r="O11" s="30">
        <f t="shared" si="2"/>
        <v>11.430467675452928</v>
      </c>
      <c r="P11" s="30">
        <f>'[1]Beta Comps&gt;'!L17</f>
        <v>40.04</v>
      </c>
      <c r="Q11" s="30">
        <f t="shared" si="3"/>
        <v>55.01467205503188</v>
      </c>
    </row>
    <row r="12" spans="2:17" x14ac:dyDescent="0.45">
      <c r="B12" s="25" t="str">
        <f>'[1]Beta Comps&gt;'!C18</f>
        <v>Zydus Lifesci.</v>
      </c>
      <c r="C12" s="25"/>
      <c r="D12" s="26">
        <f>'[1]Beta Comps&gt;'!D18</f>
        <v>1022.45</v>
      </c>
      <c r="E12" s="27">
        <f>'[1]Beta Comps&gt;'!E18</f>
        <v>100.62</v>
      </c>
      <c r="F12" s="26">
        <f t="shared" si="1"/>
        <v>102878.91900000001</v>
      </c>
      <c r="G12" s="26">
        <f>'[1]Beta Comps&gt;'!I18</f>
        <v>-300.89999999999986</v>
      </c>
      <c r="H12" s="26">
        <f>'[1]Beta Comps&gt;'!J18</f>
        <v>102578.019</v>
      </c>
      <c r="I12" s="26"/>
      <c r="J12" s="26"/>
      <c r="K12" s="26">
        <f>'[1]Beta Comps&gt;'!K18</f>
        <v>20615.3</v>
      </c>
      <c r="L12" s="28">
        <f t="shared" si="0"/>
        <v>6273.8849541284399</v>
      </c>
      <c r="M12" s="26">
        <f>'[1]Beta Comps&gt;'!M18</f>
        <v>4321.7</v>
      </c>
      <c r="N12" s="29"/>
      <c r="O12" s="30">
        <f t="shared" si="2"/>
        <v>4.975819852245662</v>
      </c>
      <c r="P12" s="30">
        <f>'[1]Beta Comps&gt;'!L18</f>
        <v>16.350000000000001</v>
      </c>
      <c r="Q12" s="30">
        <f t="shared" si="3"/>
        <v>23.805196797556519</v>
      </c>
    </row>
    <row r="13" spans="2:17" x14ac:dyDescent="0.45">
      <c r="B13" s="25" t="str">
        <f>'[1]Beta Comps&gt;'!C19</f>
        <v>Lupin</v>
      </c>
      <c r="C13" s="25"/>
      <c r="D13" s="26">
        <f>'[1]Beta Comps&gt;'!D19</f>
        <v>2179.6999999999998</v>
      </c>
      <c r="E13" s="27">
        <f>'[1]Beta Comps&gt;'!E19</f>
        <v>45.61</v>
      </c>
      <c r="F13" s="26">
        <f t="shared" si="1"/>
        <v>99416.116999999984</v>
      </c>
      <c r="G13" s="26">
        <f>'[1]Beta Comps&gt;'!I19</f>
        <v>1719.23</v>
      </c>
      <c r="H13" s="26">
        <f>'[1]Beta Comps&gt;'!J19</f>
        <v>101135.34699999999</v>
      </c>
      <c r="I13" s="26"/>
      <c r="J13" s="26"/>
      <c r="K13" s="26">
        <f>'[1]Beta Comps&gt;'!K19</f>
        <v>20797.09</v>
      </c>
      <c r="L13" s="28">
        <f t="shared" si="0"/>
        <v>4359.2821982758624</v>
      </c>
      <c r="M13" s="26">
        <f>'[1]Beta Comps&gt;'!M19</f>
        <v>2287.7800000000002</v>
      </c>
      <c r="N13" s="29"/>
      <c r="O13" s="30">
        <f t="shared" si="2"/>
        <v>4.8629566444151555</v>
      </c>
      <c r="P13" s="30">
        <f>'[1]Beta Comps&gt;'!L19</f>
        <v>23.2</v>
      </c>
      <c r="Q13" s="30">
        <f t="shared" si="3"/>
        <v>43.455278479574076</v>
      </c>
    </row>
    <row r="14" spans="2:17" x14ac:dyDescent="0.45">
      <c r="B14" s="25" t="str">
        <f>'[1]Beta Comps&gt;'!C20</f>
        <v>Aurobindo Pharma</v>
      </c>
      <c r="C14" s="25"/>
      <c r="D14" s="26">
        <f>'[1]Beta Comps&gt;'!D20</f>
        <v>1472.7</v>
      </c>
      <c r="E14" s="27">
        <f>'[1]Beta Comps&gt;'!E20</f>
        <v>58.59</v>
      </c>
      <c r="F14" s="26">
        <f t="shared" si="1"/>
        <v>86285.493000000002</v>
      </c>
      <c r="G14" s="26">
        <f>'[1]Beta Comps&gt;'!I20</f>
        <v>369.32999999999993</v>
      </c>
      <c r="H14" s="26">
        <f>'[1]Beta Comps&gt;'!J20</f>
        <v>86654.823000000004</v>
      </c>
      <c r="I14" s="26"/>
      <c r="J14" s="26"/>
      <c r="K14" s="26">
        <f>'[1]Beta Comps&gt;'!K20</f>
        <v>29718.37</v>
      </c>
      <c r="L14" s="28">
        <f t="shared" si="0"/>
        <v>6954.6406902086674</v>
      </c>
      <c r="M14" s="26">
        <f>'[1]Beta Comps&gt;'!M20</f>
        <v>3517.48</v>
      </c>
      <c r="N14" s="29"/>
      <c r="O14" s="30">
        <f t="shared" si="2"/>
        <v>2.9158672901642992</v>
      </c>
      <c r="P14" s="30">
        <f>'[1]Beta Comps&gt;'!L20</f>
        <v>12.46</v>
      </c>
      <c r="Q14" s="30">
        <f t="shared" si="3"/>
        <v>24.530485745476877</v>
      </c>
    </row>
    <row r="15" spans="2:17" ht="6" customHeight="1" x14ac:dyDescent="0.45"/>
    <row r="16" spans="2:17" x14ac:dyDescent="0.45">
      <c r="B16" s="19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3"/>
      <c r="O16" s="24">
        <f>MAX(O8:O14)</f>
        <v>11.430467675452928</v>
      </c>
      <c r="P16" s="24">
        <f>MAX(P8:P14)</f>
        <v>40.04</v>
      </c>
      <c r="Q16" s="24">
        <f>MAX(Q8:Q14)</f>
        <v>55.01467205503188</v>
      </c>
    </row>
    <row r="17" spans="2:17" x14ac:dyDescent="0.45">
      <c r="B17" s="19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3"/>
      <c r="O17" s="19">
        <f>QUARTILE(O8:O14,3)</f>
        <v>7.0714766071365363</v>
      </c>
      <c r="P17" s="19">
        <f t="shared" ref="P17:Q17" si="4">QUARTILE(P8:P14,3)</f>
        <v>26.655000000000001</v>
      </c>
      <c r="Q17" s="19">
        <f t="shared" si="4"/>
        <v>43.627070361375516</v>
      </c>
    </row>
    <row r="18" spans="2:17" x14ac:dyDescent="0.45">
      <c r="B18" s="31" t="s">
        <v>43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33">
        <f>AVERAGE(O8:O14)</f>
        <v>6.0043177526447939</v>
      </c>
      <c r="P18" s="33">
        <f t="shared" ref="P18:Q18" si="5">AVERAGE(P8:P14)</f>
        <v>21.708571428571425</v>
      </c>
      <c r="Q18" s="33">
        <f t="shared" si="5"/>
        <v>34.25062965571302</v>
      </c>
    </row>
    <row r="19" spans="2:17" x14ac:dyDescent="0.45">
      <c r="B19" s="31" t="s">
        <v>44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33">
        <f>MEDIAN(O8:O14)</f>
        <v>4.8629566444151555</v>
      </c>
      <c r="P19" s="33">
        <f t="shared" ref="P19:Q19" si="6">MEDIAN(P8:P14)</f>
        <v>17.16</v>
      </c>
      <c r="Q19" s="33">
        <f t="shared" si="6"/>
        <v>28.933758782390662</v>
      </c>
    </row>
    <row r="20" spans="2:17" x14ac:dyDescent="0.45">
      <c r="B20" s="19" t="s">
        <v>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3"/>
      <c r="O20" s="24">
        <f>QUARTILE(O8:O14,1)</f>
        <v>4.3389897221040492</v>
      </c>
      <c r="P20" s="24">
        <f t="shared" ref="P20:Q20" si="7">QUARTILE(P8:P14,1)</f>
        <v>14.495000000000001</v>
      </c>
      <c r="Q20" s="24">
        <f t="shared" si="7"/>
        <v>24.1678412715167</v>
      </c>
    </row>
    <row r="21" spans="2:17" x14ac:dyDescent="0.45">
      <c r="B21" s="19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3"/>
      <c r="O21" s="24">
        <f>MIN(O8:O14)</f>
        <v>2.9158672901642992</v>
      </c>
      <c r="P21" s="24">
        <f t="shared" ref="P21:Q21" si="8">MIN(P8:P14)</f>
        <v>12.46</v>
      </c>
      <c r="Q21" s="24">
        <f t="shared" si="8"/>
        <v>20.216153486784183</v>
      </c>
    </row>
    <row r="23" spans="2:17" ht="14.65" thickBot="1" x14ac:dyDescent="0.5">
      <c r="B23" s="34" t="s">
        <v>47</v>
      </c>
      <c r="C23" s="35"/>
      <c r="D23" s="35"/>
      <c r="E23" s="35"/>
      <c r="F23" s="35"/>
      <c r="G23" s="35"/>
      <c r="H23" s="35"/>
      <c r="I23" s="35"/>
      <c r="J23" s="35"/>
      <c r="K23" s="35" t="s">
        <v>48</v>
      </c>
      <c r="L23" s="35"/>
      <c r="M23" s="35"/>
      <c r="N23" s="36"/>
      <c r="O23" s="11" t="s">
        <v>38</v>
      </c>
      <c r="P23" s="11" t="s">
        <v>39</v>
      </c>
      <c r="Q23" s="11" t="s">
        <v>40</v>
      </c>
    </row>
    <row r="24" spans="2:17" ht="5.25" customHeight="1" thickTop="1" x14ac:dyDescent="0.45"/>
    <row r="25" spans="2:17" x14ac:dyDescent="0.45">
      <c r="B25" s="25" t="s">
        <v>49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  <c r="O25" s="26">
        <f>O$19*K8</f>
        <v>239300.06640543073</v>
      </c>
      <c r="P25" s="26">
        <f t="shared" ref="P25" si="9">P$19*L8</f>
        <v>257088.41036134175</v>
      </c>
      <c r="Q25" s="26">
        <f>Q27+Q26</f>
        <v>295541.59294425219</v>
      </c>
    </row>
    <row r="26" spans="2:17" x14ac:dyDescent="0.45">
      <c r="B26" s="25" t="s">
        <v>33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"/>
      <c r="O26" s="26">
        <f>$G$8</f>
        <v>-7247.01</v>
      </c>
      <c r="P26" s="26">
        <f t="shared" ref="P26:Q26" si="10">$G$8</f>
        <v>-7247.01</v>
      </c>
      <c r="Q26" s="26">
        <f t="shared" si="10"/>
        <v>-7247.01</v>
      </c>
    </row>
    <row r="27" spans="2:17" x14ac:dyDescent="0.45">
      <c r="B27" s="25" t="s">
        <v>50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"/>
      <c r="O27" s="26">
        <f>O25-O26</f>
        <v>246547.07640543074</v>
      </c>
      <c r="P27" s="26">
        <f t="shared" ref="P27" si="11">P25-P26</f>
        <v>264335.42036134173</v>
      </c>
      <c r="Q27" s="26">
        <f>Q19*M8</f>
        <v>302788.6029442522</v>
      </c>
    </row>
    <row r="28" spans="2:17" x14ac:dyDescent="0.45">
      <c r="B28" s="37" t="s">
        <v>51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39">
        <f>$E$8</f>
        <v>239.93</v>
      </c>
      <c r="P28" s="39">
        <f t="shared" ref="P28:Q28" si="12">$E$8</f>
        <v>239.93</v>
      </c>
      <c r="Q28" s="39">
        <f t="shared" si="12"/>
        <v>239.93</v>
      </c>
    </row>
    <row r="29" spans="2:17" ht="14.65" thickBot="1" x14ac:dyDescent="0.5">
      <c r="O29" s="40"/>
      <c r="P29" s="40"/>
      <c r="Q29" s="40"/>
    </row>
    <row r="30" spans="2:17" ht="14.65" thickBot="1" x14ac:dyDescent="0.5">
      <c r="B30" s="41" t="s">
        <v>52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43">
        <f>O27/O28</f>
        <v>1027.5791956213509</v>
      </c>
      <c r="P30" s="43">
        <f t="shared" ref="P30:Q30" si="13">P27/P28</f>
        <v>1101.718919523785</v>
      </c>
      <c r="Q30" s="43">
        <f t="shared" si="13"/>
        <v>1261.9872585514615</v>
      </c>
    </row>
    <row r="32" spans="2:17" x14ac:dyDescent="0.45">
      <c r="O32" s="1" t="str">
        <f>IF(O30&gt;$D$8,"Undervalued","Overvalued")</f>
        <v>Overvalued</v>
      </c>
      <c r="P32" s="1" t="str">
        <f t="shared" ref="P32:Q32" si="14">IF(P30&gt;$D$8,"Undervalued","Overvalued")</f>
        <v>Overvalued</v>
      </c>
      <c r="Q32" s="1" t="str">
        <f t="shared" si="14"/>
        <v>Overvalued</v>
      </c>
    </row>
  </sheetData>
  <mergeCells count="3">
    <mergeCell ref="D5:I5"/>
    <mergeCell ref="K5:M5"/>
    <mergeCell ref="O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984B-EB03-4B00-89E3-02A4DDA9A47A}">
  <dimension ref="C4:N45"/>
  <sheetViews>
    <sheetView topLeftCell="C22" workbookViewId="0">
      <selection activeCell="D51" sqref="D51"/>
    </sheetView>
  </sheetViews>
  <sheetFormatPr defaultRowHeight="14.25" x14ac:dyDescent="0.45"/>
  <cols>
    <col min="3" max="3" width="24.19921875" customWidth="1"/>
    <col min="4" max="4" width="21.6640625" customWidth="1"/>
    <col min="5" max="5" width="20.46484375" customWidth="1"/>
    <col min="6" max="6" width="14.59765625" bestFit="1" customWidth="1"/>
    <col min="7" max="7" width="11.73046875" bestFit="1" customWidth="1"/>
    <col min="8" max="8" width="16.86328125" bestFit="1" customWidth="1"/>
    <col min="9" max="9" width="12.6640625" bestFit="1" customWidth="1"/>
    <col min="10" max="10" width="11.9296875" bestFit="1" customWidth="1"/>
  </cols>
  <sheetData>
    <row r="4" spans="3:14" x14ac:dyDescent="0.45">
      <c r="C4" t="s">
        <v>0</v>
      </c>
      <c r="D4" t="s">
        <v>1</v>
      </c>
      <c r="E4" t="s">
        <v>2</v>
      </c>
      <c r="F4" t="s">
        <v>3</v>
      </c>
      <c r="H4" t="s">
        <v>4</v>
      </c>
      <c r="I4" t="s">
        <v>5</v>
      </c>
    </row>
    <row r="5" spans="3:14" x14ac:dyDescent="0.45">
      <c r="C5">
        <v>1</v>
      </c>
      <c r="D5" t="s">
        <v>6</v>
      </c>
      <c r="E5">
        <v>1914.85</v>
      </c>
      <c r="F5">
        <v>459436.64</v>
      </c>
      <c r="H5">
        <v>3273.67</v>
      </c>
      <c r="I5">
        <v>0.05</v>
      </c>
    </row>
    <row r="6" spans="3:14" x14ac:dyDescent="0.45">
      <c r="C6">
        <v>2</v>
      </c>
      <c r="D6" t="s">
        <v>7</v>
      </c>
      <c r="E6">
        <v>5389.95</v>
      </c>
      <c r="F6">
        <v>143086.21</v>
      </c>
      <c r="H6">
        <v>3</v>
      </c>
      <c r="I6">
        <v>0</v>
      </c>
    </row>
    <row r="7" spans="3:14" x14ac:dyDescent="0.45">
      <c r="C7">
        <v>3</v>
      </c>
      <c r="D7" t="s">
        <v>8</v>
      </c>
      <c r="E7">
        <v>1633.65</v>
      </c>
      <c r="F7">
        <v>131928.16</v>
      </c>
      <c r="H7">
        <v>559.41</v>
      </c>
      <c r="I7">
        <v>0.02</v>
      </c>
    </row>
    <row r="8" spans="3:14" x14ac:dyDescent="0.45">
      <c r="C8">
        <v>4</v>
      </c>
      <c r="D8" t="s">
        <v>9</v>
      </c>
      <c r="E8">
        <v>3390.35</v>
      </c>
      <c r="F8">
        <v>114739.69</v>
      </c>
      <c r="H8">
        <v>4021.94</v>
      </c>
      <c r="I8">
        <v>0.59</v>
      </c>
    </row>
    <row r="9" spans="3:14" x14ac:dyDescent="0.45">
      <c r="C9">
        <v>5</v>
      </c>
      <c r="D9" t="s">
        <v>10</v>
      </c>
      <c r="E9">
        <v>6670</v>
      </c>
      <c r="F9">
        <v>111306.93</v>
      </c>
      <c r="H9">
        <v>2002</v>
      </c>
      <c r="I9">
        <v>7.0000000000000007E-2</v>
      </c>
    </row>
    <row r="14" spans="3:14" x14ac:dyDescent="0.45">
      <c r="C14" t="s">
        <v>0</v>
      </c>
      <c r="D14" t="s">
        <v>1</v>
      </c>
      <c r="E14" t="s">
        <v>2</v>
      </c>
      <c r="F14" t="s">
        <v>11</v>
      </c>
      <c r="G14" t="s">
        <v>12</v>
      </c>
      <c r="H14" t="s">
        <v>4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18</v>
      </c>
    </row>
    <row r="15" spans="3:14" x14ac:dyDescent="0.45">
      <c r="C15">
        <v>1</v>
      </c>
      <c r="D15" t="s">
        <v>6</v>
      </c>
      <c r="E15">
        <v>1910.35</v>
      </c>
      <c r="F15">
        <v>239.93</v>
      </c>
      <c r="G15">
        <f>F15*E15</f>
        <v>458350.27549999999</v>
      </c>
      <c r="H15">
        <v>3273.67</v>
      </c>
      <c r="I15">
        <v>10520.68</v>
      </c>
      <c r="J15">
        <f>H15-I15</f>
        <v>-7247.01</v>
      </c>
      <c r="K15">
        <f>G15+H15-I15</f>
        <v>451103.26549999998</v>
      </c>
      <c r="L15">
        <v>49208.76</v>
      </c>
      <c r="M15">
        <v>30.11</v>
      </c>
      <c r="N15">
        <v>10464.89</v>
      </c>
    </row>
    <row r="16" spans="3:14" x14ac:dyDescent="0.45">
      <c r="C16">
        <v>2</v>
      </c>
      <c r="D16" t="s">
        <v>8</v>
      </c>
      <c r="E16">
        <v>1551.7</v>
      </c>
      <c r="F16">
        <v>80.760000000000005</v>
      </c>
      <c r="G16">
        <f t="shared" ref="G16:G21" si="0">F16*E16</f>
        <v>125315.29200000002</v>
      </c>
      <c r="H16">
        <v>559.41</v>
      </c>
      <c r="I16">
        <v>874.97</v>
      </c>
      <c r="J16">
        <f t="shared" ref="J16:J21" si="1">H16-I16</f>
        <v>-315.56000000000006</v>
      </c>
      <c r="K16">
        <f t="shared" ref="K16:K21" si="2">G16+H16-I16</f>
        <v>124999.73200000002</v>
      </c>
      <c r="L16">
        <v>26139.14</v>
      </c>
      <c r="M16">
        <v>17.16</v>
      </c>
      <c r="N16">
        <v>4331.1099999999997</v>
      </c>
    </row>
    <row r="17" spans="3:14" x14ac:dyDescent="0.45">
      <c r="C17">
        <v>3</v>
      </c>
      <c r="D17" t="s">
        <v>10</v>
      </c>
      <c r="E17">
        <v>6741.1</v>
      </c>
      <c r="F17">
        <v>16.690000000000001</v>
      </c>
      <c r="G17">
        <f t="shared" si="0"/>
        <v>112508.95900000002</v>
      </c>
      <c r="H17">
        <v>2002</v>
      </c>
      <c r="I17">
        <v>1727.7</v>
      </c>
      <c r="J17">
        <f t="shared" si="1"/>
        <v>274.29999999999995</v>
      </c>
      <c r="K17">
        <f t="shared" si="2"/>
        <v>112783.25900000002</v>
      </c>
      <c r="L17">
        <v>28949.3</v>
      </c>
      <c r="M17">
        <v>12.64</v>
      </c>
      <c r="N17">
        <v>5565.3</v>
      </c>
    </row>
    <row r="18" spans="3:14" x14ac:dyDescent="0.45">
      <c r="C18">
        <v>4</v>
      </c>
      <c r="D18" t="s">
        <v>19</v>
      </c>
      <c r="E18">
        <v>2647.2</v>
      </c>
      <c r="F18">
        <v>40.06</v>
      </c>
      <c r="G18">
        <f t="shared" si="0"/>
        <v>106046.83199999999</v>
      </c>
      <c r="H18">
        <v>8.56</v>
      </c>
      <c r="I18">
        <v>761.01</v>
      </c>
      <c r="J18">
        <f t="shared" si="1"/>
        <v>-752.45</v>
      </c>
      <c r="K18">
        <f t="shared" si="2"/>
        <v>105294.382</v>
      </c>
      <c r="L18">
        <v>9211.73</v>
      </c>
      <c r="M18">
        <v>40.04</v>
      </c>
      <c r="N18">
        <v>1927.61</v>
      </c>
    </row>
    <row r="19" spans="3:14" x14ac:dyDescent="0.45">
      <c r="C19">
        <v>5</v>
      </c>
      <c r="D19" t="s">
        <v>20</v>
      </c>
      <c r="E19">
        <v>1022.45</v>
      </c>
      <c r="F19">
        <v>100.62</v>
      </c>
      <c r="G19">
        <f t="shared" si="0"/>
        <v>102878.91900000001</v>
      </c>
      <c r="H19">
        <v>804.2</v>
      </c>
      <c r="I19">
        <v>1105.0999999999999</v>
      </c>
      <c r="J19">
        <f t="shared" si="1"/>
        <v>-300.89999999999986</v>
      </c>
      <c r="K19">
        <f t="shared" si="2"/>
        <v>102578.019</v>
      </c>
      <c r="L19">
        <v>20615.3</v>
      </c>
      <c r="M19">
        <v>16.350000000000001</v>
      </c>
      <c r="N19">
        <v>4321.7</v>
      </c>
    </row>
    <row r="20" spans="3:14" x14ac:dyDescent="0.45">
      <c r="C20">
        <v>6</v>
      </c>
      <c r="D20" t="s">
        <v>21</v>
      </c>
      <c r="E20">
        <v>2179.6999999999998</v>
      </c>
      <c r="F20">
        <v>45.61</v>
      </c>
      <c r="G20">
        <f t="shared" si="0"/>
        <v>99416.116999999984</v>
      </c>
      <c r="H20">
        <v>2921.77</v>
      </c>
      <c r="I20">
        <v>1202.54</v>
      </c>
      <c r="J20">
        <f t="shared" si="1"/>
        <v>1719.23</v>
      </c>
      <c r="K20">
        <f t="shared" si="2"/>
        <v>101135.34699999999</v>
      </c>
      <c r="L20">
        <v>20797.09</v>
      </c>
      <c r="M20">
        <v>23.2</v>
      </c>
      <c r="N20">
        <v>2287.7800000000002</v>
      </c>
    </row>
    <row r="21" spans="3:14" x14ac:dyDescent="0.45">
      <c r="C21">
        <v>7</v>
      </c>
      <c r="D21" t="s">
        <v>22</v>
      </c>
      <c r="E21">
        <v>1472.7</v>
      </c>
      <c r="F21">
        <v>58.59</v>
      </c>
      <c r="G21">
        <f t="shared" si="0"/>
        <v>86285.493000000002</v>
      </c>
      <c r="H21">
        <v>6647.63</v>
      </c>
      <c r="I21">
        <v>6278.3</v>
      </c>
      <c r="J21">
        <f t="shared" si="1"/>
        <v>369.32999999999993</v>
      </c>
      <c r="K21">
        <f t="shared" si="2"/>
        <v>86654.823000000004</v>
      </c>
      <c r="L21">
        <v>29718.37</v>
      </c>
      <c r="M21">
        <v>12.46</v>
      </c>
      <c r="N21">
        <v>3517.48</v>
      </c>
    </row>
    <row r="24" spans="3:14" x14ac:dyDescent="0.45">
      <c r="H24" t="s">
        <v>75</v>
      </c>
    </row>
    <row r="25" spans="3:14" x14ac:dyDescent="0.45">
      <c r="D25" t="s">
        <v>69</v>
      </c>
      <c r="E25" t="s">
        <v>70</v>
      </c>
      <c r="F25" t="s">
        <v>71</v>
      </c>
      <c r="G25" t="s">
        <v>37</v>
      </c>
      <c r="H25" t="s">
        <v>72</v>
      </c>
      <c r="I25" t="s">
        <v>73</v>
      </c>
      <c r="J25" t="s">
        <v>74</v>
      </c>
    </row>
    <row r="26" spans="3:14" x14ac:dyDescent="0.45">
      <c r="C26" s="45" t="s">
        <v>58</v>
      </c>
      <c r="D26">
        <f>J45/F45</f>
        <v>5198.4266958424505</v>
      </c>
      <c r="E26">
        <f>K45</f>
        <v>135.07</v>
      </c>
      <c r="F26">
        <f>J26/E26</f>
        <v>16.569556526245652</v>
      </c>
      <c r="G26">
        <f>I45</f>
        <v>617.9</v>
      </c>
      <c r="H26">
        <f>L45/M45</f>
        <v>11.67543859649123</v>
      </c>
      <c r="I26">
        <v>1142.8</v>
      </c>
      <c r="J26" s="49">
        <f>H45</f>
        <v>2238.0500000000002</v>
      </c>
    </row>
    <row r="27" spans="3:14" x14ac:dyDescent="0.45">
      <c r="C27" s="45" t="s">
        <v>59</v>
      </c>
      <c r="D27">
        <f>J44/F44</f>
        <v>1034.902834008097</v>
      </c>
      <c r="E27">
        <f>K44</f>
        <v>35.4</v>
      </c>
      <c r="F27">
        <f>J27/E27</f>
        <v>9.7488700564971751</v>
      </c>
      <c r="G27">
        <f>I44</f>
        <v>87.4</v>
      </c>
      <c r="H27">
        <f>L44/M44</f>
        <v>6.8125</v>
      </c>
      <c r="I27">
        <v>1137</v>
      </c>
      <c r="J27" s="49">
        <f>H44</f>
        <v>345.11</v>
      </c>
    </row>
    <row r="28" spans="3:14" x14ac:dyDescent="0.45">
      <c r="C28" s="45" t="s">
        <v>60</v>
      </c>
      <c r="D28">
        <f>J37/F37</f>
        <v>1792.4260826074271</v>
      </c>
      <c r="E28">
        <f>K37</f>
        <v>46.07</v>
      </c>
      <c r="F28">
        <f t="shared" ref="F28:F32" si="3">J28/E28</f>
        <v>1091.9848057304102</v>
      </c>
      <c r="G28">
        <f>I37</f>
        <v>11117.12</v>
      </c>
      <c r="H28">
        <f>L37/M37</f>
        <v>9.2923076923076913</v>
      </c>
      <c r="I28">
        <v>2150</v>
      </c>
      <c r="J28" s="49">
        <f>H37</f>
        <v>50307.74</v>
      </c>
    </row>
    <row r="29" spans="3:14" x14ac:dyDescent="0.45">
      <c r="C29" s="45" t="s">
        <v>61</v>
      </c>
      <c r="D29">
        <f>J40/F40</f>
        <v>1228.87763662512</v>
      </c>
      <c r="E29">
        <f>K40</f>
        <v>64</v>
      </c>
      <c r="F29">
        <f t="shared" si="3"/>
        <v>470.07656250000002</v>
      </c>
      <c r="G29">
        <f>I40</f>
        <v>5425</v>
      </c>
      <c r="H29">
        <f>L40/M40</f>
        <v>12.325396825396824</v>
      </c>
      <c r="I29">
        <v>2287.3000000000002</v>
      </c>
      <c r="J29" s="49">
        <f>H40</f>
        <v>30084.9</v>
      </c>
    </row>
    <row r="30" spans="3:14" x14ac:dyDescent="0.45">
      <c r="C30" s="45" t="s">
        <v>8</v>
      </c>
      <c r="D30">
        <f>J38/F38</f>
        <v>1482.4913323427438</v>
      </c>
      <c r="E30">
        <f>K38</f>
        <v>55.42</v>
      </c>
      <c r="F30">
        <f t="shared" si="3"/>
        <v>478.38343558282202</v>
      </c>
      <c r="G30">
        <f>I38</f>
        <v>4480.75</v>
      </c>
      <c r="H30">
        <f>L38/M38</f>
        <v>11.818965517241381</v>
      </c>
      <c r="I30">
        <v>600</v>
      </c>
      <c r="J30" s="49">
        <f>H38</f>
        <v>26512.01</v>
      </c>
    </row>
    <row r="31" spans="3:14" x14ac:dyDescent="0.45">
      <c r="C31" s="45" t="s">
        <v>21</v>
      </c>
      <c r="D31">
        <f>J42/F42</f>
        <v>2049.9274441034636</v>
      </c>
      <c r="E31">
        <f>K42</f>
        <v>57.62</v>
      </c>
      <c r="F31">
        <f t="shared" si="3"/>
        <v>371.94133981256505</v>
      </c>
      <c r="G31">
        <f>I42</f>
        <v>2651.94</v>
      </c>
      <c r="H31">
        <f>L42/M42</f>
        <v>5.0429447852760747</v>
      </c>
      <c r="I31">
        <v>1526.5</v>
      </c>
      <c r="J31" s="49">
        <f>H42</f>
        <v>21431.26</v>
      </c>
    </row>
    <row r="32" spans="3:14" x14ac:dyDescent="0.45">
      <c r="C32" s="47" t="s">
        <v>22</v>
      </c>
      <c r="D32">
        <f>J43/F43</f>
        <v>1266.3335040109232</v>
      </c>
      <c r="E32">
        <f>K43</f>
        <v>61.13</v>
      </c>
      <c r="F32">
        <f t="shared" si="3"/>
        <v>495.58351055128412</v>
      </c>
      <c r="G32">
        <f>I43</f>
        <v>3582.49</v>
      </c>
      <c r="H32">
        <f>L43/M43</f>
        <v>5.5035460992907801</v>
      </c>
      <c r="I32">
        <v>31</v>
      </c>
      <c r="J32" s="49">
        <f>H43</f>
        <v>30295.02</v>
      </c>
    </row>
    <row r="36" spans="3:13" x14ac:dyDescent="0.45">
      <c r="E36" t="s">
        <v>2</v>
      </c>
      <c r="F36" t="s">
        <v>11</v>
      </c>
      <c r="G36" t="s">
        <v>77</v>
      </c>
      <c r="H36" t="s">
        <v>16</v>
      </c>
      <c r="I36" t="s">
        <v>18</v>
      </c>
      <c r="J36" t="s">
        <v>78</v>
      </c>
      <c r="K36" t="s">
        <v>79</v>
      </c>
      <c r="L36" t="s">
        <v>80</v>
      </c>
      <c r="M36" t="s">
        <v>81</v>
      </c>
    </row>
    <row r="37" spans="3:13" x14ac:dyDescent="0.45">
      <c r="D37" t="s">
        <v>6</v>
      </c>
      <c r="E37">
        <v>1792.4</v>
      </c>
      <c r="F37">
        <v>239.93</v>
      </c>
      <c r="G37">
        <v>423613.74</v>
      </c>
      <c r="H37">
        <v>50307.74</v>
      </c>
      <c r="I37">
        <v>11117.12</v>
      </c>
      <c r="J37">
        <v>430056.79</v>
      </c>
      <c r="K37">
        <v>46.07</v>
      </c>
      <c r="L37">
        <v>12.08</v>
      </c>
      <c r="M37">
        <v>1.3</v>
      </c>
    </row>
    <row r="38" spans="3:13" x14ac:dyDescent="0.45">
      <c r="C38">
        <v>2</v>
      </c>
      <c r="D38" t="s">
        <v>8</v>
      </c>
      <c r="E38">
        <v>1482.5</v>
      </c>
      <c r="F38">
        <v>80.760000000000005</v>
      </c>
      <c r="G38">
        <v>119265.94</v>
      </c>
      <c r="H38">
        <v>26512.01</v>
      </c>
      <c r="I38">
        <v>4480.75</v>
      </c>
      <c r="J38">
        <v>119726</v>
      </c>
      <c r="K38">
        <v>55.42</v>
      </c>
      <c r="L38">
        <v>13.71</v>
      </c>
      <c r="M38">
        <v>1.1599999999999999</v>
      </c>
    </row>
    <row r="39" spans="3:13" x14ac:dyDescent="0.45">
      <c r="C39">
        <v>3</v>
      </c>
      <c r="D39" t="s">
        <v>19</v>
      </c>
      <c r="E39">
        <v>2577.75</v>
      </c>
      <c r="F39">
        <v>40.06</v>
      </c>
      <c r="G39">
        <v>102852.95</v>
      </c>
      <c r="H39">
        <v>9288.1200000000008</v>
      </c>
      <c r="I39">
        <v>2089.16</v>
      </c>
      <c r="J39">
        <v>103276.04</v>
      </c>
      <c r="K39">
        <v>52.15</v>
      </c>
      <c r="L39">
        <v>16.5</v>
      </c>
      <c r="M39">
        <v>1.08</v>
      </c>
    </row>
    <row r="40" spans="3:13" x14ac:dyDescent="0.45">
      <c r="C40">
        <v>4</v>
      </c>
      <c r="D40" t="s">
        <v>10</v>
      </c>
      <c r="E40">
        <v>1228.9000000000001</v>
      </c>
      <c r="F40">
        <v>83.44</v>
      </c>
      <c r="G40">
        <v>105363.25</v>
      </c>
      <c r="H40">
        <v>30084.9</v>
      </c>
      <c r="I40">
        <v>5425</v>
      </c>
      <c r="J40">
        <v>102537.55</v>
      </c>
      <c r="K40">
        <v>64</v>
      </c>
      <c r="L40">
        <v>15.53</v>
      </c>
      <c r="M40">
        <v>1.26</v>
      </c>
    </row>
    <row r="41" spans="3:13" x14ac:dyDescent="0.45">
      <c r="C41">
        <v>5</v>
      </c>
      <c r="D41" t="s">
        <v>20</v>
      </c>
      <c r="E41">
        <v>953.15</v>
      </c>
      <c r="F41">
        <v>100.62</v>
      </c>
      <c r="G41">
        <v>94506.14</v>
      </c>
      <c r="H41">
        <v>21483.5</v>
      </c>
      <c r="I41">
        <v>4438.7</v>
      </c>
      <c r="J41">
        <v>95909.24</v>
      </c>
      <c r="K41">
        <v>42.72</v>
      </c>
      <c r="L41">
        <v>14.61</v>
      </c>
      <c r="M41">
        <v>1.37</v>
      </c>
    </row>
    <row r="42" spans="3:13" x14ac:dyDescent="0.45">
      <c r="C42">
        <v>6</v>
      </c>
      <c r="D42" t="s">
        <v>21</v>
      </c>
      <c r="E42">
        <v>2049.9499999999998</v>
      </c>
      <c r="F42">
        <v>45.62</v>
      </c>
      <c r="G42">
        <v>95546.31</v>
      </c>
      <c r="H42">
        <v>21431.26</v>
      </c>
      <c r="I42">
        <v>2651.94</v>
      </c>
      <c r="J42">
        <v>93517.69</v>
      </c>
      <c r="K42">
        <v>57.62</v>
      </c>
      <c r="L42">
        <v>8.2200000000000006</v>
      </c>
      <c r="M42">
        <v>1.63</v>
      </c>
    </row>
    <row r="43" spans="3:13" x14ac:dyDescent="0.45">
      <c r="C43">
        <v>7</v>
      </c>
      <c r="D43" t="s">
        <v>22</v>
      </c>
      <c r="E43">
        <v>1266.25</v>
      </c>
      <c r="F43">
        <v>58.59</v>
      </c>
      <c r="G43">
        <v>75782.02</v>
      </c>
      <c r="H43">
        <v>30295.02</v>
      </c>
      <c r="I43">
        <v>3582.49</v>
      </c>
      <c r="J43">
        <v>74194.48</v>
      </c>
      <c r="K43">
        <v>61.13</v>
      </c>
      <c r="L43">
        <v>7.76</v>
      </c>
      <c r="M43">
        <v>1.41</v>
      </c>
    </row>
    <row r="44" spans="3:13" x14ac:dyDescent="0.45">
      <c r="C44">
        <v>8</v>
      </c>
      <c r="D44" t="s">
        <v>76</v>
      </c>
      <c r="E44">
        <v>1035.3</v>
      </c>
      <c r="F44">
        <v>2.4700000000000002</v>
      </c>
      <c r="G44">
        <v>1965</v>
      </c>
      <c r="H44">
        <v>345.11</v>
      </c>
      <c r="I44">
        <v>87.4</v>
      </c>
      <c r="J44">
        <v>2556.21</v>
      </c>
      <c r="K44">
        <v>35.4</v>
      </c>
      <c r="L44">
        <v>8.7200000000000006</v>
      </c>
      <c r="M44">
        <v>1.28</v>
      </c>
    </row>
    <row r="45" spans="3:13" x14ac:dyDescent="0.45">
      <c r="D45" t="s">
        <v>58</v>
      </c>
      <c r="E45">
        <v>5193</v>
      </c>
      <c r="F45">
        <v>4.57</v>
      </c>
      <c r="G45">
        <v>21512.43</v>
      </c>
      <c r="H45">
        <v>2238.0500000000002</v>
      </c>
      <c r="I45">
        <v>617.9</v>
      </c>
      <c r="J45">
        <v>23756.81</v>
      </c>
      <c r="K45">
        <v>135.07</v>
      </c>
      <c r="L45">
        <v>13.31</v>
      </c>
      <c r="M45">
        <v>1.1399999999999999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Analysis</vt:lpstr>
      <vt:lpstr>Comps Value</vt:lpstr>
      <vt:lpstr>Beta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cp:lastPrinted>2024-11-19T09:44:49Z</cp:lastPrinted>
  <dcterms:created xsi:type="dcterms:W3CDTF">2024-11-18T10:17:49Z</dcterms:created>
  <dcterms:modified xsi:type="dcterms:W3CDTF">2024-11-19T10:29:54Z</dcterms:modified>
</cp:coreProperties>
</file>