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xl/customProperty2.bin" ContentType="application/vnd.openxmlformats-officedocument.spreadsheetml.customProperty"/>
  <Override PartName="/xl/tables/table2.xml" ContentType="application/vnd.openxmlformats-officedocument.spreadsheetml.table+xml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ustomProperty20.bin" ContentType="application/vnd.openxmlformats-officedocument.spreadsheetml.customProperty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ustomProperty21.bin" ContentType="application/vnd.openxmlformats-officedocument.spreadsheetml.customProperty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3f78c0013ef2bfa/문서/"/>
    </mc:Choice>
  </mc:AlternateContent>
  <xr:revisionPtr revIDLastSave="3046" documentId="8_{E1261516-40DC-404D-B8D0-D95993EF7090}" xr6:coauthVersionLast="47" xr6:coauthVersionMax="47" xr10:uidLastSave="{C2E66534-B0B0-47F9-8C1C-82E886942CA8}"/>
  <bookViews>
    <workbookView xWindow="-98" yWindow="-98" windowWidth="21795" windowHeight="12975" tabRatio="616" firstSheet="14" activeTab="20" xr2:uid="{00000000-000D-0000-FFFF-FFFF00000000}"/>
  </bookViews>
  <sheets>
    <sheet name="Profit &amp; Loss" sheetId="1" r:id="rId1"/>
    <sheet name="Quarters" sheetId="3" r:id="rId2"/>
    <sheet name="Balance Sheet" sheetId="2" r:id="rId3"/>
    <sheet name="Cash Flow" sheetId="4" r:id="rId4"/>
    <sheet name="Data Sheet" sheetId="6" r:id="rId5"/>
    <sheet name="Cash Flow Data" sheetId="9" r:id="rId6"/>
    <sheet name="Historical Data" sheetId="7" r:id="rId7"/>
    <sheet name="Ratio Analysis" sheetId="11" r:id="rId8"/>
    <sheet name="Forecasting" sheetId="13" r:id="rId9"/>
    <sheet name="Financial Ratio Analysis " sheetId="12" r:id="rId10"/>
    <sheet name="Rm" sheetId="16" r:id="rId11"/>
    <sheet name="Beta Regression&gt;" sheetId="17" r:id="rId12"/>
    <sheet name="WACC Analysis" sheetId="14" r:id="rId13"/>
    <sheet name="Data Room&gt;" sheetId="20" r:id="rId14"/>
    <sheet name="Intrisic Growth" sheetId="21" r:id="rId15"/>
    <sheet name="DCF&gt;" sheetId="15" r:id="rId16"/>
    <sheet name="Beta Comps&gt;" sheetId="18" r:id="rId17"/>
    <sheet name="Comps Value" sheetId="22" r:id="rId18"/>
    <sheet name="Football Field Analysis" sheetId="23" r:id="rId19"/>
    <sheet name="Sheet2" sheetId="24" r:id="rId20"/>
    <sheet name="Sheet3" sheetId="26" r:id="rId21"/>
    <sheet name="Sheet1" sheetId="10" state="hidden" r:id="rId22"/>
  </sheets>
  <definedNames>
    <definedName name="_xlnm._FilterDatabase" localSheetId="11" hidden="1">'Beta Regression&gt;'!$F$7:$G$7</definedName>
    <definedName name="UPDATE">'Data Sheet'!$E$1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81" i="7" l="1"/>
  <c r="E81" i="7"/>
  <c r="F81" i="7"/>
  <c r="G81" i="7"/>
  <c r="H81" i="7"/>
  <c r="I81" i="7"/>
  <c r="J81" i="7"/>
  <c r="K81" i="7"/>
  <c r="L81" i="7"/>
  <c r="D82" i="7"/>
  <c r="E82" i="7"/>
  <c r="F82" i="7"/>
  <c r="G82" i="7"/>
  <c r="H82" i="7"/>
  <c r="I82" i="7"/>
  <c r="J82" i="7"/>
  <c r="K82" i="7"/>
  <c r="L82" i="7"/>
  <c r="D83" i="7"/>
  <c r="E83" i="7"/>
  <c r="F83" i="7"/>
  <c r="G83" i="7"/>
  <c r="H83" i="7"/>
  <c r="I83" i="7"/>
  <c r="J83" i="7"/>
  <c r="K83" i="7"/>
  <c r="L83" i="7"/>
  <c r="D84" i="7"/>
  <c r="E84" i="7"/>
  <c r="F84" i="7"/>
  <c r="G84" i="7"/>
  <c r="H84" i="7"/>
  <c r="I84" i="7"/>
  <c r="J84" i="7"/>
  <c r="K84" i="7"/>
  <c r="L84" i="7"/>
  <c r="D85" i="7"/>
  <c r="E85" i="7"/>
  <c r="F85" i="7"/>
  <c r="G85" i="7"/>
  <c r="H85" i="7"/>
  <c r="I85" i="7"/>
  <c r="J85" i="7"/>
  <c r="K85" i="7"/>
  <c r="L85" i="7"/>
  <c r="D86" i="7"/>
  <c r="E86" i="7"/>
  <c r="F86" i="7"/>
  <c r="G86" i="7"/>
  <c r="H86" i="7"/>
  <c r="I86" i="7"/>
  <c r="J86" i="7"/>
  <c r="K86" i="7"/>
  <c r="L86" i="7"/>
  <c r="D87" i="7"/>
  <c r="E87" i="7"/>
  <c r="F87" i="7"/>
  <c r="G87" i="7"/>
  <c r="H87" i="7"/>
  <c r="I87" i="7"/>
  <c r="J87" i="7"/>
  <c r="K87" i="7"/>
  <c r="L87" i="7"/>
  <c r="D88" i="7"/>
  <c r="E88" i="7"/>
  <c r="F88" i="7"/>
  <c r="G88" i="7"/>
  <c r="H88" i="7"/>
  <c r="I88" i="7"/>
  <c r="J88" i="7"/>
  <c r="K88" i="7"/>
  <c r="L88" i="7"/>
  <c r="D89" i="7"/>
  <c r="E89" i="7"/>
  <c r="F89" i="7"/>
  <c r="G89" i="7"/>
  <c r="H89" i="7"/>
  <c r="I89" i="7"/>
  <c r="J89" i="7"/>
  <c r="K89" i="7"/>
  <c r="L89" i="7"/>
  <c r="D90" i="7"/>
  <c r="E90" i="7"/>
  <c r="F90" i="7"/>
  <c r="G90" i="7"/>
  <c r="H90" i="7"/>
  <c r="I90" i="7"/>
  <c r="J90" i="7"/>
  <c r="K90" i="7"/>
  <c r="L90" i="7"/>
  <c r="C3" i="7"/>
  <c r="P8" i="22"/>
  <c r="M14" i="22"/>
  <c r="P14" i="22"/>
  <c r="K14" i="22"/>
  <c r="M13" i="22"/>
  <c r="P13" i="22"/>
  <c r="K13" i="22"/>
  <c r="M12" i="22"/>
  <c r="P12" i="22"/>
  <c r="K12" i="22"/>
  <c r="M11" i="22"/>
  <c r="P11" i="22"/>
  <c r="K11" i="22"/>
  <c r="M10" i="22"/>
  <c r="P10" i="22"/>
  <c r="K10" i="22"/>
  <c r="M9" i="22"/>
  <c r="P9" i="22"/>
  <c r="K9" i="22"/>
  <c r="M8" i="22"/>
  <c r="K8" i="22"/>
  <c r="H12" i="22"/>
  <c r="H11" i="22"/>
  <c r="H10" i="22"/>
  <c r="H9" i="22"/>
  <c r="H8" i="22"/>
  <c r="G14" i="22"/>
  <c r="G13" i="22"/>
  <c r="G12" i="22"/>
  <c r="G11" i="22"/>
  <c r="I20" i="18"/>
  <c r="I19" i="18"/>
  <c r="I18" i="18"/>
  <c r="I17" i="18"/>
  <c r="I16" i="18"/>
  <c r="G10" i="22" s="1"/>
  <c r="I15" i="18"/>
  <c r="G9" i="22" s="1"/>
  <c r="I14" i="18"/>
  <c r="G8" i="22" s="1"/>
  <c r="Q26" i="22" s="1"/>
  <c r="E14" i="22"/>
  <c r="E13" i="22"/>
  <c r="E12" i="22"/>
  <c r="E11" i="22"/>
  <c r="E10" i="22"/>
  <c r="E9" i="22"/>
  <c r="E8" i="22"/>
  <c r="Q28" i="22" s="1"/>
  <c r="D14" i="22"/>
  <c r="D13" i="22"/>
  <c r="D12" i="22"/>
  <c r="D11" i="22"/>
  <c r="D10" i="22"/>
  <c r="D9" i="22"/>
  <c r="D8" i="22"/>
  <c r="B14" i="22"/>
  <c r="B13" i="22"/>
  <c r="B12" i="22"/>
  <c r="B11" i="22"/>
  <c r="B10" i="22"/>
  <c r="B9" i="22"/>
  <c r="B8" i="22"/>
  <c r="F20" i="18"/>
  <c r="J20" i="18" s="1"/>
  <c r="H14" i="22" s="1"/>
  <c r="L14" i="22" s="1"/>
  <c r="F19" i="18"/>
  <c r="J19" i="18" s="1"/>
  <c r="H13" i="22" s="1"/>
  <c r="O13" i="22" s="1"/>
  <c r="F18" i="18"/>
  <c r="J18" i="18" s="1"/>
  <c r="F17" i="18"/>
  <c r="J17" i="18" s="1"/>
  <c r="F16" i="18"/>
  <c r="J16" i="18" s="1"/>
  <c r="F15" i="18"/>
  <c r="J15" i="18" s="1"/>
  <c r="F14" i="18"/>
  <c r="J14" i="18" s="1"/>
  <c r="D34" i="15"/>
  <c r="D33" i="15"/>
  <c r="D23" i="15"/>
  <c r="G9" i="15"/>
  <c r="H9" i="15" s="1"/>
  <c r="I9" i="15" s="1"/>
  <c r="J9" i="15" s="1"/>
  <c r="F7" i="15"/>
  <c r="G7" i="15" s="1"/>
  <c r="H7" i="15" s="1"/>
  <c r="I7" i="15" s="1"/>
  <c r="J7" i="15" s="1"/>
  <c r="N42" i="20"/>
  <c r="M42" i="20"/>
  <c r="L42" i="20"/>
  <c r="K42" i="20"/>
  <c r="J42" i="20"/>
  <c r="I42" i="20"/>
  <c r="G42" i="20"/>
  <c r="E18" i="20"/>
  <c r="D18" i="20"/>
  <c r="C18" i="20"/>
  <c r="J29" i="21"/>
  <c r="J31" i="21" s="1"/>
  <c r="F5" i="15"/>
  <c r="G5" i="15" s="1"/>
  <c r="H5" i="15" s="1"/>
  <c r="I5" i="15" s="1"/>
  <c r="J5" i="15" s="1"/>
  <c r="J54" i="21"/>
  <c r="I54" i="21"/>
  <c r="H54" i="21"/>
  <c r="G54" i="21"/>
  <c r="F54" i="21"/>
  <c r="G40" i="21"/>
  <c r="H40" i="21"/>
  <c r="I40" i="21"/>
  <c r="J40" i="21"/>
  <c r="F40" i="21"/>
  <c r="J38" i="21"/>
  <c r="I38" i="21"/>
  <c r="H38" i="21"/>
  <c r="G38" i="21"/>
  <c r="F38" i="21"/>
  <c r="J2" i="21"/>
  <c r="E2" i="15" s="1"/>
  <c r="F2" i="15" s="1"/>
  <c r="G2" i="15" s="1"/>
  <c r="H2" i="15" s="1"/>
  <c r="I2" i="15" s="1"/>
  <c r="J2" i="15" s="1"/>
  <c r="I2" i="21"/>
  <c r="H2" i="21"/>
  <c r="G2" i="21"/>
  <c r="F2" i="21"/>
  <c r="G30" i="21"/>
  <c r="H30" i="21"/>
  <c r="I30" i="21"/>
  <c r="J30" i="21"/>
  <c r="F30" i="21"/>
  <c r="N31" i="20"/>
  <c r="G20" i="21"/>
  <c r="H20" i="21"/>
  <c r="I20" i="21"/>
  <c r="J20" i="21"/>
  <c r="G21" i="21"/>
  <c r="H21" i="21"/>
  <c r="I21" i="21"/>
  <c r="J21" i="21"/>
  <c r="G22" i="21"/>
  <c r="G29" i="21" s="1"/>
  <c r="G31" i="21" s="1"/>
  <c r="H22" i="21"/>
  <c r="H29" i="21" s="1"/>
  <c r="H31" i="21" s="1"/>
  <c r="I22" i="21"/>
  <c r="I29" i="21" s="1"/>
  <c r="I31" i="21" s="1"/>
  <c r="J22" i="21"/>
  <c r="G23" i="21"/>
  <c r="H23" i="21"/>
  <c r="I23" i="21"/>
  <c r="J23" i="21"/>
  <c r="G24" i="21"/>
  <c r="H24" i="21"/>
  <c r="I24" i="21"/>
  <c r="J24" i="21"/>
  <c r="G25" i="21"/>
  <c r="H25" i="21"/>
  <c r="I25" i="21"/>
  <c r="J25" i="21"/>
  <c r="G26" i="21"/>
  <c r="H26" i="21"/>
  <c r="I26" i="21"/>
  <c r="J26" i="21"/>
  <c r="G27" i="21"/>
  <c r="H27" i="21"/>
  <c r="I27" i="21"/>
  <c r="J27" i="21"/>
  <c r="F21" i="21"/>
  <c r="F22" i="21"/>
  <c r="F23" i="21"/>
  <c r="F24" i="21"/>
  <c r="F25" i="21"/>
  <c r="F26" i="21"/>
  <c r="F27" i="21"/>
  <c r="F20" i="21"/>
  <c r="F29" i="21" s="1"/>
  <c r="F31" i="21" s="1"/>
  <c r="B21" i="21"/>
  <c r="B22" i="21"/>
  <c r="B23" i="21"/>
  <c r="B24" i="21"/>
  <c r="B25" i="21"/>
  <c r="B26" i="21"/>
  <c r="B27" i="21"/>
  <c r="B20" i="21"/>
  <c r="G12" i="21"/>
  <c r="H12" i="21"/>
  <c r="I12" i="21"/>
  <c r="J12" i="21"/>
  <c r="G13" i="21"/>
  <c r="H13" i="21"/>
  <c r="I13" i="21"/>
  <c r="J13" i="21"/>
  <c r="G14" i="21"/>
  <c r="H14" i="21"/>
  <c r="I14" i="21"/>
  <c r="J14" i="21"/>
  <c r="F13" i="21"/>
  <c r="F14" i="21"/>
  <c r="F12" i="21"/>
  <c r="B13" i="21"/>
  <c r="B14" i="21"/>
  <c r="B12" i="21"/>
  <c r="G7" i="21"/>
  <c r="H7" i="21"/>
  <c r="I7" i="21"/>
  <c r="J7" i="21"/>
  <c r="G8" i="21"/>
  <c r="H8" i="21"/>
  <c r="I8" i="21"/>
  <c r="J8" i="21"/>
  <c r="G6" i="21"/>
  <c r="H6" i="21"/>
  <c r="I6" i="21"/>
  <c r="J6" i="21"/>
  <c r="F8" i="21"/>
  <c r="F7" i="21"/>
  <c r="F6" i="21"/>
  <c r="F5" i="21"/>
  <c r="G5" i="21"/>
  <c r="H5" i="21"/>
  <c r="I5" i="21"/>
  <c r="J5" i="21"/>
  <c r="D31" i="20"/>
  <c r="D42" i="20" s="1"/>
  <c r="E31" i="20"/>
  <c r="E42" i="20" s="1"/>
  <c r="F31" i="20"/>
  <c r="F42" i="20" s="1"/>
  <c r="G31" i="20"/>
  <c r="H31" i="20"/>
  <c r="H42" i="20" s="1"/>
  <c r="I31" i="20"/>
  <c r="J31" i="20"/>
  <c r="K31" i="20"/>
  <c r="L31" i="20"/>
  <c r="M31" i="20"/>
  <c r="C31" i="20"/>
  <c r="C42" i="20" s="1"/>
  <c r="O8" i="22" l="1"/>
  <c r="O16" i="22" s="1"/>
  <c r="O9" i="22"/>
  <c r="L8" i="22"/>
  <c r="P18" i="22"/>
  <c r="O26" i="22"/>
  <c r="P26" i="22"/>
  <c r="O11" i="22"/>
  <c r="P21" i="22"/>
  <c r="O14" i="22"/>
  <c r="L9" i="22"/>
  <c r="O10" i="22"/>
  <c r="O17" i="22" s="1"/>
  <c r="O28" i="22"/>
  <c r="P17" i="22"/>
  <c r="O12" i="22"/>
  <c r="O20" i="22"/>
  <c r="O19" i="22"/>
  <c r="O25" i="22" s="1"/>
  <c r="O27" i="22" s="1"/>
  <c r="O30" i="22" s="1"/>
  <c r="O32" i="22" s="1"/>
  <c r="L10" i="22"/>
  <c r="L11" i="22"/>
  <c r="L12" i="22"/>
  <c r="P16" i="22"/>
  <c r="L13" i="22"/>
  <c r="P28" i="22"/>
  <c r="F9" i="22"/>
  <c r="Q9" i="22" s="1"/>
  <c r="F10" i="22"/>
  <c r="Q10" i="22" s="1"/>
  <c r="P19" i="22"/>
  <c r="P25" i="22" s="1"/>
  <c r="P27" i="22" s="1"/>
  <c r="P30" i="22" s="1"/>
  <c r="P32" i="22" s="1"/>
  <c r="F11" i="22"/>
  <c r="Q11" i="22" s="1"/>
  <c r="F12" i="22"/>
  <c r="Q12" i="22" s="1"/>
  <c r="P20" i="22"/>
  <c r="F13" i="22"/>
  <c r="Q13" i="22" s="1"/>
  <c r="F14" i="22"/>
  <c r="Q14" i="22" s="1"/>
  <c r="F8" i="22"/>
  <c r="Q8" i="22" s="1"/>
  <c r="F9" i="21"/>
  <c r="I15" i="21"/>
  <c r="H15" i="21"/>
  <c r="J9" i="21"/>
  <c r="H9" i="21"/>
  <c r="J15" i="21"/>
  <c r="I9" i="21"/>
  <c r="G9" i="21"/>
  <c r="F15" i="21"/>
  <c r="G15" i="21"/>
  <c r="H8" i="16"/>
  <c r="N24" i="14" s="1"/>
  <c r="H23" i="14"/>
  <c r="G6" i="16"/>
  <c r="G8" i="16" s="1"/>
  <c r="F33" i="14"/>
  <c r="F32" i="14"/>
  <c r="M17" i="14"/>
  <c r="M18" i="14"/>
  <c r="N7" i="17"/>
  <c r="J7" i="17" s="1"/>
  <c r="J13" i="17" s="1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9" i="17"/>
  <c r="O18" i="22" l="1"/>
  <c r="O21" i="22"/>
  <c r="Q20" i="22"/>
  <c r="Q19" i="22"/>
  <c r="Q27" i="22" s="1"/>
  <c r="Q18" i="22"/>
  <c r="Q17" i="22"/>
  <c r="Q16" i="22"/>
  <c r="Q21" i="22"/>
  <c r="F17" i="21"/>
  <c r="F33" i="21" s="1"/>
  <c r="I17" i="21"/>
  <c r="I41" i="21" s="1"/>
  <c r="I47" i="21" s="1"/>
  <c r="J17" i="21"/>
  <c r="J41" i="21" s="1"/>
  <c r="J47" i="21" s="1"/>
  <c r="H17" i="21"/>
  <c r="G17" i="21"/>
  <c r="G41" i="21" s="1"/>
  <c r="G47" i="21" s="1"/>
  <c r="L14" i="14"/>
  <c r="L12" i="14"/>
  <c r="L13" i="14"/>
  <c r="K12" i="14"/>
  <c r="N12" i="14" s="1"/>
  <c r="L11" i="14"/>
  <c r="L15" i="14"/>
  <c r="K11" i="14"/>
  <c r="K15" i="14"/>
  <c r="K14" i="14"/>
  <c r="K13" i="14"/>
  <c r="H41" i="21" l="1"/>
  <c r="H47" i="21" s="1"/>
  <c r="Q25" i="22"/>
  <c r="Q30" i="22"/>
  <c r="Q32" i="22" s="1"/>
  <c r="G33" i="21"/>
  <c r="H33" i="21"/>
  <c r="J33" i="21"/>
  <c r="I33" i="21"/>
  <c r="D10" i="17" l="1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9" i="17"/>
  <c r="F34" i="14"/>
  <c r="G33" i="14" s="1"/>
  <c r="J17" i="14"/>
  <c r="J18" i="14"/>
  <c r="H24" i="14" s="1"/>
  <c r="N33" i="14" s="1"/>
  <c r="N11" i="14"/>
  <c r="N13" i="14"/>
  <c r="N14" i="14"/>
  <c r="N15" i="14"/>
  <c r="K17" i="14"/>
  <c r="L3" i="13"/>
  <c r="G3" i="13"/>
  <c r="C5" i="13"/>
  <c r="B3" i="13"/>
  <c r="D5" i="13" a="1"/>
  <c r="D13" i="13" s="1"/>
  <c r="C6" i="13"/>
  <c r="C7" i="13" s="1"/>
  <c r="C8" i="13" s="1"/>
  <c r="C9" i="13" s="1"/>
  <c r="C10" i="13" s="1"/>
  <c r="C11" i="13" s="1"/>
  <c r="C12" i="13" s="1"/>
  <c r="C13" i="13" s="1"/>
  <c r="C14" i="13" s="1"/>
  <c r="C15" i="13" s="1"/>
  <c r="C16" i="13" s="1"/>
  <c r="C17" i="13" s="1"/>
  <c r="C18" i="13" s="1"/>
  <c r="C19" i="13" s="1"/>
  <c r="H25" i="14" l="1"/>
  <c r="N41" i="14" s="1"/>
  <c r="G32" i="14"/>
  <c r="G36" i="14" s="1"/>
  <c r="G34" i="14"/>
  <c r="H34" i="14" s="1"/>
  <c r="N17" i="14"/>
  <c r="L17" i="14"/>
  <c r="H32" i="14" s="1"/>
  <c r="N42" i="14" s="1"/>
  <c r="N6" i="17"/>
  <c r="N5" i="17"/>
  <c r="K18" i="14"/>
  <c r="L18" i="14"/>
  <c r="N18" i="14"/>
  <c r="N31" i="14" s="1"/>
  <c r="D12" i="13"/>
  <c r="D11" i="13"/>
  <c r="E11" i="13" s="1"/>
  <c r="D10" i="13"/>
  <c r="D9" i="13"/>
  <c r="D8" i="13"/>
  <c r="D7" i="13"/>
  <c r="D6" i="13"/>
  <c r="D5" i="13"/>
  <c r="D14" i="13"/>
  <c r="E14" i="13" s="1"/>
  <c r="E12" i="13" l="1"/>
  <c r="H33" i="14"/>
  <c r="N39" i="14" s="1"/>
  <c r="D19" i="13"/>
  <c r="D17" i="13"/>
  <c r="E17" i="13" s="1"/>
  <c r="D16" i="13"/>
  <c r="E16" i="13" s="1"/>
  <c r="D18" i="13"/>
  <c r="E18" i="13" s="1"/>
  <c r="D15" i="13"/>
  <c r="E15" i="13" s="1"/>
  <c r="E6" i="13"/>
  <c r="E7" i="13"/>
  <c r="E8" i="13"/>
  <c r="E9" i="13"/>
  <c r="E10" i="13"/>
  <c r="E13" i="13"/>
  <c r="H36" i="14"/>
  <c r="N32" i="14" s="1"/>
  <c r="N34" i="14" s="1"/>
  <c r="N25" i="14" s="1"/>
  <c r="N26" i="14" s="1"/>
  <c r="N38" i="14" s="1"/>
  <c r="N44" i="14" s="1"/>
  <c r="D16" i="15" s="1"/>
  <c r="G10" i="15" l="1"/>
  <c r="D22" i="15"/>
  <c r="I10" i="15"/>
  <c r="H10" i="15"/>
  <c r="F10" i="15"/>
  <c r="J10" i="15"/>
  <c r="E19" i="13"/>
  <c r="H31" i="12"/>
  <c r="K31" i="12"/>
  <c r="E46" i="9"/>
  <c r="F46" i="9" s="1"/>
  <c r="G46" i="9" s="1"/>
  <c r="H46" i="9" s="1"/>
  <c r="I46" i="9" s="1"/>
  <c r="J46" i="9" s="1"/>
  <c r="K46" i="9" s="1"/>
  <c r="L46" i="9" s="1"/>
  <c r="M46" i="9" s="1"/>
  <c r="F29" i="12"/>
  <c r="G29" i="12"/>
  <c r="H29" i="12"/>
  <c r="I29" i="12"/>
  <c r="J29" i="12"/>
  <c r="D24" i="12"/>
  <c r="E24" i="12"/>
  <c r="F24" i="12"/>
  <c r="J24" i="12"/>
  <c r="K24" i="12"/>
  <c r="L24" i="12"/>
  <c r="E23" i="12"/>
  <c r="H23" i="12"/>
  <c r="L23" i="12"/>
  <c r="K19" i="12"/>
  <c r="L19" i="12"/>
  <c r="L7" i="12"/>
  <c r="F7" i="12"/>
  <c r="D7" i="12"/>
  <c r="C7" i="12"/>
  <c r="B2" i="12"/>
  <c r="L3" i="12"/>
  <c r="K3" i="12"/>
  <c r="J3" i="12"/>
  <c r="I3" i="12"/>
  <c r="H3" i="12"/>
  <c r="G3" i="12"/>
  <c r="F3" i="12"/>
  <c r="E3" i="12"/>
  <c r="D3" i="12"/>
  <c r="C3" i="12"/>
  <c r="B2" i="7"/>
  <c r="L40" i="11"/>
  <c r="L33" i="11"/>
  <c r="K27" i="11"/>
  <c r="K33" i="11" s="1"/>
  <c r="L27" i="11"/>
  <c r="I28" i="11"/>
  <c r="I34" i="11" s="1"/>
  <c r="K28" i="11"/>
  <c r="K34" i="11" s="1"/>
  <c r="H29" i="11"/>
  <c r="H35" i="11" s="1"/>
  <c r="I29" i="11"/>
  <c r="I35" i="11" s="1"/>
  <c r="K29" i="11"/>
  <c r="K35" i="11" s="1"/>
  <c r="L29" i="11"/>
  <c r="D30" i="11"/>
  <c r="G30" i="11"/>
  <c r="H30" i="11"/>
  <c r="I30" i="11"/>
  <c r="I31" i="11"/>
  <c r="K31" i="11"/>
  <c r="E9" i="11"/>
  <c r="H9" i="11"/>
  <c r="J9" i="11"/>
  <c r="K9" i="11"/>
  <c r="B2" i="11"/>
  <c r="L3" i="11"/>
  <c r="K3" i="11"/>
  <c r="J3" i="11"/>
  <c r="I3" i="11"/>
  <c r="H3" i="11"/>
  <c r="G3" i="11"/>
  <c r="F3" i="11"/>
  <c r="E3" i="11"/>
  <c r="D3" i="11"/>
  <c r="C3" i="11"/>
  <c r="G70" i="7"/>
  <c r="G71" i="7"/>
  <c r="H5" i="10"/>
  <c r="D9" i="10"/>
  <c r="E9" i="10"/>
  <c r="F9" i="10"/>
  <c r="H9" i="10"/>
  <c r="I9" i="10"/>
  <c r="J9" i="10"/>
  <c r="B2" i="10"/>
  <c r="L3" i="10"/>
  <c r="K3" i="10"/>
  <c r="J3" i="10"/>
  <c r="I3" i="10"/>
  <c r="H3" i="10"/>
  <c r="G3" i="10"/>
  <c r="F3" i="10"/>
  <c r="E3" i="10"/>
  <c r="D3" i="10"/>
  <c r="C3" i="10"/>
  <c r="L100" i="7"/>
  <c r="K100" i="7"/>
  <c r="J100" i="7"/>
  <c r="I100" i="7"/>
  <c r="H100" i="7"/>
  <c r="G100" i="7"/>
  <c r="F100" i="7"/>
  <c r="E100" i="7"/>
  <c r="D100" i="7"/>
  <c r="C100" i="7"/>
  <c r="L99" i="7"/>
  <c r="K99" i="7"/>
  <c r="J99" i="7"/>
  <c r="I99" i="7"/>
  <c r="H99" i="7"/>
  <c r="G99" i="7"/>
  <c r="F99" i="7"/>
  <c r="E99" i="7"/>
  <c r="D99" i="7"/>
  <c r="C99" i="7"/>
  <c r="L98" i="7"/>
  <c r="K98" i="7"/>
  <c r="J98" i="7"/>
  <c r="I98" i="7"/>
  <c r="H98" i="7"/>
  <c r="G98" i="7"/>
  <c r="F98" i="7"/>
  <c r="E98" i="7"/>
  <c r="D98" i="7"/>
  <c r="C98" i="7"/>
  <c r="L97" i="7"/>
  <c r="K97" i="7"/>
  <c r="J97" i="7"/>
  <c r="I97" i="7"/>
  <c r="H97" i="7"/>
  <c r="G97" i="7"/>
  <c r="F97" i="7"/>
  <c r="E97" i="7"/>
  <c r="D97" i="7"/>
  <c r="C97" i="7"/>
  <c r="L96" i="7"/>
  <c r="K96" i="7"/>
  <c r="J96" i="7"/>
  <c r="I96" i="7"/>
  <c r="H96" i="7"/>
  <c r="G96" i="7"/>
  <c r="F96" i="7"/>
  <c r="E96" i="7"/>
  <c r="D96" i="7"/>
  <c r="C96" i="7"/>
  <c r="L95" i="7"/>
  <c r="K95" i="7"/>
  <c r="J95" i="7"/>
  <c r="I95" i="7"/>
  <c r="H95" i="7"/>
  <c r="G95" i="7"/>
  <c r="F95" i="7"/>
  <c r="E95" i="7"/>
  <c r="D95" i="7"/>
  <c r="C95" i="7"/>
  <c r="L94" i="7"/>
  <c r="K94" i="7"/>
  <c r="J94" i="7"/>
  <c r="I94" i="7"/>
  <c r="H94" i="7"/>
  <c r="G94" i="7"/>
  <c r="F94" i="7"/>
  <c r="E94" i="7"/>
  <c r="D94" i="7"/>
  <c r="D101" i="7" s="1"/>
  <c r="C94" i="7"/>
  <c r="C90" i="7"/>
  <c r="C89" i="7"/>
  <c r="C88" i="7"/>
  <c r="C87" i="7"/>
  <c r="C86" i="7"/>
  <c r="C85" i="7"/>
  <c r="C84" i="7"/>
  <c r="C83" i="7"/>
  <c r="C82" i="7"/>
  <c r="J91" i="7"/>
  <c r="I91" i="7"/>
  <c r="H91" i="7"/>
  <c r="G91" i="7"/>
  <c r="C81" i="7"/>
  <c r="C91" i="7" s="1"/>
  <c r="L77" i="7"/>
  <c r="K77" i="7"/>
  <c r="J77" i="7"/>
  <c r="I77" i="7"/>
  <c r="H77" i="7"/>
  <c r="G77" i="7"/>
  <c r="G78" i="7" s="1"/>
  <c r="F77" i="7"/>
  <c r="E77" i="7"/>
  <c r="D77" i="7"/>
  <c r="C77" i="7"/>
  <c r="L76" i="7"/>
  <c r="K76" i="7"/>
  <c r="J76" i="7"/>
  <c r="I76" i="7"/>
  <c r="H76" i="7"/>
  <c r="G76" i="7"/>
  <c r="F76" i="7"/>
  <c r="E76" i="7"/>
  <c r="D76" i="7"/>
  <c r="C76" i="7"/>
  <c r="L75" i="7"/>
  <c r="K75" i="7"/>
  <c r="J75" i="7"/>
  <c r="I75" i="7"/>
  <c r="H75" i="7"/>
  <c r="G75" i="7"/>
  <c r="F75" i="7"/>
  <c r="E75" i="7"/>
  <c r="D75" i="7"/>
  <c r="C75" i="7"/>
  <c r="L74" i="7"/>
  <c r="K74" i="7"/>
  <c r="J74" i="7"/>
  <c r="I74" i="7"/>
  <c r="H74" i="7"/>
  <c r="G74" i="7"/>
  <c r="F74" i="7"/>
  <c r="E74" i="7"/>
  <c r="D74" i="7"/>
  <c r="C74" i="7"/>
  <c r="L73" i="7"/>
  <c r="K73" i="7"/>
  <c r="J73" i="7"/>
  <c r="I73" i="7"/>
  <c r="H73" i="7"/>
  <c r="G73" i="7"/>
  <c r="F73" i="7"/>
  <c r="E73" i="7"/>
  <c r="D73" i="7"/>
  <c r="C73" i="7"/>
  <c r="L72" i="7"/>
  <c r="K72" i="7"/>
  <c r="J72" i="7"/>
  <c r="I72" i="7"/>
  <c r="H72" i="7"/>
  <c r="G72" i="7"/>
  <c r="F72" i="7"/>
  <c r="E72" i="7"/>
  <c r="D72" i="7"/>
  <c r="C72" i="7"/>
  <c r="L71" i="7"/>
  <c r="K71" i="7"/>
  <c r="J71" i="7"/>
  <c r="I71" i="7"/>
  <c r="H71" i="7"/>
  <c r="F71" i="7"/>
  <c r="E71" i="7"/>
  <c r="D71" i="7"/>
  <c r="C71" i="7"/>
  <c r="L70" i="7"/>
  <c r="L78" i="7" s="1"/>
  <c r="K70" i="7"/>
  <c r="J70" i="7"/>
  <c r="I70" i="7"/>
  <c r="H70" i="7"/>
  <c r="F70" i="7"/>
  <c r="F78" i="7" s="1"/>
  <c r="E70" i="7"/>
  <c r="E78" i="7" s="1"/>
  <c r="D70" i="7"/>
  <c r="C70" i="7"/>
  <c r="D56" i="7"/>
  <c r="E56" i="7"/>
  <c r="F56" i="7"/>
  <c r="G56" i="7"/>
  <c r="H56" i="7"/>
  <c r="I56" i="7"/>
  <c r="J56" i="7"/>
  <c r="K56" i="7"/>
  <c r="L56" i="7"/>
  <c r="C56" i="7"/>
  <c r="L61" i="7"/>
  <c r="K61" i="7"/>
  <c r="J61" i="7"/>
  <c r="I61" i="7"/>
  <c r="I7" i="12" s="1"/>
  <c r="H61" i="7"/>
  <c r="H7" i="12" s="1"/>
  <c r="G61" i="7"/>
  <c r="F61" i="7"/>
  <c r="E61" i="7"/>
  <c r="E7" i="12" s="1"/>
  <c r="D61" i="7"/>
  <c r="C61" i="7"/>
  <c r="L60" i="7"/>
  <c r="K60" i="7"/>
  <c r="J60" i="7"/>
  <c r="I60" i="7"/>
  <c r="H60" i="7"/>
  <c r="H62" i="7" s="1"/>
  <c r="H6" i="12" s="1"/>
  <c r="G60" i="7"/>
  <c r="G29" i="11" s="1"/>
  <c r="F60" i="7"/>
  <c r="E60" i="7"/>
  <c r="D60" i="7"/>
  <c r="C60" i="7"/>
  <c r="L59" i="7"/>
  <c r="K59" i="7"/>
  <c r="J59" i="7"/>
  <c r="I59" i="7"/>
  <c r="H59" i="7"/>
  <c r="H27" i="11" s="1"/>
  <c r="H33" i="11" s="1"/>
  <c r="G59" i="7"/>
  <c r="F59" i="7"/>
  <c r="E59" i="7"/>
  <c r="D59" i="7"/>
  <c r="C59" i="7"/>
  <c r="C27" i="11" s="1"/>
  <c r="L55" i="7"/>
  <c r="K55" i="7"/>
  <c r="J55" i="7"/>
  <c r="I55" i="7"/>
  <c r="H55" i="7"/>
  <c r="G55" i="7"/>
  <c r="F55" i="7"/>
  <c r="E55" i="7"/>
  <c r="D55" i="7"/>
  <c r="C55" i="7"/>
  <c r="L54" i="7"/>
  <c r="K54" i="7"/>
  <c r="J54" i="7"/>
  <c r="I54" i="7"/>
  <c r="H54" i="7"/>
  <c r="G54" i="7"/>
  <c r="F54" i="7"/>
  <c r="E54" i="7"/>
  <c r="D54" i="7"/>
  <c r="C54" i="7"/>
  <c r="L53" i="7"/>
  <c r="K53" i="7"/>
  <c r="J53" i="7"/>
  <c r="I53" i="7"/>
  <c r="H53" i="7"/>
  <c r="G53" i="7"/>
  <c r="G57" i="7" s="1"/>
  <c r="F53" i="7"/>
  <c r="F30" i="11" s="1"/>
  <c r="E53" i="7"/>
  <c r="D53" i="7"/>
  <c r="C53" i="7"/>
  <c r="L51" i="7"/>
  <c r="K51" i="7"/>
  <c r="J51" i="7"/>
  <c r="I51" i="7"/>
  <c r="H51" i="7"/>
  <c r="G51" i="7"/>
  <c r="F51" i="7"/>
  <c r="E51" i="7"/>
  <c r="D51" i="7"/>
  <c r="L50" i="7"/>
  <c r="K50" i="7"/>
  <c r="J50" i="7"/>
  <c r="I50" i="7"/>
  <c r="H50" i="7"/>
  <c r="H28" i="11" s="1"/>
  <c r="H34" i="11" s="1"/>
  <c r="G50" i="7"/>
  <c r="G7" i="12" s="1"/>
  <c r="F50" i="7"/>
  <c r="F28" i="11" s="1"/>
  <c r="F34" i="11" s="1"/>
  <c r="E50" i="7"/>
  <c r="D50" i="7"/>
  <c r="D28" i="11" s="1"/>
  <c r="D34" i="11" s="1"/>
  <c r="L49" i="7"/>
  <c r="K49" i="7"/>
  <c r="J49" i="7"/>
  <c r="I49" i="7"/>
  <c r="I24" i="12" s="1"/>
  <c r="H49" i="7"/>
  <c r="G49" i="7"/>
  <c r="F49" i="7"/>
  <c r="E49" i="7"/>
  <c r="D49" i="7"/>
  <c r="D23" i="12" s="1"/>
  <c r="D48" i="7"/>
  <c r="E48" i="7"/>
  <c r="F48" i="7"/>
  <c r="G48" i="7"/>
  <c r="H48" i="7"/>
  <c r="H31" i="11" s="1"/>
  <c r="I48" i="7"/>
  <c r="J48" i="7"/>
  <c r="K48" i="7"/>
  <c r="L48" i="7"/>
  <c r="C51" i="7"/>
  <c r="C50" i="7"/>
  <c r="C28" i="11" s="1"/>
  <c r="C49" i="7"/>
  <c r="C48" i="7"/>
  <c r="D47" i="7"/>
  <c r="E47" i="7"/>
  <c r="F47" i="7"/>
  <c r="G47" i="7"/>
  <c r="H47" i="7"/>
  <c r="H24" i="12" s="1"/>
  <c r="I47" i="7"/>
  <c r="J47" i="7"/>
  <c r="K47" i="7"/>
  <c r="K23" i="12" s="1"/>
  <c r="L47" i="7"/>
  <c r="C47" i="7"/>
  <c r="C23" i="12" s="1"/>
  <c r="C36" i="7"/>
  <c r="C31" i="12" s="1"/>
  <c r="D36" i="7"/>
  <c r="D41" i="7" s="1"/>
  <c r="E36" i="7"/>
  <c r="E41" i="7" s="1"/>
  <c r="E29" i="12" s="1"/>
  <c r="F36" i="7"/>
  <c r="F41" i="7" s="1"/>
  <c r="F9" i="11" s="1"/>
  <c r="G36" i="7"/>
  <c r="G41" i="7" s="1"/>
  <c r="H36" i="7"/>
  <c r="H41" i="7" s="1"/>
  <c r="G9" i="10" s="1"/>
  <c r="I36" i="7"/>
  <c r="I41" i="7" s="1"/>
  <c r="I9" i="11" s="1"/>
  <c r="J36" i="7"/>
  <c r="J41" i="7" s="1"/>
  <c r="K36" i="7"/>
  <c r="K41" i="7" s="1"/>
  <c r="K29" i="12" s="1"/>
  <c r="L36" i="7"/>
  <c r="M36" i="7"/>
  <c r="M41" i="7" s="1"/>
  <c r="M30" i="7"/>
  <c r="D30" i="7"/>
  <c r="E30" i="7"/>
  <c r="F30" i="7"/>
  <c r="G30" i="7"/>
  <c r="H30" i="7"/>
  <c r="I30" i="7"/>
  <c r="J30" i="7"/>
  <c r="K30" i="7"/>
  <c r="L30" i="7"/>
  <c r="C30" i="7"/>
  <c r="D24" i="7"/>
  <c r="E24" i="7"/>
  <c r="F24" i="7"/>
  <c r="G24" i="7"/>
  <c r="H24" i="7"/>
  <c r="I24" i="7"/>
  <c r="J24" i="7"/>
  <c r="K24" i="7"/>
  <c r="L24" i="7"/>
  <c r="M24" i="7"/>
  <c r="C24" i="7"/>
  <c r="M21" i="7"/>
  <c r="D21" i="7"/>
  <c r="E21" i="7"/>
  <c r="F21" i="7"/>
  <c r="G21" i="7"/>
  <c r="H21" i="7"/>
  <c r="I21" i="7"/>
  <c r="J21" i="7"/>
  <c r="K21" i="7"/>
  <c r="L21" i="7"/>
  <c r="C21" i="7"/>
  <c r="D15" i="7"/>
  <c r="E15" i="7"/>
  <c r="F15" i="7"/>
  <c r="G15" i="7"/>
  <c r="H15" i="7"/>
  <c r="I15" i="7"/>
  <c r="J15" i="7"/>
  <c r="K15" i="7"/>
  <c r="L15" i="7"/>
  <c r="M15" i="7"/>
  <c r="C15" i="7"/>
  <c r="M9" i="7"/>
  <c r="D9" i="7"/>
  <c r="E9" i="7"/>
  <c r="F9" i="7"/>
  <c r="G9" i="7"/>
  <c r="H9" i="7"/>
  <c r="I9" i="7"/>
  <c r="J9" i="7"/>
  <c r="K9" i="7"/>
  <c r="K12" i="7" s="1"/>
  <c r="L9" i="7"/>
  <c r="C9" i="7"/>
  <c r="M6" i="7"/>
  <c r="D6" i="7"/>
  <c r="E6" i="7"/>
  <c r="E28" i="11" s="1"/>
  <c r="E34" i="11" s="1"/>
  <c r="F6" i="7"/>
  <c r="G6" i="7"/>
  <c r="H6" i="7"/>
  <c r="I6" i="7"/>
  <c r="I7" i="7" s="1"/>
  <c r="I5" i="11" s="1"/>
  <c r="J6" i="7"/>
  <c r="K6" i="7"/>
  <c r="K30" i="11" s="1"/>
  <c r="L6" i="7"/>
  <c r="L31" i="11" s="1"/>
  <c r="C6" i="7"/>
  <c r="C31" i="11" s="1"/>
  <c r="D3" i="7"/>
  <c r="E3" i="7"/>
  <c r="F3" i="7"/>
  <c r="G3" i="7"/>
  <c r="H3" i="7"/>
  <c r="I3" i="7"/>
  <c r="J3" i="7"/>
  <c r="K3" i="7"/>
  <c r="L3" i="7"/>
  <c r="C6" i="3"/>
  <c r="D6" i="3"/>
  <c r="E6" i="3"/>
  <c r="F6" i="3"/>
  <c r="G6" i="3"/>
  <c r="H6" i="3"/>
  <c r="I6" i="3"/>
  <c r="J6" i="3"/>
  <c r="K6" i="3"/>
  <c r="B6" i="3"/>
  <c r="C5" i="1"/>
  <c r="C6" i="1" s="1"/>
  <c r="D5" i="1"/>
  <c r="E5" i="1"/>
  <c r="F5" i="1"/>
  <c r="G5" i="1"/>
  <c r="H5" i="1"/>
  <c r="I5" i="1"/>
  <c r="J5" i="1"/>
  <c r="K5" i="1"/>
  <c r="B5" i="1"/>
  <c r="B6" i="6"/>
  <c r="D36" i="15" s="1"/>
  <c r="C17" i="2"/>
  <c r="C20" i="2" s="1"/>
  <c r="D17" i="2"/>
  <c r="E17" i="2"/>
  <c r="F17" i="2"/>
  <c r="G17" i="2"/>
  <c r="H17" i="2"/>
  <c r="I17" i="2"/>
  <c r="J17" i="2"/>
  <c r="K17" i="2"/>
  <c r="C18" i="2"/>
  <c r="D18" i="2"/>
  <c r="E18" i="2"/>
  <c r="E21" i="2" s="1"/>
  <c r="F18" i="2"/>
  <c r="F21" i="2" s="1"/>
  <c r="G18" i="2"/>
  <c r="H18" i="2"/>
  <c r="I18" i="2"/>
  <c r="J18" i="2"/>
  <c r="K18" i="2"/>
  <c r="B17" i="2"/>
  <c r="C4" i="2"/>
  <c r="D4" i="2"/>
  <c r="E4" i="2"/>
  <c r="E5" i="2"/>
  <c r="F4" i="2"/>
  <c r="G4" i="2"/>
  <c r="H4" i="2"/>
  <c r="I4" i="2"/>
  <c r="I5" i="2"/>
  <c r="I23" i="2"/>
  <c r="J4" i="2"/>
  <c r="J5" i="2"/>
  <c r="K4" i="2"/>
  <c r="C5" i="2"/>
  <c r="C23" i="2" s="1"/>
  <c r="D5" i="2"/>
  <c r="F5" i="2"/>
  <c r="F23" i="2" s="1"/>
  <c r="G5" i="2"/>
  <c r="H5" i="2"/>
  <c r="K5" i="2"/>
  <c r="C6" i="2"/>
  <c r="D6" i="2"/>
  <c r="E6" i="2"/>
  <c r="F6" i="2"/>
  <c r="G6" i="2"/>
  <c r="H6" i="2"/>
  <c r="I6" i="2"/>
  <c r="J6" i="2"/>
  <c r="K6" i="2"/>
  <c r="C7" i="2"/>
  <c r="D7" i="2"/>
  <c r="D16" i="2" s="1"/>
  <c r="E7" i="2"/>
  <c r="F7" i="2"/>
  <c r="G7" i="2"/>
  <c r="H7" i="2"/>
  <c r="I7" i="2"/>
  <c r="J7" i="2"/>
  <c r="K7" i="2"/>
  <c r="C8" i="2"/>
  <c r="D8" i="2"/>
  <c r="E8" i="2"/>
  <c r="F8" i="2"/>
  <c r="G8" i="2"/>
  <c r="H8" i="2"/>
  <c r="I8" i="2"/>
  <c r="J8" i="2"/>
  <c r="K8" i="2"/>
  <c r="C10" i="2"/>
  <c r="D10" i="2"/>
  <c r="E10" i="2"/>
  <c r="F10" i="2"/>
  <c r="G10" i="2"/>
  <c r="H10" i="2"/>
  <c r="I10" i="2"/>
  <c r="J10" i="2"/>
  <c r="K10" i="2"/>
  <c r="C11" i="2"/>
  <c r="D11" i="2"/>
  <c r="E11" i="2"/>
  <c r="F11" i="2"/>
  <c r="G11" i="2"/>
  <c r="H11" i="2"/>
  <c r="I11" i="2"/>
  <c r="J11" i="2"/>
  <c r="K11" i="2"/>
  <c r="C12" i="2"/>
  <c r="D12" i="2"/>
  <c r="E12" i="2"/>
  <c r="F12" i="2"/>
  <c r="G12" i="2"/>
  <c r="H12" i="2"/>
  <c r="I12" i="2"/>
  <c r="J12" i="2"/>
  <c r="K12" i="2"/>
  <c r="C13" i="2"/>
  <c r="C16" i="2" s="1"/>
  <c r="D13" i="2"/>
  <c r="E13" i="2"/>
  <c r="F13" i="2"/>
  <c r="G13" i="2"/>
  <c r="H13" i="2"/>
  <c r="I13" i="2"/>
  <c r="J13" i="2"/>
  <c r="K13" i="2"/>
  <c r="K16" i="2" s="1"/>
  <c r="C14" i="2"/>
  <c r="D14" i="2"/>
  <c r="E14" i="2"/>
  <c r="F14" i="2"/>
  <c r="G14" i="2"/>
  <c r="H14" i="2"/>
  <c r="I14" i="2"/>
  <c r="J14" i="2"/>
  <c r="K14" i="2"/>
  <c r="B14" i="2"/>
  <c r="B5" i="2"/>
  <c r="B4" i="2"/>
  <c r="C4" i="4"/>
  <c r="D4" i="4"/>
  <c r="E4" i="4"/>
  <c r="F4" i="4"/>
  <c r="G4" i="4"/>
  <c r="H4" i="4"/>
  <c r="I4" i="4"/>
  <c r="J4" i="4"/>
  <c r="K4" i="4"/>
  <c r="C5" i="4"/>
  <c r="D5" i="4"/>
  <c r="E5" i="4"/>
  <c r="F5" i="4"/>
  <c r="G5" i="4"/>
  <c r="H5" i="4"/>
  <c r="I5" i="4"/>
  <c r="J5" i="4"/>
  <c r="K5" i="4"/>
  <c r="C6" i="4"/>
  <c r="D6" i="4"/>
  <c r="E6" i="4"/>
  <c r="F6" i="4"/>
  <c r="G6" i="4"/>
  <c r="H6" i="4"/>
  <c r="I6" i="4"/>
  <c r="J6" i="4"/>
  <c r="K6" i="4"/>
  <c r="C7" i="4"/>
  <c r="D7" i="4"/>
  <c r="E7" i="4"/>
  <c r="F7" i="4"/>
  <c r="G7" i="4"/>
  <c r="H7" i="4"/>
  <c r="I7" i="4"/>
  <c r="J7" i="4"/>
  <c r="K7" i="4"/>
  <c r="C4" i="3"/>
  <c r="C14" i="3" s="1"/>
  <c r="D4" i="3"/>
  <c r="D14" i="3" s="1"/>
  <c r="E4" i="3"/>
  <c r="F4" i="3"/>
  <c r="G4" i="3"/>
  <c r="H4" i="3"/>
  <c r="I4" i="3"/>
  <c r="J4" i="3"/>
  <c r="K4" i="3"/>
  <c r="C5" i="3"/>
  <c r="D5" i="3"/>
  <c r="E5" i="3"/>
  <c r="F5" i="3"/>
  <c r="G5" i="3"/>
  <c r="H5" i="3"/>
  <c r="I5" i="3"/>
  <c r="J5" i="3"/>
  <c r="K5" i="3"/>
  <c r="C7" i="3"/>
  <c r="D7" i="3"/>
  <c r="E7" i="3"/>
  <c r="F7" i="3"/>
  <c r="G7" i="3"/>
  <c r="H7" i="3"/>
  <c r="I7" i="3"/>
  <c r="J7" i="3"/>
  <c r="K7" i="3"/>
  <c r="C8" i="3"/>
  <c r="D8" i="3"/>
  <c r="E8" i="3"/>
  <c r="F8" i="3"/>
  <c r="G8" i="3"/>
  <c r="H8" i="3"/>
  <c r="I8" i="3"/>
  <c r="L8" i="1" s="1"/>
  <c r="J8" i="3"/>
  <c r="K8" i="3"/>
  <c r="C9" i="3"/>
  <c r="D9" i="3"/>
  <c r="E9" i="3"/>
  <c r="F9" i="3"/>
  <c r="G9" i="3"/>
  <c r="H9" i="3"/>
  <c r="I9" i="3"/>
  <c r="J9" i="3"/>
  <c r="K9" i="3"/>
  <c r="C10" i="3"/>
  <c r="D10" i="3"/>
  <c r="E10" i="3"/>
  <c r="F10" i="3"/>
  <c r="G10" i="3"/>
  <c r="H10" i="3"/>
  <c r="I10" i="3"/>
  <c r="J10" i="3"/>
  <c r="K10" i="3"/>
  <c r="C11" i="3"/>
  <c r="D11" i="3"/>
  <c r="E11" i="3"/>
  <c r="F11" i="3"/>
  <c r="G11" i="3"/>
  <c r="H11" i="3"/>
  <c r="I11" i="3"/>
  <c r="J11" i="3"/>
  <c r="K11" i="3"/>
  <c r="C12" i="3"/>
  <c r="D12" i="3"/>
  <c r="E12" i="3"/>
  <c r="F12" i="3"/>
  <c r="G12" i="3"/>
  <c r="H12" i="3"/>
  <c r="I12" i="3"/>
  <c r="J12" i="3"/>
  <c r="K12" i="3"/>
  <c r="B5" i="3"/>
  <c r="C18" i="1"/>
  <c r="D18" i="1"/>
  <c r="E18" i="1"/>
  <c r="F18" i="1"/>
  <c r="G18" i="1"/>
  <c r="H18" i="1"/>
  <c r="I18" i="1"/>
  <c r="J18" i="1"/>
  <c r="K18" i="1"/>
  <c r="B18" i="1"/>
  <c r="C4" i="1"/>
  <c r="D4" i="1"/>
  <c r="E4" i="1"/>
  <c r="F4" i="1"/>
  <c r="G4" i="1"/>
  <c r="G20" i="2" s="1"/>
  <c r="H4" i="1"/>
  <c r="I4" i="1"/>
  <c r="J4" i="1"/>
  <c r="J6" i="1" s="1"/>
  <c r="J19" i="1" s="1"/>
  <c r="K4" i="1"/>
  <c r="J23" i="1" s="1"/>
  <c r="C7" i="1"/>
  <c r="D7" i="1"/>
  <c r="E7" i="1"/>
  <c r="F7" i="1"/>
  <c r="G7" i="1"/>
  <c r="H7" i="1"/>
  <c r="I7" i="1"/>
  <c r="J7" i="1"/>
  <c r="K7" i="1"/>
  <c r="C8" i="1"/>
  <c r="D8" i="1"/>
  <c r="E8" i="1"/>
  <c r="F8" i="1"/>
  <c r="G8" i="1"/>
  <c r="H8" i="1"/>
  <c r="I8" i="1"/>
  <c r="J8" i="1"/>
  <c r="K8" i="1"/>
  <c r="C9" i="1"/>
  <c r="D9" i="1"/>
  <c r="E9" i="1"/>
  <c r="F9" i="1"/>
  <c r="G9" i="1"/>
  <c r="H9" i="1"/>
  <c r="I9" i="1"/>
  <c r="J9" i="1"/>
  <c r="K9" i="1"/>
  <c r="C10" i="1"/>
  <c r="D10" i="1"/>
  <c r="E10" i="1"/>
  <c r="F10" i="1"/>
  <c r="G10" i="1"/>
  <c r="H10" i="1"/>
  <c r="I10" i="1"/>
  <c r="J10" i="1"/>
  <c r="K10" i="1"/>
  <c r="C11" i="1"/>
  <c r="D11" i="1"/>
  <c r="E11" i="1"/>
  <c r="F11" i="1"/>
  <c r="G11" i="1"/>
  <c r="H11" i="1"/>
  <c r="I11" i="1"/>
  <c r="J11" i="1"/>
  <c r="K11" i="1"/>
  <c r="C12" i="1"/>
  <c r="C13" i="1" s="1"/>
  <c r="D12" i="1"/>
  <c r="E12" i="1"/>
  <c r="F12" i="1"/>
  <c r="F13" i="1" s="1"/>
  <c r="G12" i="1"/>
  <c r="G13" i="1" s="1"/>
  <c r="G14" i="1" s="1"/>
  <c r="H12" i="1"/>
  <c r="H23" i="2" s="1"/>
  <c r="I12" i="1"/>
  <c r="J12" i="1"/>
  <c r="J13" i="1" s="1"/>
  <c r="J14" i="1" s="1"/>
  <c r="K12" i="1"/>
  <c r="K13" i="1" s="1"/>
  <c r="C15" i="1"/>
  <c r="D15" i="1"/>
  <c r="E15" i="1"/>
  <c r="F15" i="1"/>
  <c r="G15" i="1"/>
  <c r="H15" i="1"/>
  <c r="I15" i="1"/>
  <c r="J15" i="1"/>
  <c r="K15" i="1"/>
  <c r="B15" i="1"/>
  <c r="I13" i="1"/>
  <c r="B7" i="1"/>
  <c r="B4" i="1"/>
  <c r="B21" i="2" s="1"/>
  <c r="A1" i="1"/>
  <c r="E1" i="6"/>
  <c r="C19" i="1"/>
  <c r="C3" i="4"/>
  <c r="D3" i="4"/>
  <c r="E3" i="4"/>
  <c r="F3" i="4"/>
  <c r="G3" i="4"/>
  <c r="H3" i="4"/>
  <c r="I3" i="4"/>
  <c r="J3" i="4"/>
  <c r="K3" i="4"/>
  <c r="C3" i="2"/>
  <c r="D3" i="2"/>
  <c r="E3" i="2"/>
  <c r="F3" i="2"/>
  <c r="G3" i="2"/>
  <c r="H3" i="2"/>
  <c r="I3" i="2"/>
  <c r="J3" i="2"/>
  <c r="K3" i="2"/>
  <c r="C3" i="3"/>
  <c r="D3" i="3"/>
  <c r="E3" i="3"/>
  <c r="F3" i="3"/>
  <c r="G3" i="3"/>
  <c r="H3" i="3"/>
  <c r="I3" i="3"/>
  <c r="J3" i="3"/>
  <c r="K3" i="3"/>
  <c r="C3" i="1"/>
  <c r="D3" i="1"/>
  <c r="E3" i="1"/>
  <c r="F3" i="1"/>
  <c r="G3" i="1"/>
  <c r="H3" i="1"/>
  <c r="I3" i="1"/>
  <c r="J3" i="1"/>
  <c r="K3" i="1"/>
  <c r="B7" i="4"/>
  <c r="B6" i="4"/>
  <c r="B5" i="4"/>
  <c r="B4" i="4"/>
  <c r="B3" i="4"/>
  <c r="J21" i="2"/>
  <c r="C21" i="2"/>
  <c r="B18" i="2"/>
  <c r="B13" i="2"/>
  <c r="B12" i="2"/>
  <c r="B11" i="2"/>
  <c r="B10" i="2"/>
  <c r="B8" i="2"/>
  <c r="B7" i="2"/>
  <c r="B6" i="2"/>
  <c r="B3" i="2"/>
  <c r="J14" i="3"/>
  <c r="B12" i="3"/>
  <c r="B11" i="3"/>
  <c r="B10" i="3"/>
  <c r="B9" i="3"/>
  <c r="B8" i="3"/>
  <c r="B7" i="3"/>
  <c r="B4" i="3"/>
  <c r="B3" i="3"/>
  <c r="L15" i="1"/>
  <c r="B12" i="1"/>
  <c r="B13" i="1" s="1"/>
  <c r="B11" i="1"/>
  <c r="B10" i="1"/>
  <c r="B9" i="1"/>
  <c r="B8" i="1"/>
  <c r="B3" i="1"/>
  <c r="G14" i="3"/>
  <c r="C33" i="11" l="1"/>
  <c r="G38" i="11"/>
  <c r="G40" i="11"/>
  <c r="C34" i="11"/>
  <c r="O31" i="11"/>
  <c r="J7" i="7"/>
  <c r="J28" i="11"/>
  <c r="J34" i="11" s="1"/>
  <c r="J29" i="11"/>
  <c r="J31" i="11"/>
  <c r="J27" i="11"/>
  <c r="J33" i="11" s="1"/>
  <c r="J30" i="11"/>
  <c r="J19" i="12"/>
  <c r="L41" i="7"/>
  <c r="L31" i="12"/>
  <c r="G31" i="11"/>
  <c r="G31" i="12"/>
  <c r="G23" i="12"/>
  <c r="I27" i="11"/>
  <c r="I33" i="11" s="1"/>
  <c r="I19" i="12"/>
  <c r="G24" i="12"/>
  <c r="E38" i="11"/>
  <c r="E40" i="11"/>
  <c r="F38" i="11"/>
  <c r="F40" i="11"/>
  <c r="H1" i="1"/>
  <c r="E1" i="2"/>
  <c r="E1" i="3"/>
  <c r="K62" i="7"/>
  <c r="K7" i="12"/>
  <c r="I23" i="12"/>
  <c r="L101" i="7"/>
  <c r="E24" i="2"/>
  <c r="D29" i="12"/>
  <c r="G35" i="11"/>
  <c r="G18" i="12"/>
  <c r="G101" i="7"/>
  <c r="G103" i="7" s="1"/>
  <c r="C101" i="7"/>
  <c r="G9" i="11"/>
  <c r="H5" i="12"/>
  <c r="H19" i="12"/>
  <c r="C24" i="12"/>
  <c r="J7" i="12"/>
  <c r="H36" i="11"/>
  <c r="D19" i="12"/>
  <c r="D27" i="11"/>
  <c r="D33" i="11" s="1"/>
  <c r="D29" i="11"/>
  <c r="D31" i="11"/>
  <c r="H78" i="7"/>
  <c r="E101" i="7"/>
  <c r="A1" i="3"/>
  <c r="A1" i="2"/>
  <c r="A1" i="4" s="1"/>
  <c r="F101" i="7"/>
  <c r="L5" i="1"/>
  <c r="J16" i="2"/>
  <c r="G16" i="2"/>
  <c r="G23" i="2"/>
  <c r="C41" i="7"/>
  <c r="G28" i="11"/>
  <c r="G34" i="11" s="1"/>
  <c r="K18" i="12"/>
  <c r="F23" i="12"/>
  <c r="L35" i="11"/>
  <c r="L18" i="12"/>
  <c r="I62" i="7"/>
  <c r="J101" i="7"/>
  <c r="E23" i="2"/>
  <c r="I57" i="7"/>
  <c r="F16" i="2"/>
  <c r="K23" i="2"/>
  <c r="I21" i="2"/>
  <c r="L6" i="1"/>
  <c r="C30" i="11"/>
  <c r="O30" i="11" s="1"/>
  <c r="C19" i="12"/>
  <c r="C29" i="11"/>
  <c r="J23" i="12"/>
  <c r="J31" i="12"/>
  <c r="D57" i="7"/>
  <c r="F62" i="7"/>
  <c r="F64" i="7" s="1"/>
  <c r="L38" i="11"/>
  <c r="F31" i="12"/>
  <c r="E62" i="7"/>
  <c r="J23" i="2"/>
  <c r="H21" i="2"/>
  <c r="L28" i="11"/>
  <c r="L34" i="11" s="1"/>
  <c r="L30" i="11"/>
  <c r="E57" i="7"/>
  <c r="G62" i="7"/>
  <c r="G19" i="12"/>
  <c r="G27" i="11"/>
  <c r="G33" i="11" s="1"/>
  <c r="N33" i="11" s="1"/>
  <c r="E31" i="12"/>
  <c r="I101" i="7"/>
  <c r="I18" i="12"/>
  <c r="L11" i="1"/>
  <c r="C57" i="7"/>
  <c r="K101" i="7"/>
  <c r="H18" i="12"/>
  <c r="J20" i="2"/>
  <c r="I14" i="1"/>
  <c r="K25" i="1" s="1"/>
  <c r="M25" i="1" s="1"/>
  <c r="M14" i="1" s="1"/>
  <c r="K14" i="3"/>
  <c r="G21" i="2"/>
  <c r="D31" i="12"/>
  <c r="E6" i="1"/>
  <c r="E19" i="1" s="1"/>
  <c r="H14" i="3"/>
  <c r="D21" i="2"/>
  <c r="I78" i="7"/>
  <c r="F31" i="11"/>
  <c r="F29" i="11"/>
  <c r="F27" i="11"/>
  <c r="F33" i="11" s="1"/>
  <c r="F19" i="12"/>
  <c r="L12" i="1"/>
  <c r="L13" i="1" s="1"/>
  <c r="L14" i="1" s="1"/>
  <c r="L25" i="1" s="1"/>
  <c r="L10" i="1"/>
  <c r="J57" i="7"/>
  <c r="F57" i="7"/>
  <c r="L62" i="7"/>
  <c r="J78" i="7"/>
  <c r="D91" i="7"/>
  <c r="L91" i="7"/>
  <c r="L103" i="7" s="1"/>
  <c r="E31" i="11"/>
  <c r="E29" i="11"/>
  <c r="E27" i="11"/>
  <c r="E33" i="11" s="1"/>
  <c r="E19" i="12"/>
  <c r="H57" i="7"/>
  <c r="F14" i="3"/>
  <c r="G6" i="1"/>
  <c r="G19" i="1" s="1"/>
  <c r="K57" i="7"/>
  <c r="C62" i="7"/>
  <c r="C78" i="7"/>
  <c r="K78" i="7"/>
  <c r="E91" i="7"/>
  <c r="E103" i="7" s="1"/>
  <c r="K91" i="7"/>
  <c r="I14" i="3"/>
  <c r="D6" i="1"/>
  <c r="D19" i="1" s="1"/>
  <c r="E20" i="2"/>
  <c r="C14" i="1"/>
  <c r="E14" i="3"/>
  <c r="L57" i="7"/>
  <c r="F91" i="7"/>
  <c r="F103" i="7" s="1"/>
  <c r="F14" i="1"/>
  <c r="H16" i="2"/>
  <c r="K21" i="2"/>
  <c r="D20" i="2"/>
  <c r="D62" i="7"/>
  <c r="J62" i="7"/>
  <c r="J64" i="7" s="1"/>
  <c r="D78" i="7"/>
  <c r="H101" i="7"/>
  <c r="E30" i="11"/>
  <c r="I31" i="12"/>
  <c r="K36" i="11"/>
  <c r="I36" i="11"/>
  <c r="L36" i="11"/>
  <c r="H64" i="7"/>
  <c r="G12" i="7"/>
  <c r="G13" i="7" s="1"/>
  <c r="H7" i="7"/>
  <c r="L22" i="7"/>
  <c r="K22" i="7"/>
  <c r="C10" i="7"/>
  <c r="I25" i="7"/>
  <c r="I12" i="7"/>
  <c r="I18" i="7" s="1"/>
  <c r="H25" i="7"/>
  <c r="H12" i="7"/>
  <c r="H13" i="7" s="1"/>
  <c r="G7" i="7"/>
  <c r="G25" i="7"/>
  <c r="J22" i="7"/>
  <c r="I22" i="7"/>
  <c r="J12" i="7"/>
  <c r="J13" i="7" s="1"/>
  <c r="F25" i="7"/>
  <c r="F22" i="7"/>
  <c r="C12" i="7"/>
  <c r="C18" i="7" s="1"/>
  <c r="L10" i="7"/>
  <c r="K16" i="7"/>
  <c r="I10" i="7"/>
  <c r="K18" i="7"/>
  <c r="K13" i="7"/>
  <c r="G16" i="7"/>
  <c r="M7" i="7"/>
  <c r="L5" i="10" s="1"/>
  <c r="F16" i="7"/>
  <c r="L7" i="7"/>
  <c r="C22" i="7"/>
  <c r="D7" i="7"/>
  <c r="K7" i="7"/>
  <c r="M16" i="7"/>
  <c r="J25" i="7"/>
  <c r="J16" i="7"/>
  <c r="I16" i="7"/>
  <c r="D22" i="7"/>
  <c r="E7" i="7"/>
  <c r="F12" i="7"/>
  <c r="H16" i="7"/>
  <c r="M22" i="7"/>
  <c r="G18" i="7"/>
  <c r="L12" i="7"/>
  <c r="M12" i="7"/>
  <c r="L25" i="7"/>
  <c r="H10" i="7"/>
  <c r="H22" i="7"/>
  <c r="K25" i="7"/>
  <c r="F10" i="7"/>
  <c r="G10" i="7"/>
  <c r="G22" i="7"/>
  <c r="E10" i="7"/>
  <c r="E22" i="7"/>
  <c r="D10" i="7"/>
  <c r="M10" i="7"/>
  <c r="E25" i="7"/>
  <c r="E16" i="7"/>
  <c r="D25" i="7"/>
  <c r="D16" i="7"/>
  <c r="M25" i="7"/>
  <c r="C16" i="7"/>
  <c r="K10" i="7"/>
  <c r="F7" i="7"/>
  <c r="J10" i="7"/>
  <c r="E12" i="7"/>
  <c r="L16" i="7"/>
  <c r="C25" i="7"/>
  <c r="D12" i="7"/>
  <c r="N11" i="1"/>
  <c r="M11" i="1"/>
  <c r="K14" i="1"/>
  <c r="D24" i="2"/>
  <c r="C24" i="2"/>
  <c r="L7" i="1"/>
  <c r="B14" i="3"/>
  <c r="D23" i="2"/>
  <c r="L4" i="1"/>
  <c r="L23" i="1" s="1"/>
  <c r="H24" i="2"/>
  <c r="K6" i="1"/>
  <c r="K19" i="1" s="1"/>
  <c r="H14" i="1"/>
  <c r="H23" i="1"/>
  <c r="K24" i="2"/>
  <c r="J24" i="2"/>
  <c r="B23" i="2"/>
  <c r="G24" i="2"/>
  <c r="D13" i="1"/>
  <c r="E13" i="1" s="1"/>
  <c r="E14" i="1" s="1"/>
  <c r="I25" i="1" s="1"/>
  <c r="I23" i="1"/>
  <c r="K20" i="2"/>
  <c r="I6" i="1"/>
  <c r="I19" i="1" s="1"/>
  <c r="K24" i="1" s="1"/>
  <c r="B16" i="2"/>
  <c r="B20" i="2"/>
  <c r="H13" i="1"/>
  <c r="L9" i="1"/>
  <c r="M9" i="1" s="1"/>
  <c r="F20" i="2"/>
  <c r="B6" i="1"/>
  <c r="B19" i="1" s="1"/>
  <c r="I16" i="2"/>
  <c r="E16" i="2"/>
  <c r="I24" i="2"/>
  <c r="B14" i="1"/>
  <c r="F24" i="2"/>
  <c r="J25" i="1"/>
  <c r="N8" i="1"/>
  <c r="M8" i="1"/>
  <c r="I20" i="2"/>
  <c r="H20" i="2"/>
  <c r="K23" i="1"/>
  <c r="H6" i="1"/>
  <c r="H19" i="1" s="1"/>
  <c r="F6" i="1"/>
  <c r="F19" i="1" s="1"/>
  <c r="E1" i="4"/>
  <c r="F66" i="7" l="1"/>
  <c r="F25" i="12"/>
  <c r="F22" i="12"/>
  <c r="F39" i="11"/>
  <c r="J66" i="7"/>
  <c r="J22" i="12"/>
  <c r="J25" i="12"/>
  <c r="J17" i="12"/>
  <c r="D18" i="10"/>
  <c r="D18" i="11"/>
  <c r="G17" i="11"/>
  <c r="G17" i="10"/>
  <c r="E18" i="11"/>
  <c r="E18" i="10"/>
  <c r="D64" i="7"/>
  <c r="D39" i="11" s="1"/>
  <c r="D5" i="12"/>
  <c r="D6" i="12"/>
  <c r="L64" i="7"/>
  <c r="L6" i="12"/>
  <c r="L5" i="12"/>
  <c r="K38" i="11"/>
  <c r="K103" i="7"/>
  <c r="K40" i="11"/>
  <c r="K39" i="11"/>
  <c r="O28" i="11"/>
  <c r="K17" i="10"/>
  <c r="K17" i="11"/>
  <c r="J17" i="11"/>
  <c r="J17" i="10"/>
  <c r="N27" i="11"/>
  <c r="H5" i="11"/>
  <c r="G5" i="10"/>
  <c r="C64" i="7"/>
  <c r="C6" i="12"/>
  <c r="C5" i="12"/>
  <c r="I17" i="10"/>
  <c r="I17" i="11"/>
  <c r="C19" i="7"/>
  <c r="C21" i="11"/>
  <c r="C13" i="11"/>
  <c r="C21" i="10"/>
  <c r="C25" i="11"/>
  <c r="C13" i="10"/>
  <c r="C19" i="10" s="1"/>
  <c r="G11" i="11"/>
  <c r="G10" i="12" s="1"/>
  <c r="G11" i="10"/>
  <c r="C18" i="11"/>
  <c r="C18" i="10"/>
  <c r="N23" i="1"/>
  <c r="N4" i="1" s="1"/>
  <c r="L17" i="10"/>
  <c r="L17" i="11"/>
  <c r="J18" i="11"/>
  <c r="J18" i="10"/>
  <c r="F18" i="11"/>
  <c r="F18" i="10"/>
  <c r="N28" i="11"/>
  <c r="E64" i="7"/>
  <c r="E6" i="12"/>
  <c r="E5" i="12"/>
  <c r="L29" i="12"/>
  <c r="K9" i="10"/>
  <c r="L9" i="10"/>
  <c r="L9" i="11"/>
  <c r="D38" i="11"/>
  <c r="D40" i="11"/>
  <c r="D103" i="7"/>
  <c r="K11" i="10"/>
  <c r="K11" i="11"/>
  <c r="K10" i="12" s="1"/>
  <c r="I18" i="10"/>
  <c r="I18" i="11"/>
  <c r="J40" i="11"/>
  <c r="J39" i="11"/>
  <c r="J38" i="11"/>
  <c r="J103" i="7"/>
  <c r="H24" i="1"/>
  <c r="J11" i="10"/>
  <c r="J11" i="11"/>
  <c r="J10" i="12" s="1"/>
  <c r="H66" i="7"/>
  <c r="H22" i="12"/>
  <c r="H25" i="12"/>
  <c r="G36" i="11"/>
  <c r="C5" i="10"/>
  <c r="D5" i="11"/>
  <c r="I24" i="1"/>
  <c r="D35" i="11"/>
  <c r="D36" i="11" s="1"/>
  <c r="D18" i="12"/>
  <c r="D17" i="11"/>
  <c r="D17" i="10"/>
  <c r="H18" i="10"/>
  <c r="H18" i="11"/>
  <c r="C35" i="11"/>
  <c r="O35" i="11" s="1"/>
  <c r="O29" i="11"/>
  <c r="C18" i="12"/>
  <c r="N34" i="11"/>
  <c r="G21" i="11"/>
  <c r="G13" i="11"/>
  <c r="G25" i="11"/>
  <c r="G13" i="10"/>
  <c r="G19" i="10" s="1"/>
  <c r="F6" i="10"/>
  <c r="J5" i="11"/>
  <c r="I5" i="10"/>
  <c r="E17" i="11"/>
  <c r="E17" i="10"/>
  <c r="J5" i="12"/>
  <c r="J6" i="12"/>
  <c r="D9" i="11"/>
  <c r="C29" i="12"/>
  <c r="K5" i="12"/>
  <c r="K6" i="12"/>
  <c r="D5" i="10"/>
  <c r="E5" i="11"/>
  <c r="C39" i="11"/>
  <c r="C38" i="11"/>
  <c r="C103" i="7"/>
  <c r="C40" i="11"/>
  <c r="O34" i="11"/>
  <c r="N29" i="11"/>
  <c r="K18" i="10"/>
  <c r="K18" i="11"/>
  <c r="I64" i="7"/>
  <c r="I6" i="12"/>
  <c r="I5" i="12"/>
  <c r="E5" i="10"/>
  <c r="F5" i="11"/>
  <c r="F35" i="11"/>
  <c r="F36" i="11" s="1"/>
  <c r="F18" i="12"/>
  <c r="F6" i="12"/>
  <c r="F5" i="12"/>
  <c r="C9" i="10"/>
  <c r="N30" i="11"/>
  <c r="O33" i="11"/>
  <c r="G18" i="11"/>
  <c r="G18" i="10"/>
  <c r="J24" i="1"/>
  <c r="C17" i="10"/>
  <c r="C17" i="11"/>
  <c r="L18" i="11"/>
  <c r="L18" i="10"/>
  <c r="K5" i="10"/>
  <c r="L5" i="11"/>
  <c r="G5" i="11"/>
  <c r="F5" i="10"/>
  <c r="E35" i="11"/>
  <c r="E36" i="11" s="1"/>
  <c r="E18" i="12"/>
  <c r="I38" i="11"/>
  <c r="I103" i="7"/>
  <c r="I40" i="11"/>
  <c r="N31" i="11"/>
  <c r="I19" i="7"/>
  <c r="G34" i="21"/>
  <c r="I25" i="11"/>
  <c r="I21" i="11"/>
  <c r="I13" i="10"/>
  <c r="I19" i="10" s="1"/>
  <c r="I13" i="11"/>
  <c r="H17" i="10"/>
  <c r="H17" i="11"/>
  <c r="I34" i="21"/>
  <c r="K13" i="10"/>
  <c r="K19" i="10" s="1"/>
  <c r="K21" i="11"/>
  <c r="K6" i="11"/>
  <c r="K13" i="11"/>
  <c r="G64" i="7"/>
  <c r="G6" i="12"/>
  <c r="G5" i="12"/>
  <c r="J5" i="10"/>
  <c r="K5" i="11"/>
  <c r="K64" i="7"/>
  <c r="H103" i="7"/>
  <c r="H39" i="11"/>
  <c r="H40" i="11"/>
  <c r="H38" i="11"/>
  <c r="O27" i="11"/>
  <c r="F17" i="11"/>
  <c r="F17" i="10"/>
  <c r="H11" i="11"/>
  <c r="H10" i="12" s="1"/>
  <c r="H11" i="10"/>
  <c r="J35" i="11"/>
  <c r="J18" i="12"/>
  <c r="H18" i="7"/>
  <c r="H6" i="10" s="1"/>
  <c r="I27" i="7"/>
  <c r="C27" i="7"/>
  <c r="C28" i="7" s="1"/>
  <c r="C13" i="7"/>
  <c r="J18" i="7"/>
  <c r="J6" i="10" s="1"/>
  <c r="I13" i="7"/>
  <c r="C33" i="7"/>
  <c r="I33" i="7"/>
  <c r="I28" i="7"/>
  <c r="I31" i="7"/>
  <c r="C31" i="7"/>
  <c r="J19" i="7"/>
  <c r="J27" i="7"/>
  <c r="L18" i="7"/>
  <c r="L13" i="7"/>
  <c r="G19" i="7"/>
  <c r="G27" i="7"/>
  <c r="E18" i="7"/>
  <c r="E13" i="7"/>
  <c r="M18" i="7"/>
  <c r="M13" i="7"/>
  <c r="F18" i="7"/>
  <c r="F13" i="7"/>
  <c r="D18" i="7"/>
  <c r="I5" i="13" s="1" a="1"/>
  <c r="D13" i="7"/>
  <c r="K19" i="7"/>
  <c r="K27" i="7"/>
  <c r="K25" i="11" s="1"/>
  <c r="M23" i="1"/>
  <c r="M4" i="1" s="1"/>
  <c r="D14" i="1"/>
  <c r="H25" i="1" s="1"/>
  <c r="N25" i="1" s="1"/>
  <c r="N14" i="1" s="1"/>
  <c r="N9" i="1"/>
  <c r="L19" i="1"/>
  <c r="L24" i="1" s="1"/>
  <c r="I13" i="13" l="1"/>
  <c r="I8" i="13"/>
  <c r="I14" i="13"/>
  <c r="J14" i="13" s="1"/>
  <c r="I7" i="13"/>
  <c r="J7" i="13" s="1"/>
  <c r="I9" i="13"/>
  <c r="J9" i="13" s="1"/>
  <c r="I11" i="13"/>
  <c r="J11" i="13" s="1"/>
  <c r="I6" i="13"/>
  <c r="I10" i="13"/>
  <c r="I12" i="13"/>
  <c r="I5" i="13"/>
  <c r="C14" i="10"/>
  <c r="C14" i="11"/>
  <c r="J12" i="10"/>
  <c r="J12" i="11"/>
  <c r="D11" i="10"/>
  <c r="D11" i="11"/>
  <c r="D10" i="12" s="1"/>
  <c r="I66" i="7"/>
  <c r="I22" i="12"/>
  <c r="I25" i="12"/>
  <c r="H17" i="12"/>
  <c r="I17" i="12"/>
  <c r="E66" i="7"/>
  <c r="E25" i="12"/>
  <c r="E22" i="12"/>
  <c r="E39" i="11"/>
  <c r="O39" i="11" s="1"/>
  <c r="E17" i="12"/>
  <c r="I39" i="11"/>
  <c r="F13" i="11"/>
  <c r="F21" i="11"/>
  <c r="N21" i="11" s="1"/>
  <c r="F13" i="10"/>
  <c r="F19" i="10" s="1"/>
  <c r="F6" i="11"/>
  <c r="E6" i="10"/>
  <c r="G43" i="21"/>
  <c r="G45" i="21" s="1"/>
  <c r="G49" i="21" s="1"/>
  <c r="G36" i="21"/>
  <c r="G57" i="21" s="1"/>
  <c r="D6" i="11"/>
  <c r="C6" i="10"/>
  <c r="D13" i="10"/>
  <c r="D19" i="10" s="1"/>
  <c r="D13" i="11"/>
  <c r="D21" i="11"/>
  <c r="C19" i="11"/>
  <c r="C11" i="12"/>
  <c r="N13" i="11"/>
  <c r="F11" i="11"/>
  <c r="F10" i="12" s="1"/>
  <c r="F11" i="10"/>
  <c r="I14" i="10"/>
  <c r="I14" i="11"/>
  <c r="I23" i="11"/>
  <c r="I14" i="12" s="1"/>
  <c r="C12" i="10"/>
  <c r="C12" i="11"/>
  <c r="F34" i="21"/>
  <c r="H6" i="11"/>
  <c r="H21" i="11"/>
  <c r="G6" i="10"/>
  <c r="H13" i="11"/>
  <c r="H13" i="10"/>
  <c r="H19" i="10" s="1"/>
  <c r="O18" i="11"/>
  <c r="N18" i="11"/>
  <c r="K13" i="12"/>
  <c r="K7" i="11"/>
  <c r="J7" i="10"/>
  <c r="G66" i="7"/>
  <c r="G25" i="12"/>
  <c r="G22" i="12"/>
  <c r="G17" i="12"/>
  <c r="G39" i="11"/>
  <c r="N9" i="11"/>
  <c r="O9" i="11"/>
  <c r="I12" i="11"/>
  <c r="I12" i="10"/>
  <c r="C23" i="10"/>
  <c r="C23" i="11"/>
  <c r="I43" i="21"/>
  <c r="I45" i="21" s="1"/>
  <c r="I49" i="21" s="1"/>
  <c r="I56" i="21" s="1"/>
  <c r="I36" i="21"/>
  <c r="I57" i="21" s="1"/>
  <c r="N5" i="11"/>
  <c r="O5" i="11"/>
  <c r="H34" i="21"/>
  <c r="I6" i="10"/>
  <c r="J21" i="11"/>
  <c r="J6" i="11"/>
  <c r="J25" i="11"/>
  <c r="J13" i="11"/>
  <c r="J13" i="10"/>
  <c r="J19" i="10" s="1"/>
  <c r="F17" i="12"/>
  <c r="I11" i="12"/>
  <c r="I19" i="11"/>
  <c r="G11" i="12"/>
  <c r="G19" i="11"/>
  <c r="L66" i="7"/>
  <c r="L22" i="12"/>
  <c r="L25" i="12"/>
  <c r="L39" i="11"/>
  <c r="L17" i="12"/>
  <c r="G12" i="11"/>
  <c r="G12" i="10"/>
  <c r="I6" i="11"/>
  <c r="L11" i="10"/>
  <c r="L11" i="11"/>
  <c r="L10" i="12" s="1"/>
  <c r="E4" i="15"/>
  <c r="J34" i="21"/>
  <c r="L13" i="10"/>
  <c r="L19" i="10" s="1"/>
  <c r="L13" i="11"/>
  <c r="K6" i="10"/>
  <c r="L21" i="11"/>
  <c r="L6" i="11"/>
  <c r="I7" i="10"/>
  <c r="J7" i="11"/>
  <c r="J13" i="12"/>
  <c r="N35" i="11"/>
  <c r="K19" i="11"/>
  <c r="K11" i="12"/>
  <c r="L6" i="10"/>
  <c r="N40" i="11"/>
  <c r="O40" i="11"/>
  <c r="E11" i="10"/>
  <c r="E11" i="11"/>
  <c r="E10" i="12" s="1"/>
  <c r="C36" i="11"/>
  <c r="C11" i="10"/>
  <c r="C11" i="11"/>
  <c r="C13" i="12"/>
  <c r="K66" i="7"/>
  <c r="K22" i="12"/>
  <c r="K17" i="12"/>
  <c r="K25" i="12"/>
  <c r="C66" i="7"/>
  <c r="C25" i="12"/>
  <c r="C22" i="12"/>
  <c r="C17" i="12"/>
  <c r="D66" i="7"/>
  <c r="D22" i="12"/>
  <c r="D25" i="12"/>
  <c r="D17" i="12"/>
  <c r="N17" i="11"/>
  <c r="O17" i="11"/>
  <c r="K12" i="10"/>
  <c r="K12" i="11"/>
  <c r="I11" i="11"/>
  <c r="I10" i="12" s="1"/>
  <c r="I11" i="10"/>
  <c r="E13" i="11"/>
  <c r="E13" i="10"/>
  <c r="E19" i="10" s="1"/>
  <c r="D6" i="10"/>
  <c r="E21" i="11"/>
  <c r="E25" i="11"/>
  <c r="E6" i="11"/>
  <c r="O38" i="11"/>
  <c r="N38" i="11"/>
  <c r="H27" i="7"/>
  <c r="N39" i="11"/>
  <c r="H19" i="7"/>
  <c r="N24" i="1"/>
  <c r="N6" i="1" s="1"/>
  <c r="G13" i="12"/>
  <c r="I13" i="12"/>
  <c r="J36" i="11"/>
  <c r="N36" i="11" s="1"/>
  <c r="G6" i="11"/>
  <c r="G28" i="7"/>
  <c r="G31" i="7"/>
  <c r="G33" i="7"/>
  <c r="K33" i="7"/>
  <c r="K28" i="7"/>
  <c r="K31" i="7"/>
  <c r="J33" i="7"/>
  <c r="J28" i="7"/>
  <c r="J31" i="7"/>
  <c r="I38" i="7"/>
  <c r="I34" i="7"/>
  <c r="C38" i="7"/>
  <c r="C34" i="7"/>
  <c r="D19" i="7"/>
  <c r="D27" i="7"/>
  <c r="D25" i="11" s="1"/>
  <c r="F19" i="7"/>
  <c r="F27" i="7"/>
  <c r="M19" i="7"/>
  <c r="M27" i="7"/>
  <c r="E19" i="7"/>
  <c r="E27" i="7"/>
  <c r="L19" i="7"/>
  <c r="L27" i="7"/>
  <c r="N10" i="1"/>
  <c r="N12" i="1" s="1"/>
  <c r="N13" i="1" s="1"/>
  <c r="N15" i="1" s="1"/>
  <c r="N5" i="1"/>
  <c r="M24" i="1"/>
  <c r="M6" i="1" s="1"/>
  <c r="M10" i="1" s="1"/>
  <c r="M12" i="1" s="1"/>
  <c r="M13" i="1" s="1"/>
  <c r="M15" i="1" s="1"/>
  <c r="M5" i="1"/>
  <c r="F13" i="12" l="1"/>
  <c r="E7" i="10"/>
  <c r="F7" i="11"/>
  <c r="J43" i="21"/>
  <c r="J45" i="21" s="1"/>
  <c r="J49" i="21" s="1"/>
  <c r="J56" i="21" s="1"/>
  <c r="J59" i="21" s="1"/>
  <c r="J36" i="21"/>
  <c r="J57" i="21" s="1"/>
  <c r="F4" i="15"/>
  <c r="E6" i="15"/>
  <c r="E8" i="15" s="1"/>
  <c r="F43" i="21"/>
  <c r="F45" i="21" s="1"/>
  <c r="F36" i="21"/>
  <c r="I18" i="13"/>
  <c r="I15" i="13"/>
  <c r="I19" i="13"/>
  <c r="J19" i="13" s="1"/>
  <c r="I16" i="13"/>
  <c r="I17" i="13"/>
  <c r="J17" i="13" s="1"/>
  <c r="I15" i="10"/>
  <c r="I15" i="11"/>
  <c r="I12" i="12" s="1"/>
  <c r="J12" i="13"/>
  <c r="I28" i="12"/>
  <c r="I32" i="12"/>
  <c r="I30" i="12"/>
  <c r="H43" i="21"/>
  <c r="H45" i="21" s="1"/>
  <c r="H49" i="21" s="1"/>
  <c r="H56" i="21" s="1"/>
  <c r="H36" i="21"/>
  <c r="H57" i="21" s="1"/>
  <c r="J10" i="13"/>
  <c r="H13" i="12"/>
  <c r="G7" i="10"/>
  <c r="H7" i="11"/>
  <c r="F12" i="11"/>
  <c r="F12" i="10"/>
  <c r="F19" i="11"/>
  <c r="F11" i="12"/>
  <c r="H28" i="7"/>
  <c r="O21" i="11"/>
  <c r="D12" i="10"/>
  <c r="D12" i="11"/>
  <c r="O12" i="11" s="1"/>
  <c r="C28" i="12"/>
  <c r="C30" i="12"/>
  <c r="D19" i="11"/>
  <c r="O19" i="11" s="1"/>
  <c r="D11" i="12"/>
  <c r="H7" i="10"/>
  <c r="I7" i="11"/>
  <c r="E19" i="11"/>
  <c r="E11" i="12"/>
  <c r="O6" i="11"/>
  <c r="N6" i="11"/>
  <c r="J6" i="13"/>
  <c r="H11" i="12"/>
  <c r="H19" i="11"/>
  <c r="J19" i="11"/>
  <c r="J11" i="12"/>
  <c r="H33" i="7"/>
  <c r="C15" i="11"/>
  <c r="C15" i="10"/>
  <c r="H25" i="11"/>
  <c r="J14" i="10"/>
  <c r="J14" i="11"/>
  <c r="L13" i="12"/>
  <c r="L7" i="11"/>
  <c r="K7" i="10"/>
  <c r="L12" i="10"/>
  <c r="L12" i="11"/>
  <c r="C10" i="12"/>
  <c r="N11" i="11"/>
  <c r="O11" i="11"/>
  <c r="L25" i="11"/>
  <c r="C14" i="12"/>
  <c r="C32" i="12"/>
  <c r="H31" i="7"/>
  <c r="D7" i="11"/>
  <c r="C7" i="10"/>
  <c r="D13" i="12"/>
  <c r="G7" i="11"/>
  <c r="J8" i="11"/>
  <c r="I8" i="10"/>
  <c r="J23" i="11"/>
  <c r="J14" i="12" s="1"/>
  <c r="I59" i="21"/>
  <c r="D7" i="10"/>
  <c r="E7" i="11"/>
  <c r="E13" i="12"/>
  <c r="K14" i="10"/>
  <c r="K14" i="11"/>
  <c r="E12" i="10"/>
  <c r="E12" i="11"/>
  <c r="K23" i="11"/>
  <c r="K8" i="11"/>
  <c r="J8" i="10"/>
  <c r="H12" i="11"/>
  <c r="H12" i="10"/>
  <c r="J8" i="13"/>
  <c r="G14" i="11"/>
  <c r="G14" i="10"/>
  <c r="O13" i="11"/>
  <c r="F7" i="10"/>
  <c r="G56" i="21"/>
  <c r="G59" i="21" s="1"/>
  <c r="L7" i="10"/>
  <c r="G8" i="11"/>
  <c r="F8" i="10"/>
  <c r="G23" i="11"/>
  <c r="G14" i="12" s="1"/>
  <c r="O36" i="11"/>
  <c r="L19" i="11"/>
  <c r="N19" i="11" s="1"/>
  <c r="L11" i="12"/>
  <c r="F25" i="11"/>
  <c r="N25" i="11" s="1"/>
  <c r="J13" i="13"/>
  <c r="C42" i="7"/>
  <c r="C44" i="7" s="1"/>
  <c r="I42" i="7"/>
  <c r="I44" i="7" s="1"/>
  <c r="I22" i="11" s="1"/>
  <c r="I24" i="11" s="1"/>
  <c r="L33" i="7"/>
  <c r="L28" i="7"/>
  <c r="L31" i="7"/>
  <c r="J38" i="7"/>
  <c r="J34" i="7"/>
  <c r="E31" i="7"/>
  <c r="E33" i="7"/>
  <c r="E28" i="7"/>
  <c r="K38" i="7"/>
  <c r="K34" i="7"/>
  <c r="M33" i="7"/>
  <c r="L8" i="10" s="1"/>
  <c r="M28" i="7"/>
  <c r="M31" i="7"/>
  <c r="G34" i="7"/>
  <c r="G38" i="7"/>
  <c r="F31" i="7"/>
  <c r="F33" i="7"/>
  <c r="F28" i="7"/>
  <c r="D31" i="7"/>
  <c r="D33" i="7"/>
  <c r="D28" i="7"/>
  <c r="H38" i="7"/>
  <c r="H34" i="7"/>
  <c r="C12" i="12" l="1"/>
  <c r="C8" i="10"/>
  <c r="D23" i="11"/>
  <c r="D8" i="11"/>
  <c r="J51" i="21"/>
  <c r="H8" i="11"/>
  <c r="G8" i="10"/>
  <c r="H23" i="11"/>
  <c r="H14" i="12" s="1"/>
  <c r="I8" i="11"/>
  <c r="H8" i="10"/>
  <c r="J52" i="21"/>
  <c r="G4" i="15"/>
  <c r="F6" i="15"/>
  <c r="F8" i="15" s="1"/>
  <c r="F12" i="15" s="1"/>
  <c r="F14" i="11"/>
  <c r="F14" i="10"/>
  <c r="L14" i="10"/>
  <c r="L14" i="11"/>
  <c r="O7" i="11"/>
  <c r="N7" i="11"/>
  <c r="H15" i="10"/>
  <c r="H15" i="11"/>
  <c r="H12" i="12" s="1"/>
  <c r="J15" i="10"/>
  <c r="J15" i="11"/>
  <c r="J12" i="12" s="1"/>
  <c r="L8" i="11"/>
  <c r="L23" i="11"/>
  <c r="L14" i="12" s="1"/>
  <c r="K8" i="10"/>
  <c r="N12" i="11"/>
  <c r="K15" i="11"/>
  <c r="K12" i="12" s="1"/>
  <c r="K15" i="10"/>
  <c r="E14" i="11"/>
  <c r="E14" i="10"/>
  <c r="I39" i="7"/>
  <c r="H28" i="12"/>
  <c r="H30" i="12"/>
  <c r="H32" i="12"/>
  <c r="F23" i="11"/>
  <c r="F14" i="12" s="1"/>
  <c r="F8" i="11"/>
  <c r="E8" i="10"/>
  <c r="G28" i="12"/>
  <c r="G30" i="12"/>
  <c r="G32" i="12"/>
  <c r="G15" i="10"/>
  <c r="G15" i="11"/>
  <c r="G12" i="12" s="1"/>
  <c r="H14" i="10"/>
  <c r="H14" i="11"/>
  <c r="K14" i="12"/>
  <c r="J16" i="13"/>
  <c r="J15" i="13"/>
  <c r="E23" i="11"/>
  <c r="E14" i="12" s="1"/>
  <c r="E8" i="11"/>
  <c r="D8" i="10"/>
  <c r="D14" i="11"/>
  <c r="D14" i="10"/>
  <c r="H59" i="21"/>
  <c r="J61" i="21" s="1"/>
  <c r="O25" i="11"/>
  <c r="K28" i="12"/>
  <c r="K32" i="12"/>
  <c r="K30" i="12"/>
  <c r="J18" i="13"/>
  <c r="J28" i="12"/>
  <c r="J32" i="12"/>
  <c r="J30" i="12"/>
  <c r="C22" i="11"/>
  <c r="C22" i="10"/>
  <c r="G42" i="7"/>
  <c r="G44" i="7" s="1"/>
  <c r="G22" i="11" s="1"/>
  <c r="G24" i="11" s="1"/>
  <c r="K39" i="7"/>
  <c r="K42" i="7"/>
  <c r="K44" i="7" s="1"/>
  <c r="K22" i="11" s="1"/>
  <c r="K24" i="11" s="1"/>
  <c r="H39" i="7"/>
  <c r="H42" i="7"/>
  <c r="H44" i="7" s="1"/>
  <c r="H22" i="11" s="1"/>
  <c r="H24" i="11" s="1"/>
  <c r="J39" i="7"/>
  <c r="J42" i="7"/>
  <c r="J44" i="7" s="1"/>
  <c r="J22" i="11" s="1"/>
  <c r="J24" i="11" s="1"/>
  <c r="M38" i="7"/>
  <c r="M34" i="7"/>
  <c r="E34" i="7"/>
  <c r="E38" i="7"/>
  <c r="D34" i="7"/>
  <c r="D38" i="7"/>
  <c r="F34" i="7"/>
  <c r="F38" i="7"/>
  <c r="L38" i="7"/>
  <c r="L34" i="7"/>
  <c r="E15" i="11" l="1"/>
  <c r="E12" i="12" s="1"/>
  <c r="E15" i="10"/>
  <c r="N14" i="11"/>
  <c r="O14" i="11"/>
  <c r="J62" i="21"/>
  <c r="H4" i="15"/>
  <c r="G6" i="15"/>
  <c r="G8" i="15" s="1"/>
  <c r="G12" i="15" s="1"/>
  <c r="O8" i="11"/>
  <c r="N8" i="11"/>
  <c r="L28" i="12"/>
  <c r="L30" i="12"/>
  <c r="L32" i="12"/>
  <c r="F30" i="12"/>
  <c r="F28" i="12"/>
  <c r="F32" i="12"/>
  <c r="E28" i="12"/>
  <c r="E30" i="12"/>
  <c r="E32" i="12"/>
  <c r="L15" i="11"/>
  <c r="L12" i="12" s="1"/>
  <c r="L15" i="10"/>
  <c r="F15" i="11"/>
  <c r="F12" i="12" s="1"/>
  <c r="F15" i="10"/>
  <c r="D28" i="12"/>
  <c r="D30" i="12"/>
  <c r="D32" i="12"/>
  <c r="N5" i="13" a="1"/>
  <c r="D14" i="12"/>
  <c r="O23" i="11"/>
  <c r="N23" i="11"/>
  <c r="C24" i="11"/>
  <c r="N22" i="11"/>
  <c r="O22" i="11"/>
  <c r="D15" i="11"/>
  <c r="D15" i="10"/>
  <c r="F39" i="7"/>
  <c r="F42" i="7"/>
  <c r="F44" i="7" s="1"/>
  <c r="F22" i="11" s="1"/>
  <c r="F24" i="11" s="1"/>
  <c r="D39" i="7"/>
  <c r="D42" i="7"/>
  <c r="D44" i="7" s="1"/>
  <c r="D22" i="11" s="1"/>
  <c r="D24" i="11" s="1"/>
  <c r="E39" i="7"/>
  <c r="E42" i="7"/>
  <c r="E44" i="7" s="1"/>
  <c r="E22" i="11" s="1"/>
  <c r="E24" i="11" s="1"/>
  <c r="M39" i="7"/>
  <c r="M42" i="7"/>
  <c r="M44" i="7" s="1"/>
  <c r="L39" i="7"/>
  <c r="L42" i="7"/>
  <c r="L44" i="7" s="1"/>
  <c r="L22" i="11" s="1"/>
  <c r="L24" i="11" s="1"/>
  <c r="G39" i="7"/>
  <c r="N5" i="13" l="1"/>
  <c r="N10" i="13"/>
  <c r="O10" i="13" s="1"/>
  <c r="N7" i="13"/>
  <c r="N6" i="13"/>
  <c r="O6" i="13" s="1"/>
  <c r="N12" i="13"/>
  <c r="O12" i="13" s="1"/>
  <c r="N8" i="13"/>
  <c r="O8" i="13" s="1"/>
  <c r="N9" i="13"/>
  <c r="N13" i="13"/>
  <c r="N11" i="13"/>
  <c r="N14" i="13"/>
  <c r="N24" i="11"/>
  <c r="O24" i="11"/>
  <c r="I4" i="15"/>
  <c r="H6" i="15"/>
  <c r="H8" i="15" s="1"/>
  <c r="H12" i="15" s="1"/>
  <c r="D12" i="12"/>
  <c r="N15" i="11"/>
  <c r="O15" i="11"/>
  <c r="O11" i="13" l="1"/>
  <c r="O13" i="13"/>
  <c r="J4" i="15"/>
  <c r="J6" i="15" s="1"/>
  <c r="J8" i="15" s="1"/>
  <c r="I6" i="15"/>
  <c r="I8" i="15" s="1"/>
  <c r="I12" i="15" s="1"/>
  <c r="O14" i="13"/>
  <c r="O9" i="13"/>
  <c r="O7" i="13"/>
  <c r="N17" i="13"/>
  <c r="O17" i="13" s="1"/>
  <c r="N19" i="13"/>
  <c r="O19" i="13" s="1"/>
  <c r="N18" i="13"/>
  <c r="N16" i="13"/>
  <c r="N15" i="13"/>
  <c r="O15" i="13" s="1"/>
  <c r="O16" i="13" l="1"/>
  <c r="O18" i="13"/>
  <c r="D21" i="15"/>
  <c r="D25" i="15" s="1"/>
  <c r="D30" i="15" s="1"/>
  <c r="J12" i="15"/>
  <c r="D29" i="15" s="1"/>
  <c r="D31" i="15" l="1"/>
  <c r="D35" i="15" s="1"/>
  <c r="D38" i="15" s="1"/>
  <c r="F20" i="15" l="1"/>
  <c r="D41" i="15"/>
</calcChain>
</file>

<file path=xl/sharedStrings.xml><?xml version="1.0" encoding="utf-8"?>
<sst xmlns="http://schemas.openxmlformats.org/spreadsheetml/2006/main" count="671" uniqueCount="442">
  <si>
    <t>COMPANY NAME</t>
  </si>
  <si>
    <t>SCREENER.IN</t>
  </si>
  <si>
    <t>Narration</t>
  </si>
  <si>
    <t>Trailing</t>
  </si>
  <si>
    <t>Best Case</t>
  </si>
  <si>
    <t>Worst Case</t>
  </si>
  <si>
    <t>Sales</t>
  </si>
  <si>
    <t>Expenses</t>
  </si>
  <si>
    <t>Operating Profit</t>
  </si>
  <si>
    <t>Other Income</t>
  </si>
  <si>
    <t>Depreciation</t>
  </si>
  <si>
    <t>Interest</t>
  </si>
  <si>
    <t>Profit before tax</t>
  </si>
  <si>
    <t>Tax</t>
  </si>
  <si>
    <t>Net profit</t>
  </si>
  <si>
    <t>RATIOS:</t>
  </si>
  <si>
    <t>Price to earning</t>
  </si>
  <si>
    <t>Dividend Payout</t>
  </si>
  <si>
    <t>OPM</t>
  </si>
  <si>
    <t>TRENDS:</t>
  </si>
  <si>
    <t>BEST</t>
  </si>
  <si>
    <t>WORST</t>
  </si>
  <si>
    <t>Sales Growth</t>
  </si>
  <si>
    <t>Price to Earning</t>
  </si>
  <si>
    <t>Equity Share Capital</t>
  </si>
  <si>
    <t>Reserves</t>
  </si>
  <si>
    <t>Total</t>
  </si>
  <si>
    <t>Net Block</t>
  </si>
  <si>
    <t>Capital Work in Progress</t>
  </si>
  <si>
    <t>Investments</t>
  </si>
  <si>
    <t>Working Capital</t>
  </si>
  <si>
    <t>Face Value</t>
  </si>
  <si>
    <t>Cash from Operating Activity</t>
  </si>
  <si>
    <t>Cash from Investing Activity</t>
  </si>
  <si>
    <t>Cash from Financing Activity</t>
  </si>
  <si>
    <t>Net Cash Flow</t>
  </si>
  <si>
    <t>PLEASE DO NOT MAKE ANY CHANGES TO THIS SHEET</t>
  </si>
  <si>
    <t>PROFIT &amp; LOSS</t>
  </si>
  <si>
    <t>Report Date</t>
  </si>
  <si>
    <t>Quarters</t>
  </si>
  <si>
    <t>BALANCE SHEET</t>
  </si>
  <si>
    <t>CASH FLOW:</t>
  </si>
  <si>
    <t>Number of shares</t>
  </si>
  <si>
    <t>Current Price</t>
  </si>
  <si>
    <t>Debtors</t>
  </si>
  <si>
    <t>Inventory</t>
  </si>
  <si>
    <t>Debtor Days</t>
  </si>
  <si>
    <t>Inventory Turnover</t>
  </si>
  <si>
    <t>EPS</t>
  </si>
  <si>
    <t>Price</t>
  </si>
  <si>
    <t>Return on Equity</t>
  </si>
  <si>
    <t>Return on Capital Emp</t>
  </si>
  <si>
    <t>LATEST VERSION</t>
  </si>
  <si>
    <t>CURRENT VERSION</t>
  </si>
  <si>
    <t>SUN PHARMACEUTICALS INDUSTRIES LTD</t>
  </si>
  <si>
    <t>META</t>
  </si>
  <si>
    <t>10 YEARS</t>
  </si>
  <si>
    <t>7 YEARS</t>
  </si>
  <si>
    <t>5 YEARS</t>
  </si>
  <si>
    <t>3 YEARS</t>
  </si>
  <si>
    <t>RECENT</t>
  </si>
  <si>
    <t>Dividend Amount</t>
  </si>
  <si>
    <t>Borrowings</t>
  </si>
  <si>
    <t>Other Liabilities</t>
  </si>
  <si>
    <t>Other Assets</t>
  </si>
  <si>
    <t>No. of Equity Shares</t>
  </si>
  <si>
    <t>New Bonus Shares</t>
  </si>
  <si>
    <t>DERIVED:</t>
  </si>
  <si>
    <t>PRICE:</t>
  </si>
  <si>
    <t>Receivables</t>
  </si>
  <si>
    <t>Market Capitalization</t>
  </si>
  <si>
    <t>Raw Material Cost</t>
  </si>
  <si>
    <t>Change in Inventory</t>
  </si>
  <si>
    <t>Power and Fuel</t>
  </si>
  <si>
    <t>Other Mfr. Exp</t>
  </si>
  <si>
    <t>Employee Cost</t>
  </si>
  <si>
    <t>Selling and admin</t>
  </si>
  <si>
    <t>Other Expenses</t>
  </si>
  <si>
    <t>Cash &amp; Bank</t>
  </si>
  <si>
    <t>Face value</t>
  </si>
  <si>
    <t>Adjusted Equity Shares in Cr</t>
  </si>
  <si>
    <t>Years</t>
  </si>
  <si>
    <t>LTM</t>
  </si>
  <si>
    <t>X</t>
  </si>
  <si>
    <t>Income Statement</t>
  </si>
  <si>
    <t>-</t>
  </si>
  <si>
    <t>COGS</t>
  </si>
  <si>
    <t>COGS % of Growth</t>
  </si>
  <si>
    <t>Gross Profit</t>
  </si>
  <si>
    <t>Selling &amp; General Expenses</t>
  </si>
  <si>
    <t>S&amp;G Exp % Sales</t>
  </si>
  <si>
    <t>EBITDA</t>
  </si>
  <si>
    <t>EBITDA Margins</t>
  </si>
  <si>
    <t>Interest % of sales</t>
  </si>
  <si>
    <t>Depreciation % of sales</t>
  </si>
  <si>
    <t>Gross Margins</t>
  </si>
  <si>
    <t>EBT</t>
  </si>
  <si>
    <t>EBT  % of sales</t>
  </si>
  <si>
    <t>Effective tax rate</t>
  </si>
  <si>
    <t>Net Profit</t>
  </si>
  <si>
    <t>Net Margins</t>
  </si>
  <si>
    <t>No of Equity Shares</t>
  </si>
  <si>
    <t>Earning Per Share</t>
  </si>
  <si>
    <t>Dividend per Share</t>
  </si>
  <si>
    <t>EPS Growth %</t>
  </si>
  <si>
    <t>Dividend Payout Ratio</t>
  </si>
  <si>
    <t>Retained Earnings</t>
  </si>
  <si>
    <t>Balance Sheet</t>
  </si>
  <si>
    <t>Total Liabilites</t>
  </si>
  <si>
    <t>Total Assets</t>
  </si>
  <si>
    <t>Fixed Asset Net Block</t>
  </si>
  <si>
    <t>Total Non-Current Assets</t>
  </si>
  <si>
    <t>Total Current Assets</t>
  </si>
  <si>
    <t>Check</t>
  </si>
  <si>
    <t>Cash from Operating Activity -</t>
  </si>
  <si>
    <t>Profit from operations</t>
  </si>
  <si>
    <t>Payables</t>
  </si>
  <si>
    <t>Loans Advances</t>
  </si>
  <si>
    <t>Other WC items</t>
  </si>
  <si>
    <t>Working capital changes</t>
  </si>
  <si>
    <t>Direct taxes</t>
  </si>
  <si>
    <t>Cash from Investing Activity -</t>
  </si>
  <si>
    <t>Fixed assets purchased</t>
  </si>
  <si>
    <t>Fixed assets sold</t>
  </si>
  <si>
    <t>Investments purchased</t>
  </si>
  <si>
    <t>Investments sold</t>
  </si>
  <si>
    <t>Interest received</t>
  </si>
  <si>
    <t>Dividends received</t>
  </si>
  <si>
    <t>Investment in group cos</t>
  </si>
  <si>
    <t>Redemp n Canc of Shares</t>
  </si>
  <si>
    <t>Acquisition of companies</t>
  </si>
  <si>
    <t>Other investing items</t>
  </si>
  <si>
    <t>Cash from Financing Activity -</t>
  </si>
  <si>
    <t>Proceeds from shares</t>
  </si>
  <si>
    <t>Proceeds from borrowings</t>
  </si>
  <si>
    <t>Repayment of borrowings</t>
  </si>
  <si>
    <t>Interest paid fin</t>
  </si>
  <si>
    <t>Dividends paid</t>
  </si>
  <si>
    <t>Financial liabilities</t>
  </si>
  <si>
    <t>Other financing items</t>
  </si>
  <si>
    <t>Cash Flow Statement</t>
  </si>
  <si>
    <t>Cash From Operating Activities</t>
  </si>
  <si>
    <t>Operating Activities</t>
  </si>
  <si>
    <t>Investing Activities</t>
  </si>
  <si>
    <t>Cash From Investing Activities</t>
  </si>
  <si>
    <t>Financing Activities</t>
  </si>
  <si>
    <t>Cash From Financing Activities</t>
  </si>
  <si>
    <t>Net Cashflow</t>
  </si>
  <si>
    <t>EBITDS Growth</t>
  </si>
  <si>
    <t>EBIT Growth</t>
  </si>
  <si>
    <t>Net profit Growth</t>
  </si>
  <si>
    <t>Dividend Growth</t>
  </si>
  <si>
    <t>Gross Margin</t>
  </si>
  <si>
    <t>EBITDA Margin</t>
  </si>
  <si>
    <t>EBIT Margin</t>
  </si>
  <si>
    <t>EBT Margin</t>
  </si>
  <si>
    <t>Net Profit Margin</t>
  </si>
  <si>
    <t>Sales Expenses % Sales</t>
  </si>
  <si>
    <t>Depreciation % Sales</t>
  </si>
  <si>
    <t>Operating Income % Sales</t>
  </si>
  <si>
    <t>Return on Capital Employed</t>
  </si>
  <si>
    <t>Retained Earnings %</t>
  </si>
  <si>
    <t>Return on Equity %</t>
  </si>
  <si>
    <t>Self Sustained Growth Rate</t>
  </si>
  <si>
    <t>Interest Coverage Ratio</t>
  </si>
  <si>
    <t>Debtor Turnover Ratio</t>
  </si>
  <si>
    <t>Creditor Turnover Ratio</t>
  </si>
  <si>
    <t>Fixed Asset Turnover</t>
  </si>
  <si>
    <t xml:space="preserve">Inventory Turnover </t>
  </si>
  <si>
    <t>Capital Turnover Ratio</t>
  </si>
  <si>
    <t>Payable Days</t>
  </si>
  <si>
    <t>Inventory Days</t>
  </si>
  <si>
    <t>Cash Conversion Cycle</t>
  </si>
  <si>
    <t>CFO/Sales</t>
  </si>
  <si>
    <t>CFO/Total Assets</t>
  </si>
  <si>
    <t>CFO/Total Debt</t>
  </si>
  <si>
    <t>EBITDA Growth</t>
  </si>
  <si>
    <t>Net Profit Growth</t>
  </si>
  <si>
    <t>Retained Earnings%</t>
  </si>
  <si>
    <t>Return on Equity%</t>
  </si>
  <si>
    <t>Cash Conversion Cycle (in days)</t>
  </si>
  <si>
    <t>Mean</t>
  </si>
  <si>
    <t>Median</t>
  </si>
  <si>
    <t>Trend</t>
  </si>
  <si>
    <t>Liquidity Ratio</t>
  </si>
  <si>
    <t>Current Ratio</t>
  </si>
  <si>
    <t>Quick Ratio</t>
  </si>
  <si>
    <t>Cash Ratio</t>
  </si>
  <si>
    <t>Profitibility Ratio</t>
  </si>
  <si>
    <t>Gross Profit Margin</t>
  </si>
  <si>
    <t>Operating Profit Margin</t>
  </si>
  <si>
    <t>Return on Assets</t>
  </si>
  <si>
    <t>Efficiency Ratio</t>
  </si>
  <si>
    <t>Asset Turnover Ratio</t>
  </si>
  <si>
    <t>Inventory Turnover Ratio</t>
  </si>
  <si>
    <t>Receivables Turnover Ratio</t>
  </si>
  <si>
    <t>Leverage Ratio</t>
  </si>
  <si>
    <t>Total Debt Ratio</t>
  </si>
  <si>
    <t>Debt-Equity Ratio</t>
  </si>
  <si>
    <t>Equity Multiplier</t>
  </si>
  <si>
    <t>Long Term Debt</t>
  </si>
  <si>
    <t>Market value Ratio</t>
  </si>
  <si>
    <t>DPS</t>
  </si>
  <si>
    <t>PE Ratio</t>
  </si>
  <si>
    <t>2.40 B</t>
  </si>
  <si>
    <t>2.39 B</t>
  </si>
  <si>
    <t>2.41 B</t>
  </si>
  <si>
    <t>Share outstanding</t>
  </si>
  <si>
    <t>Dividend Yield Ratio</t>
  </si>
  <si>
    <t xml:space="preserve">Year Weight </t>
  </si>
  <si>
    <t>Year</t>
  </si>
  <si>
    <t>EPS Growth</t>
  </si>
  <si>
    <t>Weighted Average Cost of Capital</t>
  </si>
  <si>
    <t>All figures are in INR unless stated otherwise.</t>
  </si>
  <si>
    <t>Peer comps</t>
  </si>
  <si>
    <t>Name of the comp</t>
  </si>
  <si>
    <t>country</t>
  </si>
  <si>
    <t>Total Debt</t>
  </si>
  <si>
    <t>Total Equity</t>
  </si>
  <si>
    <r>
      <t xml:space="preserve">Tax Rate </t>
    </r>
    <r>
      <rPr>
        <vertAlign val="superscript"/>
        <sz val="11"/>
        <color theme="1"/>
        <rFont val="Calibri"/>
        <family val="2"/>
        <scheme val="minor"/>
      </rPr>
      <t>1</t>
    </r>
  </si>
  <si>
    <t>Debt/</t>
  </si>
  <si>
    <t>Equity</t>
  </si>
  <si>
    <t>Capital</t>
  </si>
  <si>
    <t>Levered</t>
  </si>
  <si>
    <t>Unlevered</t>
  </si>
  <si>
    <r>
      <t xml:space="preserve">Beta </t>
    </r>
    <r>
      <rPr>
        <vertAlign val="superscript"/>
        <sz val="11"/>
        <color theme="1"/>
        <rFont val="Calibri"/>
        <family val="2"/>
        <scheme val="minor"/>
      </rPr>
      <t>2</t>
    </r>
  </si>
  <si>
    <r>
      <t xml:space="preserve">Beta </t>
    </r>
    <r>
      <rPr>
        <vertAlign val="superscript"/>
        <sz val="11"/>
        <color theme="1"/>
        <rFont val="Calibri"/>
        <family val="2"/>
        <scheme val="minor"/>
      </rPr>
      <t>3</t>
    </r>
  </si>
  <si>
    <t>Sun Pharmaceutical Industries Ltd.</t>
  </si>
  <si>
    <t>India</t>
  </si>
  <si>
    <t>Cipla</t>
  </si>
  <si>
    <t>Dr Reddy's Labs</t>
  </si>
  <si>
    <t>Zydus Lifesci.</t>
  </si>
  <si>
    <t>Mankind Pharma</t>
  </si>
  <si>
    <t>Average</t>
  </si>
  <si>
    <t>Cost of Debt</t>
  </si>
  <si>
    <t>Pre-Tax Cost of Debt</t>
  </si>
  <si>
    <t>Tax Rate</t>
  </si>
  <si>
    <t>Post Tax Cost of Debt</t>
  </si>
  <si>
    <t>Risk Free Rate</t>
  </si>
  <si>
    <t>Equity Risk Premium</t>
  </si>
  <si>
    <r>
      <t xml:space="preserve">Levered Beta </t>
    </r>
    <r>
      <rPr>
        <vertAlign val="superscript"/>
        <sz val="11"/>
        <color theme="1"/>
        <rFont val="Calibri"/>
        <family val="2"/>
        <scheme val="minor"/>
      </rPr>
      <t>4</t>
    </r>
  </si>
  <si>
    <t>Cost of Equity</t>
  </si>
  <si>
    <t>Capital Structure</t>
  </si>
  <si>
    <t>Current</t>
  </si>
  <si>
    <t>Target</t>
  </si>
  <si>
    <t>Total Capital</t>
  </si>
  <si>
    <t>Levered Beta</t>
  </si>
  <si>
    <t>Comps Median Unlevered Beta</t>
  </si>
  <si>
    <t>Target Debt / Equity</t>
  </si>
  <si>
    <t xml:space="preserve">Debt / Equity </t>
  </si>
  <si>
    <t>Weighted Average Cost of capital</t>
  </si>
  <si>
    <t>Regression Beta</t>
  </si>
  <si>
    <t>Date</t>
  </si>
  <si>
    <t>Closing Price</t>
  </si>
  <si>
    <t>return</t>
  </si>
  <si>
    <t>Sun Pharmaceutical Industries Ltd. Returns</t>
  </si>
  <si>
    <t>NIFTY Returns</t>
  </si>
  <si>
    <t>Beta 1</t>
  </si>
  <si>
    <t>Beta 2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</si>
  <si>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</si>
  <si>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</si>
  <si>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</si>
  <si>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</si>
  <si>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</si>
  <si>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</si>
  <si>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</si>
  <si>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</si>
  <si>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</si>
  <si>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</si>
  <si>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</si>
  <si>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</si>
  <si>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</si>
  <si>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</si>
  <si>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</si>
  <si>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</si>
  <si>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</si>
  <si>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</si>
  <si>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</si>
  <si>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</si>
  <si>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</si>
  <si>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</si>
  <si>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</si>
  <si>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</si>
  <si>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Beta 3</t>
  </si>
  <si>
    <t>Levered Raw Beta</t>
  </si>
  <si>
    <t>Beta Drifting</t>
  </si>
  <si>
    <t>Raw Beta Weight</t>
  </si>
  <si>
    <t xml:space="preserve">Market Beta </t>
  </si>
  <si>
    <t xml:space="preserve">Adjusted Beta </t>
  </si>
  <si>
    <t>Market Beta Weight</t>
  </si>
  <si>
    <t>S.No.</t>
  </si>
  <si>
    <t>Name</t>
  </si>
  <si>
    <t>CMP Rs.</t>
  </si>
  <si>
    <t xml:space="preserve">Mar Cap Rs.Cr. </t>
  </si>
  <si>
    <t>Debt Rs.Cr.</t>
  </si>
  <si>
    <t>Debt / Eq</t>
  </si>
  <si>
    <t>Sun Pharma.Inds.</t>
  </si>
  <si>
    <t>Divi's Lab.</t>
  </si>
  <si>
    <t>Torrent Pharma.</t>
  </si>
  <si>
    <t>Notes:</t>
  </si>
  <si>
    <t>1. Tax Rate considered as Marginal Tax Rate for the country.</t>
  </si>
  <si>
    <t>2. Levered beta is based on 5 year monthly data.</t>
  </si>
  <si>
    <t>3. Unlevered Beta = Levered Beta/(1+(1-Tax Rate)*Debt/Equity)</t>
  </si>
  <si>
    <t>Annual</t>
  </si>
  <si>
    <t>Return on Markets</t>
  </si>
  <si>
    <t>Average Return</t>
  </si>
  <si>
    <t>Dividend Yield</t>
  </si>
  <si>
    <r>
      <t xml:space="preserve">1.25% </t>
    </r>
    <r>
      <rPr>
        <vertAlign val="superscript"/>
        <sz val="11"/>
        <color theme="1"/>
        <rFont val="Calibri"/>
        <family val="2"/>
        <scheme val="minor"/>
      </rPr>
      <t>1</t>
    </r>
  </si>
  <si>
    <t>Total Market Return</t>
  </si>
  <si>
    <t>Equity Weight</t>
  </si>
  <si>
    <t>Debt Weight</t>
  </si>
  <si>
    <t>WACC</t>
  </si>
  <si>
    <t>Equity Capital</t>
  </si>
  <si>
    <t>Long term Borrowings</t>
  </si>
  <si>
    <t>Short term Borrowings</t>
  </si>
  <si>
    <t>Lease Liabilities</t>
  </si>
  <si>
    <t>Other Borrowings</t>
  </si>
  <si>
    <t>Non controlling int</t>
  </si>
  <si>
    <t>Trade Payables</t>
  </si>
  <si>
    <t>Advance from Customers</t>
  </si>
  <si>
    <t>Other liability items</t>
  </si>
  <si>
    <t>Total Liabilities</t>
  </si>
  <si>
    <t>Land</t>
  </si>
  <si>
    <t>Building</t>
  </si>
  <si>
    <t>Plant Machinery</t>
  </si>
  <si>
    <t>Equipments</t>
  </si>
  <si>
    <t>Furniture n fittings</t>
  </si>
  <si>
    <t>Vehicles</t>
  </si>
  <si>
    <t>Intangible Assets</t>
  </si>
  <si>
    <t>Other fixed assets</t>
  </si>
  <si>
    <t>Gross Block</t>
  </si>
  <si>
    <t>Accumulated Depreciation</t>
  </si>
  <si>
    <t>CWIP</t>
  </si>
  <si>
    <t>Inventories</t>
  </si>
  <si>
    <t>Trade receivables</t>
  </si>
  <si>
    <t>Cash Equivalents</t>
  </si>
  <si>
    <t>Short term loans</t>
  </si>
  <si>
    <t>Other asset items</t>
  </si>
  <si>
    <t>Borrowings -</t>
  </si>
  <si>
    <t>Other Liabilities -</t>
  </si>
  <si>
    <t>Fixed Assets -</t>
  </si>
  <si>
    <t>Other Assets -</t>
  </si>
  <si>
    <t>Particulars</t>
  </si>
  <si>
    <t xml:space="preserve">Calculation on ROIC </t>
  </si>
  <si>
    <t>Current Assets</t>
  </si>
  <si>
    <t>Current Liabilities</t>
  </si>
  <si>
    <t>Total Current Liabilities</t>
  </si>
  <si>
    <t>Net Working Capital</t>
  </si>
  <si>
    <t>Non-Current Assets</t>
  </si>
  <si>
    <t>Net Non-Current Assets</t>
  </si>
  <si>
    <t>Invested Capital</t>
  </si>
  <si>
    <t>EBIT</t>
  </si>
  <si>
    <t>ROIC</t>
  </si>
  <si>
    <t xml:space="preserve">Calculation on Reinvestment </t>
  </si>
  <si>
    <t>Net CapEx</t>
  </si>
  <si>
    <t>Change in Working Capital</t>
  </si>
  <si>
    <t>Marginal Tax Rate</t>
  </si>
  <si>
    <t>Reinvestment</t>
  </si>
  <si>
    <t>EBIT(1-T)</t>
  </si>
  <si>
    <t>Reinvestment Rate</t>
  </si>
  <si>
    <t>4 Year Average</t>
  </si>
  <si>
    <t>4 Year Median</t>
  </si>
  <si>
    <t>Calculation on Growth Rate</t>
  </si>
  <si>
    <t xml:space="preserve">ROIC </t>
  </si>
  <si>
    <t>Intrinsic Growth</t>
  </si>
  <si>
    <t>Calculation of PV of FCFF</t>
  </si>
  <si>
    <t>EBIT(1-t)</t>
  </si>
  <si>
    <t>Less : Reinvestment Rate</t>
  </si>
  <si>
    <t>Free Cash Flow to Firm (FCFF)</t>
  </si>
  <si>
    <t>Mid Year Convention</t>
  </si>
  <si>
    <t>Discounting Factor</t>
  </si>
  <si>
    <t xml:space="preserve">PV of FCFF </t>
  </si>
  <si>
    <t>Expected Growth</t>
  </si>
  <si>
    <t>Terminal Growth</t>
  </si>
  <si>
    <t>Calculation of Terminal Value</t>
  </si>
  <si>
    <t>FCFF (n+1)</t>
  </si>
  <si>
    <t>Terminal Growth Rate</t>
  </si>
  <si>
    <t>Terminal Value</t>
  </si>
  <si>
    <t>PV of Terminal Value</t>
  </si>
  <si>
    <t>Value of Operating Asset</t>
  </si>
  <si>
    <t>Add: Cash</t>
  </si>
  <si>
    <t>Less: Debt</t>
  </si>
  <si>
    <t>Calculation of Equity Value Per Share</t>
  </si>
  <si>
    <t>Value of Equity</t>
  </si>
  <si>
    <t>No. of Shares</t>
  </si>
  <si>
    <t xml:space="preserve"> </t>
  </si>
  <si>
    <t>Equity Per Share</t>
  </si>
  <si>
    <t>Share Price</t>
  </si>
  <si>
    <t>Discount/Premium</t>
  </si>
  <si>
    <t>Comparable Company Valuation</t>
  </si>
  <si>
    <t>Company</t>
  </si>
  <si>
    <t>Ticker</t>
  </si>
  <si>
    <t>Share Outstanding</t>
  </si>
  <si>
    <t>Equity Value</t>
  </si>
  <si>
    <t>Net Debt</t>
  </si>
  <si>
    <t>Enterprise Value</t>
  </si>
  <si>
    <t>Market Value</t>
  </si>
  <si>
    <t>Revenue</t>
  </si>
  <si>
    <t>Net Income</t>
  </si>
  <si>
    <t>Valuation</t>
  </si>
  <si>
    <t>Financials</t>
  </si>
  <si>
    <t>EV / EBITDA</t>
  </si>
  <si>
    <t>Lupin</t>
  </si>
  <si>
    <t>Aurobindo Pharma</t>
  </si>
  <si>
    <t>No. Eq. Shares Cr.</t>
  </si>
  <si>
    <t>Cash End Rs.Cr.</t>
  </si>
  <si>
    <t>Sales Rs.Cr.</t>
  </si>
  <si>
    <t>NP 12M Rs.Cr.</t>
  </si>
  <si>
    <t xml:space="preserve">Market Cap </t>
  </si>
  <si>
    <t>EV</t>
  </si>
  <si>
    <t>Net debt</t>
  </si>
  <si>
    <t>EV/Revenue</t>
  </si>
  <si>
    <t>EV/EBITDA</t>
  </si>
  <si>
    <t>P/E</t>
  </si>
  <si>
    <t>High</t>
  </si>
  <si>
    <t>75th Percentile</t>
  </si>
  <si>
    <t>25th Percentile</t>
  </si>
  <si>
    <t>Low</t>
  </si>
  <si>
    <t>Sun Pharma. Inds. Comparble Valuation</t>
  </si>
  <si>
    <t>Implied Enterprise Value</t>
  </si>
  <si>
    <t>Implied Market Value</t>
  </si>
  <si>
    <t>Shares Outstanding</t>
  </si>
  <si>
    <t>Implied Value Per Share</t>
  </si>
  <si>
    <t>Amount in Crores</t>
  </si>
  <si>
    <t>Sensitivity Analysis</t>
  </si>
  <si>
    <t>OpenLow</t>
  </si>
  <si>
    <t>OpenHigh</t>
  </si>
  <si>
    <t>Comps</t>
  </si>
  <si>
    <t>DCF Bear</t>
  </si>
  <si>
    <t>DCF Base</t>
  </si>
  <si>
    <t>DCF Bull</t>
  </si>
  <si>
    <t>52W H/L</t>
  </si>
  <si>
    <t>Football Field Analysis - Data</t>
  </si>
  <si>
    <t>3. Levered Beta = Levered Beta*(1+(1-Tax Rate)*Debt/Equity)</t>
  </si>
  <si>
    <t>Company Overview</t>
  </si>
  <si>
    <t>Ownership</t>
  </si>
  <si>
    <t>Vission</t>
  </si>
  <si>
    <t>Company Description</t>
  </si>
  <si>
    <t xml:space="preserve">                                </t>
  </si>
  <si>
    <t>Management Overview</t>
  </si>
  <si>
    <t>Historical Stock Performance</t>
  </si>
  <si>
    <t>Milestones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</si>
</sst>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 * #,##0.00_ ;_ * \-#,##0.00_ ;_ * &quot;-&quot;??_ ;_ @_ "/>
    <numFmt numFmtId="164" formatCode="_(* #,##0.00_);_(* \(#,##0.00\);_(* &quot;-&quot;??_);_(@_)"/>
    <numFmt numFmtId="165" formatCode="[$-409]mmm\-yy;@"/>
    <numFmt numFmtId="166" formatCode="&quot;₹&quot;\ #,##0.00"/>
    <numFmt numFmtId="167" formatCode="&quot;₹&quot;\ #,##0.0;&quot;₹&quot;\ \(#,##0.0\);\-"/>
    <numFmt numFmtId="168" formatCode="&quot;₹&quot;\ #,##0.0;\(&quot;₹&quot;\ #,##0.0\);\-"/>
    <numFmt numFmtId="169" formatCode="0.00&quot;x&quot;"/>
    <numFmt numFmtId="170" formatCode="0.00&quot;X&quot;"/>
    <numFmt numFmtId="171" formatCode="yyyy&quot;A&quot;"/>
    <numFmt numFmtId="172" formatCode="yyyy&quot;E&quot;"/>
    <numFmt numFmtId="173" formatCode="#,##0.0"/>
    <numFmt numFmtId="174" formatCode="[$-14009]dd/mm/yyyy;@"/>
    <numFmt numFmtId="175" formatCode="#,##0.0;\(#,##0.0\);\-"/>
    <numFmt numFmtId="176" formatCode="mmm/yy\ &quot;A&quot;"/>
    <numFmt numFmtId="177" formatCode="mmm/yy\ &quot;E&quot;"/>
    <numFmt numFmtId="178" formatCode="0.000"/>
    <numFmt numFmtId="179" formatCode="0.00\x"/>
    <numFmt numFmtId="180" formatCode="#,##0;\(#,##0\)"/>
    <numFmt numFmtId="181" formatCode="0.0\x"/>
    <numFmt numFmtId="182" formatCode="#,##0.0;\(#,##0.0\)"/>
  </numFmts>
  <fonts count="3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rgb="FF3333FF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7"/>
      <color rgb="FF000000"/>
      <name val="Arial"/>
      <family val="2"/>
    </font>
    <font>
      <sz val="2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008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800080"/>
      <name val="Calibri"/>
      <family val="2"/>
      <scheme val="minor"/>
    </font>
    <font>
      <u/>
      <sz val="11"/>
      <color rgb="FF800080"/>
      <name val="Calibri"/>
      <family val="2"/>
    </font>
    <font>
      <i/>
      <sz val="11"/>
      <color rgb="FF000000"/>
      <name val="Calibri"/>
      <family val="2"/>
      <scheme val="minor"/>
    </font>
    <font>
      <i/>
      <sz val="11"/>
      <color rgb="FF0000FF"/>
      <name val="Calibri"/>
      <family val="2"/>
      <scheme val="minor"/>
    </font>
    <font>
      <i/>
      <sz val="10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sz val="24"/>
      <color theme="0"/>
      <name val="Calibri"/>
      <family val="2"/>
    </font>
    <font>
      <i/>
      <sz val="11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9"/>
      </patternFill>
    </fill>
    <fill>
      <patternFill patternType="solid">
        <fgColor rgb="FF0275D8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tted">
        <color theme="7" tint="-0.24994659260841701"/>
      </top>
      <bottom/>
      <diagonal/>
    </border>
    <border>
      <left/>
      <right/>
      <top/>
      <bottom style="dotted">
        <color theme="7" tint="-0.24994659260841701"/>
      </bottom>
      <diagonal/>
    </border>
    <border>
      <left/>
      <right/>
      <top style="dotted">
        <color rgb="FF002060"/>
      </top>
      <bottom/>
      <diagonal/>
    </border>
    <border>
      <left/>
      <right/>
      <top/>
      <bottom style="dotted">
        <color rgb="FF002060"/>
      </bottom>
      <diagonal/>
    </border>
    <border>
      <left/>
      <right/>
      <top style="dotted">
        <color auto="1"/>
      </top>
      <bottom/>
      <diagonal/>
    </border>
    <border>
      <left/>
      <right/>
      <top/>
      <bottom style="dotted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thin">
        <color theme="7" tint="-0.2499465926084170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rgb="FF002060"/>
      </top>
      <bottom style="thin">
        <color rgb="FF002060"/>
      </bottom>
      <diagonal/>
    </border>
    <border>
      <left/>
      <right/>
      <top style="medium">
        <color rgb="FF002060"/>
      </top>
      <bottom/>
      <diagonal/>
    </border>
    <border>
      <left/>
      <right/>
      <top/>
      <bottom style="thin">
        <color rgb="FF002060"/>
      </bottom>
      <diagonal/>
    </border>
    <border>
      <left/>
      <right/>
      <top style="thin">
        <color rgb="FF002060"/>
      </top>
      <bottom style="thick">
        <color rgb="FF002060"/>
      </bottom>
      <diagonal/>
    </border>
    <border>
      <left/>
      <right/>
      <top style="hair">
        <color rgb="FF002060"/>
      </top>
      <bottom style="hair">
        <color rgb="FF002060"/>
      </bottom>
      <diagonal/>
    </border>
    <border>
      <left/>
      <right/>
      <top/>
      <bottom style="thick">
        <color rgb="FF002060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medium">
        <color rgb="FF002060"/>
      </top>
      <bottom style="thick">
        <color rgb="FF002060"/>
      </bottom>
      <diagonal/>
    </border>
    <border>
      <left/>
      <right/>
      <top style="dashed">
        <color rgb="FF002060"/>
      </top>
      <bottom style="dashed">
        <color rgb="FF002060"/>
      </bottom>
      <diagonal/>
    </border>
    <border>
      <left/>
      <right/>
      <top/>
      <bottom style="thin">
        <color theme="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/>
      <top/>
      <bottom style="hair">
        <color rgb="FF002060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9" fontId="3" fillId="0" borderId="0" applyFont="0" applyFill="0" applyBorder="0" applyAlignment="0" applyProtection="0"/>
    <xf numFmtId="0" fontId="29" fillId="14" borderId="0" applyNumberFormat="0" applyBorder="0" applyAlignment="0" applyProtection="0"/>
  </cellStyleXfs>
  <cellXfs count="291">
    <xf numFmtId="0" fontId="0" fillId="0" borderId="0" xfId="0"/>
    <xf numFmtId="43" fontId="1" fillId="0" borderId="0" xfId="1" applyFont="1" applyBorder="1"/>
    <xf numFmtId="0" fontId="1" fillId="0" borderId="0" xfId="0" applyFont="1"/>
    <xf numFmtId="0" fontId="6" fillId="0" borderId="0" xfId="0" applyFont="1"/>
    <xf numFmtId="43" fontId="0" fillId="0" borderId="0" xfId="1" applyFont="1" applyBorder="1"/>
    <xf numFmtId="10" fontId="0" fillId="0" borderId="0" xfId="0" applyNumberFormat="1"/>
    <xf numFmtId="43" fontId="3" fillId="0" borderId="0" xfId="1" applyFont="1" applyBorder="1"/>
    <xf numFmtId="9" fontId="1" fillId="0" borderId="0" xfId="6" applyFont="1" applyBorder="1"/>
    <xf numFmtId="0" fontId="2" fillId="5" borderId="0" xfId="0" applyFont="1" applyFill="1"/>
    <xf numFmtId="165" fontId="2" fillId="5" borderId="0" xfId="0" applyNumberFormat="1" applyFont="1" applyFill="1" applyAlignment="1">
      <alignment horizontal="center"/>
    </xf>
    <xf numFmtId="0" fontId="2" fillId="5" borderId="0" xfId="0" applyFont="1" applyFill="1" applyAlignment="1">
      <alignment horizontal="center"/>
    </xf>
    <xf numFmtId="43" fontId="1" fillId="0" borderId="0" xfId="1" applyFont="1" applyBorder="1" applyAlignment="1">
      <alignment horizontal="center"/>
    </xf>
    <xf numFmtId="165" fontId="2" fillId="5" borderId="0" xfId="1" applyNumberFormat="1" applyFont="1" applyFill="1" applyBorder="1"/>
    <xf numFmtId="165" fontId="7" fillId="0" borderId="0" xfId="1" applyNumberFormat="1" applyFont="1" applyFill="1" applyBorder="1"/>
    <xf numFmtId="0" fontId="7" fillId="0" borderId="0" xfId="0" applyFont="1"/>
    <xf numFmtId="17" fontId="0" fillId="0" borderId="0" xfId="0" applyNumberFormat="1"/>
    <xf numFmtId="0" fontId="2" fillId="6" borderId="0" xfId="0" applyFont="1" applyFill="1"/>
    <xf numFmtId="17" fontId="2" fillId="6" borderId="0" xfId="0" applyNumberFormat="1" applyFont="1" applyFill="1"/>
    <xf numFmtId="0" fontId="2" fillId="6" borderId="0" xfId="0" applyFont="1" applyFill="1" applyAlignment="1">
      <alignment horizontal="right"/>
    </xf>
    <xf numFmtId="166" fontId="0" fillId="0" borderId="0" xfId="0" applyNumberFormat="1"/>
    <xf numFmtId="0" fontId="8" fillId="0" borderId="0" xfId="0" applyFont="1"/>
    <xf numFmtId="0" fontId="9" fillId="0" borderId="0" xfId="0" applyFont="1"/>
    <xf numFmtId="0" fontId="1" fillId="7" borderId="0" xfId="0" applyFont="1" applyFill="1"/>
    <xf numFmtId="0" fontId="0" fillId="7" borderId="0" xfId="0" applyFill="1"/>
    <xf numFmtId="166" fontId="1" fillId="0" borderId="0" xfId="0" applyNumberFormat="1" applyFont="1"/>
    <xf numFmtId="3" fontId="0" fillId="0" borderId="0" xfId="0" applyNumberFormat="1"/>
    <xf numFmtId="0" fontId="1" fillId="0" borderId="1" xfId="0" applyFont="1" applyBorder="1"/>
    <xf numFmtId="43" fontId="1" fillId="0" borderId="1" xfId="1" applyFont="1" applyBorder="1"/>
    <xf numFmtId="10" fontId="0" fillId="0" borderId="0" xfId="6" applyNumberFormat="1" applyFont="1"/>
    <xf numFmtId="0" fontId="0" fillId="0" borderId="6" xfId="0" applyBorder="1"/>
    <xf numFmtId="0" fontId="0" fillId="0" borderId="7" xfId="0" applyBorder="1"/>
    <xf numFmtId="0" fontId="2" fillId="0" borderId="0" xfId="0" applyFont="1"/>
    <xf numFmtId="0" fontId="2" fillId="8" borderId="0" xfId="0" applyFont="1" applyFill="1"/>
    <xf numFmtId="17" fontId="2" fillId="8" borderId="0" xfId="0" applyNumberFormat="1" applyFont="1" applyFill="1"/>
    <xf numFmtId="0" fontId="0" fillId="0" borderId="0" xfId="0" applyAlignment="1">
      <alignment horizontal="center"/>
    </xf>
    <xf numFmtId="0" fontId="0" fillId="9" borderId="0" xfId="0" applyFill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10" fillId="0" borderId="0" xfId="0" applyFont="1"/>
    <xf numFmtId="0" fontId="0" fillId="0" borderId="8" xfId="0" applyBorder="1"/>
    <xf numFmtId="0" fontId="0" fillId="0" borderId="9" xfId="0" applyBorder="1"/>
    <xf numFmtId="0" fontId="12" fillId="0" borderId="0" xfId="0" applyFont="1"/>
    <xf numFmtId="2" fontId="0" fillId="0" borderId="0" xfId="0" applyNumberFormat="1"/>
    <xf numFmtId="0" fontId="1" fillId="0" borderId="8" xfId="0" applyFont="1" applyBorder="1"/>
    <xf numFmtId="0" fontId="1" fillId="0" borderId="9" xfId="0" applyFont="1" applyBorder="1"/>
    <xf numFmtId="0" fontId="0" fillId="0" borderId="10" xfId="0" applyBorder="1"/>
    <xf numFmtId="10" fontId="0" fillId="0" borderId="10" xfId="6" applyNumberFormat="1" applyFont="1" applyBorder="1"/>
    <xf numFmtId="0" fontId="1" fillId="0" borderId="9" xfId="0" applyFont="1" applyBorder="1" applyAlignment="1">
      <alignment horizontal="right"/>
    </xf>
    <xf numFmtId="174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left"/>
    </xf>
    <xf numFmtId="0" fontId="1" fillId="0" borderId="11" xfId="0" applyFont="1" applyBorder="1" applyAlignment="1">
      <alignment horizontal="left"/>
    </xf>
    <xf numFmtId="0" fontId="1" fillId="0" borderId="11" xfId="0" applyFont="1" applyBorder="1" applyAlignment="1">
      <alignment horizontal="right"/>
    </xf>
    <xf numFmtId="0" fontId="1" fillId="0" borderId="11" xfId="0" applyFont="1" applyBorder="1" applyAlignment="1">
      <alignment horizontal="center"/>
    </xf>
    <xf numFmtId="0" fontId="0" fillId="11" borderId="0" xfId="0" applyFill="1"/>
    <xf numFmtId="0" fontId="0" fillId="0" borderId="12" xfId="0" applyBorder="1"/>
    <xf numFmtId="0" fontId="0" fillId="10" borderId="0" xfId="0" applyFill="1"/>
    <xf numFmtId="0" fontId="13" fillId="0" borderId="0" xfId="0" applyFont="1"/>
    <xf numFmtId="10" fontId="0" fillId="0" borderId="0" xfId="0" applyNumberFormat="1" applyAlignment="1">
      <alignment horizontal="right"/>
    </xf>
    <xf numFmtId="10" fontId="7" fillId="0" borderId="0" xfId="0" applyNumberFormat="1" applyFont="1"/>
    <xf numFmtId="0" fontId="1" fillId="10" borderId="0" xfId="0" applyFont="1" applyFill="1"/>
    <xf numFmtId="0" fontId="2" fillId="12" borderId="0" xfId="0" applyFont="1" applyFill="1"/>
    <xf numFmtId="17" fontId="2" fillId="12" borderId="0" xfId="0" applyNumberFormat="1" applyFont="1" applyFill="1"/>
    <xf numFmtId="0" fontId="2" fillId="11" borderId="0" xfId="0" applyFont="1" applyFill="1"/>
    <xf numFmtId="17" fontId="2" fillId="11" borderId="0" xfId="0" applyNumberFormat="1" applyFont="1" applyFill="1"/>
    <xf numFmtId="3" fontId="1" fillId="0" borderId="0" xfId="0" applyNumberFormat="1" applyFont="1"/>
    <xf numFmtId="0" fontId="1" fillId="0" borderId="14" xfId="0" applyFont="1" applyBorder="1"/>
    <xf numFmtId="175" fontId="0" fillId="0" borderId="0" xfId="0" applyNumberFormat="1"/>
    <xf numFmtId="175" fontId="0" fillId="0" borderId="14" xfId="0" applyNumberFormat="1" applyBorder="1"/>
    <xf numFmtId="0" fontId="1" fillId="0" borderId="15" xfId="0" applyFont="1" applyBorder="1"/>
    <xf numFmtId="0" fontId="0" fillId="12" borderId="0" xfId="0" applyFill="1"/>
    <xf numFmtId="0" fontId="5" fillId="12" borderId="0" xfId="0" applyFont="1" applyFill="1"/>
    <xf numFmtId="0" fontId="5" fillId="11" borderId="0" xfId="0" applyFont="1" applyFill="1"/>
    <xf numFmtId="0" fontId="1" fillId="0" borderId="17" xfId="0" applyFont="1" applyBorder="1"/>
    <xf numFmtId="0" fontId="0" fillId="0" borderId="17" xfId="0" applyBorder="1"/>
    <xf numFmtId="10" fontId="0" fillId="0" borderId="17" xfId="6" applyNumberFormat="1" applyFont="1" applyBorder="1"/>
    <xf numFmtId="0" fontId="0" fillId="0" borderId="18" xfId="0" applyBorder="1"/>
    <xf numFmtId="175" fontId="0" fillId="0" borderId="18" xfId="0" applyNumberFormat="1" applyBorder="1"/>
    <xf numFmtId="0" fontId="1" fillId="0" borderId="19" xfId="0" applyFont="1" applyBorder="1"/>
    <xf numFmtId="0" fontId="1" fillId="0" borderId="18" xfId="0" applyFont="1" applyBorder="1"/>
    <xf numFmtId="0" fontId="0" fillId="0" borderId="20" xfId="0" applyBorder="1"/>
    <xf numFmtId="0" fontId="1" fillId="0" borderId="20" xfId="0" applyFont="1" applyBorder="1"/>
    <xf numFmtId="17" fontId="2" fillId="12" borderId="0" xfId="0" applyNumberFormat="1" applyFont="1" applyFill="1" applyAlignment="1">
      <alignment horizontal="center"/>
    </xf>
    <xf numFmtId="0" fontId="2" fillId="12" borderId="0" xfId="0" applyFont="1" applyFill="1" applyAlignment="1">
      <alignment horizontal="left"/>
    </xf>
    <xf numFmtId="0" fontId="2" fillId="12" borderId="0" xfId="0" applyFont="1" applyFill="1" applyAlignment="1">
      <alignment horizontal="right"/>
    </xf>
    <xf numFmtId="176" fontId="2" fillId="12" borderId="0" xfId="0" applyNumberFormat="1" applyFont="1" applyFill="1"/>
    <xf numFmtId="177" fontId="2" fillId="12" borderId="0" xfId="0" applyNumberFormat="1" applyFont="1" applyFill="1"/>
    <xf numFmtId="0" fontId="0" fillId="0" borderId="21" xfId="0" applyBorder="1"/>
    <xf numFmtId="0" fontId="0" fillId="13" borderId="0" xfId="0" applyFill="1"/>
    <xf numFmtId="0" fontId="0" fillId="0" borderId="22" xfId="0" applyBorder="1"/>
    <xf numFmtId="10" fontId="7" fillId="0" borderId="22" xfId="0" applyNumberFormat="1" applyFont="1" applyBorder="1"/>
    <xf numFmtId="0" fontId="1" fillId="0" borderId="21" xfId="0" applyFont="1" applyBorder="1"/>
    <xf numFmtId="0" fontId="0" fillId="0" borderId="19" xfId="0" applyBorder="1"/>
    <xf numFmtId="0" fontId="5" fillId="12" borderId="0" xfId="0" applyFont="1" applyFill="1" applyAlignment="1">
      <alignment wrapText="1"/>
    </xf>
    <xf numFmtId="0" fontId="2" fillId="12" borderId="0" xfId="0" applyFont="1" applyFill="1" applyAlignment="1">
      <alignment wrapText="1"/>
    </xf>
    <xf numFmtId="0" fontId="2" fillId="12" borderId="0" xfId="0" applyFont="1" applyFill="1" applyAlignment="1">
      <alignment horizontal="right" wrapText="1"/>
    </xf>
    <xf numFmtId="0" fontId="0" fillId="12" borderId="0" xfId="0" applyFill="1" applyAlignment="1">
      <alignment horizontal="right"/>
    </xf>
    <xf numFmtId="0" fontId="0" fillId="12" borderId="0" xfId="0" applyFill="1" applyAlignment="1">
      <alignment horizontal="right" wrapText="1"/>
    </xf>
    <xf numFmtId="0" fontId="2" fillId="11" borderId="0" xfId="0" applyFont="1" applyFill="1" applyAlignment="1">
      <alignment horizontal="right" wrapText="1"/>
    </xf>
    <xf numFmtId="0" fontId="0" fillId="11" borderId="0" xfId="0" applyFill="1" applyAlignment="1">
      <alignment horizontal="right"/>
    </xf>
    <xf numFmtId="0" fontId="2" fillId="11" borderId="0" xfId="0" applyFont="1" applyFill="1" applyAlignment="1">
      <alignment horizontal="right"/>
    </xf>
    <xf numFmtId="0" fontId="0" fillId="11" borderId="0" xfId="0" applyFill="1" applyAlignment="1">
      <alignment horizontal="right" wrapText="1"/>
    </xf>
    <xf numFmtId="0" fontId="0" fillId="13" borderId="18" xfId="0" applyFill="1" applyBorder="1"/>
    <xf numFmtId="0" fontId="0" fillId="13" borderId="18" xfId="0" applyFill="1" applyBorder="1" applyAlignment="1">
      <alignment wrapText="1"/>
    </xf>
    <xf numFmtId="0" fontId="0" fillId="0" borderId="18" xfId="0" applyBorder="1" applyAlignment="1">
      <alignment wrapText="1"/>
    </xf>
    <xf numFmtId="0" fontId="2" fillId="12" borderId="19" xfId="0" applyFont="1" applyFill="1" applyBorder="1"/>
    <xf numFmtId="0" fontId="1" fillId="13" borderId="18" xfId="0" applyFont="1" applyFill="1" applyBorder="1"/>
    <xf numFmtId="0" fontId="1" fillId="13" borderId="18" xfId="0" applyFont="1" applyFill="1" applyBorder="1" applyAlignment="1">
      <alignment wrapText="1"/>
    </xf>
    <xf numFmtId="0" fontId="1" fillId="13" borderId="24" xfId="0" applyFont="1" applyFill="1" applyBorder="1"/>
    <xf numFmtId="0" fontId="1" fillId="13" borderId="24" xfId="0" applyFont="1" applyFill="1" applyBorder="1" applyAlignment="1">
      <alignment wrapText="1"/>
    </xf>
    <xf numFmtId="0" fontId="0" fillId="0" borderId="25" xfId="0" applyBorder="1"/>
    <xf numFmtId="0" fontId="0" fillId="0" borderId="25" xfId="0" applyBorder="1" applyAlignment="1">
      <alignment wrapText="1"/>
    </xf>
    <xf numFmtId="0" fontId="14" fillId="0" borderId="0" xfId="0" applyFont="1"/>
    <xf numFmtId="0" fontId="15" fillId="0" borderId="12" xfId="0" applyFont="1" applyBorder="1"/>
    <xf numFmtId="0" fontId="18" fillId="0" borderId="0" xfId="0" applyFont="1"/>
    <xf numFmtId="165" fontId="18" fillId="5" borderId="0" xfId="0" applyNumberFormat="1" applyFont="1" applyFill="1" applyAlignment="1">
      <alignment horizontal="center"/>
    </xf>
    <xf numFmtId="43" fontId="18" fillId="0" borderId="0" xfId="1" applyFont="1" applyBorder="1"/>
    <xf numFmtId="43" fontId="19" fillId="0" borderId="0" xfId="1" applyFont="1" applyBorder="1"/>
    <xf numFmtId="43" fontId="20" fillId="0" borderId="0" xfId="1" applyFont="1" applyBorder="1"/>
    <xf numFmtId="43" fontId="21" fillId="0" borderId="0" xfId="1" applyFont="1" applyBorder="1"/>
    <xf numFmtId="43" fontId="22" fillId="0" borderId="0" xfId="1" applyFont="1" applyBorder="1"/>
    <xf numFmtId="10" fontId="22" fillId="0" borderId="0" xfId="0" applyNumberFormat="1" applyFont="1"/>
    <xf numFmtId="0" fontId="19" fillId="0" borderId="0" xfId="0" applyFont="1"/>
    <xf numFmtId="10" fontId="19" fillId="0" borderId="0" xfId="0" applyNumberFormat="1" applyFont="1"/>
    <xf numFmtId="9" fontId="22" fillId="0" borderId="0" xfId="1" applyNumberFormat="1" applyFont="1" applyBorder="1"/>
    <xf numFmtId="43" fontId="20" fillId="2" borderId="0" xfId="3" applyNumberFormat="1" applyFont="1" applyBorder="1"/>
    <xf numFmtId="43" fontId="20" fillId="3" borderId="0" xfId="4" applyNumberFormat="1" applyFont="1" applyBorder="1"/>
    <xf numFmtId="10" fontId="20" fillId="0" borderId="0" xfId="0" applyNumberFormat="1" applyFont="1"/>
    <xf numFmtId="0" fontId="23" fillId="0" borderId="0" xfId="0" applyFont="1"/>
    <xf numFmtId="9" fontId="17" fillId="0" borderId="0" xfId="6" applyFont="1" applyBorder="1"/>
    <xf numFmtId="43" fontId="21" fillId="0" borderId="0" xfId="1" applyFont="1" applyBorder="1" applyAlignment="1">
      <alignment horizontal="center"/>
    </xf>
    <xf numFmtId="43" fontId="18" fillId="0" borderId="0" xfId="1" applyFont="1" applyBorder="1" applyAlignment="1">
      <alignment horizontal="center"/>
    </xf>
    <xf numFmtId="9" fontId="20" fillId="0" borderId="0" xfId="6" applyFont="1" applyBorder="1"/>
    <xf numFmtId="0" fontId="22" fillId="0" borderId="0" xfId="0" applyFont="1"/>
    <xf numFmtId="164" fontId="22" fillId="0" borderId="0" xfId="1" applyNumberFormat="1" applyFont="1" applyBorder="1"/>
    <xf numFmtId="3" fontId="22" fillId="0" borderId="0" xfId="0" applyNumberFormat="1" applyFont="1"/>
    <xf numFmtId="17" fontId="18" fillId="12" borderId="0" xfId="0" applyNumberFormat="1" applyFont="1" applyFill="1"/>
    <xf numFmtId="166" fontId="20" fillId="0" borderId="1" xfId="0" applyNumberFormat="1" applyFont="1" applyBorder="1"/>
    <xf numFmtId="0" fontId="25" fillId="0" borderId="0" xfId="0" applyFont="1"/>
    <xf numFmtId="168" fontId="20" fillId="0" borderId="0" xfId="0" applyNumberFormat="1" applyFont="1"/>
    <xf numFmtId="10" fontId="22" fillId="0" borderId="0" xfId="6" applyNumberFormat="1" applyFont="1"/>
    <xf numFmtId="10" fontId="19" fillId="0" borderId="0" xfId="0" applyNumberFormat="1" applyFont="1" applyAlignment="1">
      <alignment horizontal="right"/>
    </xf>
    <xf numFmtId="10" fontId="20" fillId="0" borderId="0" xfId="0" applyNumberFormat="1" applyFont="1" applyAlignment="1">
      <alignment horizontal="right"/>
    </xf>
    <xf numFmtId="2" fontId="19" fillId="0" borderId="0" xfId="0" applyNumberFormat="1" applyFont="1"/>
    <xf numFmtId="9" fontId="19" fillId="0" borderId="0" xfId="6" applyFont="1"/>
    <xf numFmtId="173" fontId="22" fillId="0" borderId="0" xfId="0" applyNumberFormat="1" applyFont="1"/>
    <xf numFmtId="173" fontId="19" fillId="0" borderId="0" xfId="0" applyNumberFormat="1" applyFont="1"/>
    <xf numFmtId="173" fontId="19" fillId="0" borderId="10" xfId="0" applyNumberFormat="1" applyFont="1" applyBorder="1"/>
    <xf numFmtId="10" fontId="19" fillId="0" borderId="0" xfId="6" applyNumberFormat="1" applyFont="1"/>
    <xf numFmtId="10" fontId="19" fillId="0" borderId="10" xfId="6" applyNumberFormat="1" applyFont="1" applyBorder="1"/>
    <xf numFmtId="10" fontId="19" fillId="10" borderId="0" xfId="0" applyNumberFormat="1" applyFont="1" applyFill="1"/>
    <xf numFmtId="10" fontId="19" fillId="0" borderId="10" xfId="0" applyNumberFormat="1" applyFont="1" applyBorder="1"/>
    <xf numFmtId="10" fontId="19" fillId="0" borderId="8" xfId="0" applyNumberFormat="1" applyFont="1" applyBorder="1"/>
    <xf numFmtId="2" fontId="19" fillId="0" borderId="8" xfId="0" applyNumberFormat="1" applyFont="1" applyBorder="1"/>
    <xf numFmtId="10" fontId="19" fillId="0" borderId="9" xfId="0" applyNumberFormat="1" applyFont="1" applyBorder="1"/>
    <xf numFmtId="2" fontId="19" fillId="0" borderId="9" xfId="0" applyNumberFormat="1" applyFont="1" applyBorder="1"/>
    <xf numFmtId="10" fontId="19" fillId="10" borderId="0" xfId="6" applyNumberFormat="1" applyFont="1" applyFill="1"/>
    <xf numFmtId="2" fontId="22" fillId="0" borderId="0" xfId="0" applyNumberFormat="1" applyFont="1"/>
    <xf numFmtId="10" fontId="19" fillId="10" borderId="6" xfId="0" applyNumberFormat="1" applyFont="1" applyFill="1" applyBorder="1"/>
    <xf numFmtId="9" fontId="19" fillId="0" borderId="0" xfId="0" applyNumberFormat="1" applyFont="1"/>
    <xf numFmtId="10" fontId="20" fillId="10" borderId="0" xfId="0" applyNumberFormat="1" applyFont="1" applyFill="1"/>
    <xf numFmtId="3" fontId="20" fillId="0" borderId="14" xfId="0" applyNumberFormat="1" applyFont="1" applyBorder="1"/>
    <xf numFmtId="175" fontId="19" fillId="0" borderId="15" xfId="0" applyNumberFormat="1" applyFont="1" applyBorder="1"/>
    <xf numFmtId="3" fontId="20" fillId="0" borderId="16" xfId="0" applyNumberFormat="1" applyFont="1" applyBorder="1"/>
    <xf numFmtId="175" fontId="22" fillId="0" borderId="14" xfId="0" applyNumberFormat="1" applyFont="1" applyBorder="1"/>
    <xf numFmtId="3" fontId="17" fillId="0" borderId="14" xfId="0" applyNumberFormat="1" applyFont="1" applyBorder="1"/>
    <xf numFmtId="175" fontId="22" fillId="0" borderId="0" xfId="0" applyNumberFormat="1" applyFont="1"/>
    <xf numFmtId="175" fontId="22" fillId="0" borderId="1" xfId="0" applyNumberFormat="1" applyFont="1" applyBorder="1"/>
    <xf numFmtId="0" fontId="21" fillId="0" borderId="18" xfId="0" applyFont="1" applyBorder="1"/>
    <xf numFmtId="17" fontId="18" fillId="12" borderId="17" xfId="0" applyNumberFormat="1" applyFont="1" applyFill="1" applyBorder="1"/>
    <xf numFmtId="175" fontId="21" fillId="0" borderId="18" xfId="0" applyNumberFormat="1" applyFont="1" applyBorder="1"/>
    <xf numFmtId="175" fontId="20" fillId="0" borderId="0" xfId="0" applyNumberFormat="1" applyFont="1"/>
    <xf numFmtId="173" fontId="20" fillId="0" borderId="17" xfId="0" applyNumberFormat="1" applyFont="1" applyBorder="1"/>
    <xf numFmtId="175" fontId="20" fillId="0" borderId="18" xfId="0" applyNumberFormat="1" applyFont="1" applyBorder="1"/>
    <xf numFmtId="175" fontId="19" fillId="0" borderId="18" xfId="0" applyNumberFormat="1" applyFont="1" applyBorder="1"/>
    <xf numFmtId="173" fontId="20" fillId="0" borderId="19" xfId="0" applyNumberFormat="1" applyFont="1" applyBorder="1"/>
    <xf numFmtId="173" fontId="20" fillId="0" borderId="20" xfId="0" applyNumberFormat="1" applyFont="1" applyBorder="1"/>
    <xf numFmtId="0" fontId="20" fillId="0" borderId="20" xfId="0" applyFont="1" applyBorder="1"/>
    <xf numFmtId="10" fontId="19" fillId="0" borderId="17" xfId="6" applyNumberFormat="1" applyFont="1" applyBorder="1"/>
    <xf numFmtId="3" fontId="19" fillId="0" borderId="18" xfId="0" applyNumberFormat="1" applyFont="1" applyBorder="1"/>
    <xf numFmtId="0" fontId="19" fillId="0" borderId="20" xfId="0" applyFont="1" applyBorder="1"/>
    <xf numFmtId="2" fontId="22" fillId="0" borderId="20" xfId="6" applyNumberFormat="1" applyFont="1" applyBorder="1"/>
    <xf numFmtId="175" fontId="19" fillId="0" borderId="20" xfId="0" applyNumberFormat="1" applyFont="1" applyBorder="1"/>
    <xf numFmtId="10" fontId="19" fillId="0" borderId="20" xfId="0" applyNumberFormat="1" applyFont="1" applyBorder="1"/>
    <xf numFmtId="10" fontId="26" fillId="0" borderId="20" xfId="6" applyNumberFormat="1" applyFont="1" applyBorder="1"/>
    <xf numFmtId="173" fontId="20" fillId="0" borderId="21" xfId="0" applyNumberFormat="1" applyFont="1" applyBorder="1"/>
    <xf numFmtId="179" fontId="19" fillId="0" borderId="0" xfId="0" applyNumberFormat="1" applyFont="1"/>
    <xf numFmtId="4" fontId="20" fillId="0" borderId="21" xfId="0" applyNumberFormat="1" applyFont="1" applyBorder="1"/>
    <xf numFmtId="173" fontId="20" fillId="11" borderId="0" xfId="0" applyNumberFormat="1" applyFont="1" applyFill="1" applyAlignment="1">
      <alignment wrapText="1"/>
    </xf>
    <xf numFmtId="0" fontId="22" fillId="0" borderId="22" xfId="0" applyFont="1" applyBorder="1"/>
    <xf numFmtId="173" fontId="19" fillId="0" borderId="0" xfId="0" applyNumberFormat="1" applyFont="1" applyAlignment="1">
      <alignment wrapText="1"/>
    </xf>
    <xf numFmtId="173" fontId="19" fillId="13" borderId="0" xfId="0" applyNumberFormat="1" applyFont="1" applyFill="1" applyAlignment="1">
      <alignment wrapText="1"/>
    </xf>
    <xf numFmtId="10" fontId="22" fillId="10" borderId="22" xfId="0" applyNumberFormat="1" applyFont="1" applyFill="1" applyBorder="1"/>
    <xf numFmtId="180" fontId="19" fillId="0" borderId="18" xfId="0" applyNumberFormat="1" applyFont="1" applyBorder="1"/>
    <xf numFmtId="181" fontId="19" fillId="13" borderId="18" xfId="0" applyNumberFormat="1" applyFont="1" applyFill="1" applyBorder="1"/>
    <xf numFmtId="0" fontId="19" fillId="13" borderId="18" xfId="0" applyFont="1" applyFill="1" applyBorder="1"/>
    <xf numFmtId="181" fontId="20" fillId="13" borderId="18" xfId="0" applyNumberFormat="1" applyFont="1" applyFill="1" applyBorder="1"/>
    <xf numFmtId="2" fontId="19" fillId="0" borderId="25" xfId="0" applyNumberFormat="1" applyFont="1" applyBorder="1"/>
    <xf numFmtId="182" fontId="20" fillId="13" borderId="24" xfId="0" applyNumberFormat="1" applyFont="1" applyFill="1" applyBorder="1"/>
    <xf numFmtId="0" fontId="27" fillId="0" borderId="0" xfId="0" applyFont="1"/>
    <xf numFmtId="17" fontId="18" fillId="6" borderId="0" xfId="0" applyNumberFormat="1" applyFont="1" applyFill="1"/>
    <xf numFmtId="10" fontId="21" fillId="0" borderId="0" xfId="6" applyNumberFormat="1" applyFont="1"/>
    <xf numFmtId="9" fontId="21" fillId="0" borderId="0" xfId="6" applyFont="1"/>
    <xf numFmtId="168" fontId="7" fillId="0" borderId="0" xfId="0" applyNumberFormat="1" applyFont="1"/>
    <xf numFmtId="168" fontId="28" fillId="0" borderId="0" xfId="0" applyNumberFormat="1" applyFont="1"/>
    <xf numFmtId="166" fontId="7" fillId="0" borderId="0" xfId="0" applyNumberFormat="1" applyFont="1"/>
    <xf numFmtId="166" fontId="28" fillId="0" borderId="1" xfId="0" applyNumberFormat="1" applyFont="1" applyBorder="1"/>
    <xf numFmtId="10" fontId="30" fillId="0" borderId="0" xfId="6" applyNumberFormat="1" applyFont="1"/>
    <xf numFmtId="9" fontId="30" fillId="0" borderId="0" xfId="6" applyFont="1"/>
    <xf numFmtId="9" fontId="7" fillId="0" borderId="0" xfId="6" applyFont="1"/>
    <xf numFmtId="167" fontId="7" fillId="0" borderId="0" xfId="0" applyNumberFormat="1" applyFont="1"/>
    <xf numFmtId="0" fontId="30" fillId="0" borderId="0" xfId="0" applyFont="1" applyAlignment="1">
      <alignment horizontal="right"/>
    </xf>
    <xf numFmtId="0" fontId="7" fillId="7" borderId="0" xfId="0" applyFont="1" applyFill="1"/>
    <xf numFmtId="0" fontId="7" fillId="0" borderId="2" xfId="0" applyFont="1" applyBorder="1"/>
    <xf numFmtId="10" fontId="7" fillId="0" borderId="2" xfId="6" applyNumberFormat="1" applyFont="1" applyBorder="1"/>
    <xf numFmtId="10" fontId="7" fillId="0" borderId="4" xfId="6" applyNumberFormat="1" applyFont="1" applyBorder="1"/>
    <xf numFmtId="0" fontId="7" fillId="0" borderId="4" xfId="0" applyFont="1" applyBorder="1"/>
    <xf numFmtId="10" fontId="7" fillId="0" borderId="0" xfId="6" applyNumberFormat="1" applyFont="1" applyBorder="1"/>
    <xf numFmtId="0" fontId="7" fillId="0" borderId="3" xfId="0" applyFont="1" applyBorder="1"/>
    <xf numFmtId="10" fontId="7" fillId="0" borderId="3" xfId="6" applyNumberFormat="1" applyFont="1" applyBorder="1"/>
    <xf numFmtId="10" fontId="7" fillId="0" borderId="5" xfId="6" applyNumberFormat="1" applyFont="1" applyBorder="1"/>
    <xf numFmtId="0" fontId="7" fillId="0" borderId="5" xfId="0" applyFont="1" applyBorder="1"/>
    <xf numFmtId="10" fontId="7" fillId="0" borderId="0" xfId="6" applyNumberFormat="1" applyFont="1"/>
    <xf numFmtId="0" fontId="7" fillId="0" borderId="6" xfId="0" applyFont="1" applyBorder="1"/>
    <xf numFmtId="10" fontId="7" fillId="0" borderId="6" xfId="6" applyNumberFormat="1" applyFont="1" applyBorder="1"/>
    <xf numFmtId="0" fontId="7" fillId="0" borderId="7" xfId="0" applyFont="1" applyBorder="1"/>
    <xf numFmtId="10" fontId="7" fillId="0" borderId="7" xfId="6" applyNumberFormat="1" applyFont="1" applyBorder="1"/>
    <xf numFmtId="169" fontId="7" fillId="0" borderId="5" xfId="0" applyNumberFormat="1" applyFont="1" applyBorder="1"/>
    <xf numFmtId="169" fontId="7" fillId="0" borderId="4" xfId="0" applyNumberFormat="1" applyFont="1" applyBorder="1"/>
    <xf numFmtId="169" fontId="7" fillId="0" borderId="0" xfId="0" applyNumberFormat="1" applyFont="1"/>
    <xf numFmtId="1" fontId="7" fillId="0" borderId="6" xfId="0" applyNumberFormat="1" applyFont="1" applyBorder="1"/>
    <xf numFmtId="1" fontId="7" fillId="0" borderId="4" xfId="0" applyNumberFormat="1" applyFont="1" applyBorder="1"/>
    <xf numFmtId="1" fontId="7" fillId="0" borderId="0" xfId="0" applyNumberFormat="1" applyFont="1"/>
    <xf numFmtId="1" fontId="7" fillId="0" borderId="7" xfId="0" applyNumberFormat="1" applyFont="1" applyBorder="1"/>
    <xf numFmtId="1" fontId="7" fillId="0" borderId="5" xfId="0" applyNumberFormat="1" applyFont="1" applyBorder="1"/>
    <xf numFmtId="0" fontId="7" fillId="0" borderId="0" xfId="0" applyFont="1" applyAlignment="1">
      <alignment horizontal="left"/>
    </xf>
    <xf numFmtId="171" fontId="7" fillId="0" borderId="0" xfId="0" applyNumberFormat="1" applyFont="1" applyAlignment="1">
      <alignment horizontal="right"/>
    </xf>
    <xf numFmtId="173" fontId="7" fillId="0" borderId="0" xfId="0" applyNumberFormat="1" applyFont="1"/>
    <xf numFmtId="0" fontId="7" fillId="10" borderId="0" xfId="0" applyFont="1" applyFill="1" applyAlignment="1">
      <alignment horizontal="left"/>
    </xf>
    <xf numFmtId="172" fontId="7" fillId="10" borderId="0" xfId="0" applyNumberFormat="1" applyFont="1" applyFill="1" applyAlignment="1">
      <alignment horizontal="right"/>
    </xf>
    <xf numFmtId="173" fontId="7" fillId="10" borderId="0" xfId="0" applyNumberFormat="1" applyFont="1" applyFill="1"/>
    <xf numFmtId="10" fontId="7" fillId="10" borderId="0" xfId="6" applyNumberFormat="1" applyFont="1" applyFill="1"/>
    <xf numFmtId="172" fontId="7" fillId="0" borderId="0" xfId="0" applyNumberFormat="1" applyFont="1" applyAlignment="1">
      <alignment horizontal="right"/>
    </xf>
    <xf numFmtId="0" fontId="5" fillId="0" borderId="0" xfId="0" applyFont="1"/>
    <xf numFmtId="170" fontId="7" fillId="0" borderId="0" xfId="0" applyNumberFormat="1" applyFont="1"/>
    <xf numFmtId="17" fontId="28" fillId="8" borderId="0" xfId="0" applyNumberFormat="1" applyFont="1" applyFill="1"/>
    <xf numFmtId="173" fontId="7" fillId="11" borderId="0" xfId="0" applyNumberFormat="1" applyFont="1" applyFill="1"/>
    <xf numFmtId="0" fontId="7" fillId="11" borderId="0" xfId="0" applyFont="1" applyFill="1"/>
    <xf numFmtId="10" fontId="7" fillId="11" borderId="0" xfId="0" applyNumberFormat="1" applyFont="1" applyFill="1"/>
    <xf numFmtId="10" fontId="7" fillId="11" borderId="0" xfId="6" applyNumberFormat="1" applyFont="1" applyFill="1"/>
    <xf numFmtId="0" fontId="30" fillId="11" borderId="13" xfId="0" applyFont="1" applyFill="1" applyBorder="1" applyAlignment="1">
      <alignment horizontal="centerContinuous"/>
    </xf>
    <xf numFmtId="2" fontId="7" fillId="11" borderId="0" xfId="0" applyNumberFormat="1" applyFont="1" applyFill="1"/>
    <xf numFmtId="0" fontId="7" fillId="11" borderId="12" xfId="0" applyFont="1" applyFill="1" applyBorder="1"/>
    <xf numFmtId="0" fontId="30" fillId="11" borderId="13" xfId="0" applyFont="1" applyFill="1" applyBorder="1" applyAlignment="1">
      <alignment horizontal="center"/>
    </xf>
    <xf numFmtId="10" fontId="7" fillId="0" borderId="0" xfId="6" applyNumberFormat="1" applyFont="1" applyAlignment="1"/>
    <xf numFmtId="0" fontId="16" fillId="12" borderId="0" xfId="0" applyFont="1" applyFill="1"/>
    <xf numFmtId="10" fontId="7" fillId="13" borderId="0" xfId="0" applyNumberFormat="1" applyFont="1" applyFill="1"/>
    <xf numFmtId="10" fontId="31" fillId="0" borderId="0" xfId="0" applyNumberFormat="1" applyFont="1" applyAlignment="1">
      <alignment wrapText="1"/>
    </xf>
    <xf numFmtId="4" fontId="7" fillId="10" borderId="22" xfId="0" applyNumberFormat="1" applyFont="1" applyFill="1" applyBorder="1"/>
    <xf numFmtId="4" fontId="7" fillId="0" borderId="22" xfId="0" applyNumberFormat="1" applyFont="1" applyBorder="1"/>
    <xf numFmtId="0" fontId="7" fillId="10" borderId="22" xfId="0" applyFont="1" applyFill="1" applyBorder="1"/>
    <xf numFmtId="0" fontId="7" fillId="0" borderId="22" xfId="0" applyFont="1" applyBorder="1"/>
    <xf numFmtId="178" fontId="7" fillId="0" borderId="22" xfId="0" applyNumberFormat="1" applyFont="1" applyBorder="1"/>
    <xf numFmtId="173" fontId="28" fillId="0" borderId="0" xfId="0" applyNumberFormat="1" applyFont="1"/>
    <xf numFmtId="43" fontId="7" fillId="0" borderId="0" xfId="0" applyNumberFormat="1" applyFont="1"/>
    <xf numFmtId="0" fontId="7" fillId="13" borderId="18" xfId="0" applyFont="1" applyFill="1" applyBorder="1"/>
    <xf numFmtId="180" fontId="7" fillId="13" borderId="18" xfId="0" applyNumberFormat="1" applyFont="1" applyFill="1" applyBorder="1"/>
    <xf numFmtId="2" fontId="7" fillId="13" borderId="18" xfId="0" applyNumberFormat="1" applyFont="1" applyFill="1" applyBorder="1"/>
    <xf numFmtId="3" fontId="7" fillId="13" borderId="18" xfId="0" applyNumberFormat="1" applyFont="1" applyFill="1" applyBorder="1"/>
    <xf numFmtId="0" fontId="7" fillId="13" borderId="18" xfId="0" applyFont="1" applyFill="1" applyBorder="1" applyAlignment="1">
      <alignment wrapText="1"/>
    </xf>
    <xf numFmtId="181" fontId="7" fillId="13" borderId="18" xfId="0" applyNumberFormat="1" applyFont="1" applyFill="1" applyBorder="1"/>
    <xf numFmtId="0" fontId="7" fillId="0" borderId="18" xfId="0" applyFont="1" applyBorder="1"/>
    <xf numFmtId="180" fontId="7" fillId="0" borderId="18" xfId="0" applyNumberFormat="1" applyFont="1" applyBorder="1"/>
    <xf numFmtId="2" fontId="7" fillId="0" borderId="18" xfId="0" applyNumberFormat="1" applyFont="1" applyBorder="1"/>
    <xf numFmtId="3" fontId="7" fillId="0" borderId="18" xfId="0" applyNumberFormat="1" applyFont="1" applyBorder="1"/>
    <xf numFmtId="0" fontId="7" fillId="0" borderId="18" xfId="0" applyFont="1" applyBorder="1" applyAlignment="1">
      <alignment wrapText="1"/>
    </xf>
    <xf numFmtId="181" fontId="7" fillId="0" borderId="18" xfId="0" applyNumberFormat="1" applyFont="1" applyBorder="1"/>
    <xf numFmtId="0" fontId="0" fillId="11" borderId="0" xfId="0" applyFill="1" applyAlignment="1">
      <alignment horizontal="center"/>
    </xf>
    <xf numFmtId="173" fontId="7" fillId="0" borderId="0" xfId="0" applyNumberFormat="1" applyFont="1" applyAlignment="1">
      <alignment wrapText="1"/>
    </xf>
    <xf numFmtId="10" fontId="7" fillId="0" borderId="7" xfId="0" applyNumberFormat="1" applyFont="1" applyBorder="1"/>
    <xf numFmtId="173" fontId="7" fillId="0" borderId="10" xfId="0" applyNumberFormat="1" applyFont="1" applyBorder="1"/>
    <xf numFmtId="2" fontId="7" fillId="0" borderId="0" xfId="0" applyNumberFormat="1" applyFont="1"/>
    <xf numFmtId="43" fontId="24" fillId="0" borderId="0" xfId="2" applyNumberFormat="1" applyFont="1" applyBorder="1" applyAlignment="1" applyProtection="1">
      <alignment horizontal="center"/>
    </xf>
    <xf numFmtId="43" fontId="2" fillId="4" borderId="0" xfId="5" applyNumberFormat="1" applyFont="1" applyBorder="1" applyAlignment="1">
      <alignment horizontal="center"/>
    </xf>
    <xf numFmtId="0" fontId="2" fillId="1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5" fillId="12" borderId="0" xfId="0" applyFont="1" applyFill="1" applyAlignment="1">
      <alignment horizontal="center"/>
    </xf>
    <xf numFmtId="0" fontId="2" fillId="12" borderId="23" xfId="0" applyFont="1" applyFill="1" applyBorder="1" applyAlignment="1">
      <alignment horizontal="center"/>
    </xf>
    <xf numFmtId="0" fontId="16" fillId="12" borderId="0" xfId="0" applyFont="1" applyFill="1" applyAlignment="1">
      <alignment horizontal="center"/>
    </xf>
    <xf numFmtId="0" fontId="17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</cellXfs>
  <cellStyles count="8">
    <cellStyle name="60% - Accent1" xfId="3" builtinId="32"/>
    <cellStyle name="60% - Accent3" xfId="4" builtinId="40"/>
    <cellStyle name="Accent6" xfId="5" builtinId="49"/>
    <cellStyle name="Comma" xfId="1" builtinId="3"/>
    <cellStyle name="Hyperlink" xfId="2" builtinId="8"/>
    <cellStyle name="Normal" xfId="0" builtinId="0"/>
    <cellStyle name="Percent" xfId="6" builtinId="5"/>
    <cellStyle name="Title 2" xfId="7" xr:uid="{EC3629B1-6E46-49BE-AE55-2EA8ADBFBC55}"/>
  </cellStyles>
  <dxfs count="31"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rgb="FF0275D8"/>
        </patternFill>
      </fill>
      <border diagonalUp="0" diagonalDown="0" outline="0">
        <left style="thin">
          <color theme="4"/>
        </left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 style="thin">
          <color theme="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5" formatCode="[$-409]mmm\-yy;@"/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rgb="FF0275D8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rgb="FF0275D8"/>
        </patternFill>
      </fill>
      <alignment horizontal="center" vertical="bottom" textRotation="0" wrapText="0" relativeIndent="0" justifyLastLine="0" shrinkToFit="0" readingOrder="0"/>
    </dxf>
  </dxfs>
  <tableStyles count="0" defaultTableStyle="TableStyleMedium9" defaultPivotStyle="PivotStyleLight16"/>
  <colors>
    <mruColors>
      <color rgb="FF0000FF"/>
      <color rgb="FF3333CC"/>
      <color rgb="FF3333FF"/>
      <color rgb="FF0275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Forecasting!$D$4</c:f>
              <c:strCache>
                <c:ptCount val="1"/>
                <c:pt idx="0">
                  <c:v>Sales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0800" dist="25400" algn="bl" rotWithShape="0">
                <a:srgbClr val="000000">
                  <a:alpha val="60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0800" dist="25400" algn="bl" rotWithShape="0">
                  <a:srgbClr val="000000">
                    <a:alpha val="60000"/>
                  </a:srgbClr>
                </a:outerShdw>
              </a:effectLst>
            </c:spPr>
          </c:marker>
          <c:yVal>
            <c:numRef>
              <c:f>Forecasting!$D$5:$D$19</c:f>
              <c:numCache>
                <c:formatCode>#,##0.0</c:formatCode>
                <c:ptCount val="15"/>
                <c:pt idx="0">
                  <c:v>27392.01</c:v>
                </c:pt>
                <c:pt idx="1">
                  <c:v>28487.03</c:v>
                </c:pt>
                <c:pt idx="2">
                  <c:v>31578.44</c:v>
                </c:pt>
                <c:pt idx="3">
                  <c:v>26489.46</c:v>
                </c:pt>
                <c:pt idx="4">
                  <c:v>29065.91</c:v>
                </c:pt>
                <c:pt idx="5">
                  <c:v>32837.5</c:v>
                </c:pt>
                <c:pt idx="6">
                  <c:v>33498.14</c:v>
                </c:pt>
                <c:pt idx="7">
                  <c:v>38654.49</c:v>
                </c:pt>
                <c:pt idx="8">
                  <c:v>43885.68</c:v>
                </c:pt>
                <c:pt idx="9">
                  <c:v>48496.85</c:v>
                </c:pt>
                <c:pt idx="10">
                  <c:v>45968.950666666657</c:v>
                </c:pt>
                <c:pt idx="11">
                  <c:v>48138.114242424235</c:v>
                </c:pt>
                <c:pt idx="12">
                  <c:v>50307.277818181814</c:v>
                </c:pt>
                <c:pt idx="13">
                  <c:v>52476.441393939385</c:v>
                </c:pt>
                <c:pt idx="14">
                  <c:v>54645.604969696964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51-4F64-A479-13C8A2AC2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91647"/>
        <c:axId val="34892607"/>
      </c:scatterChart>
      <c:valAx>
        <c:axId val="3489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92607"/>
        <c:crosses val="autoZero"/>
        <c:crossBetween val="midCat"/>
      </c:valAx>
      <c:valAx>
        <c:axId val="3489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9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EBITDA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Forecasting!$I$4</c:f>
              <c:strCache>
                <c:ptCount val="1"/>
                <c:pt idx="0">
                  <c:v>EBITDA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0800" dist="25400" algn="bl" rotWithShape="0">
                <a:srgbClr val="000000">
                  <a:alpha val="60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0800" dist="25400" algn="bl" rotWithShape="0">
                  <a:srgbClr val="000000">
                    <a:alpha val="60000"/>
                  </a:srgbClr>
                </a:outerShdw>
              </a:effectLst>
            </c:spPr>
          </c:marker>
          <c:yVal>
            <c:numRef>
              <c:f>Forecasting!$I$5:$I$19</c:f>
              <c:numCache>
                <c:formatCode>#,##0.0</c:formatCode>
                <c:ptCount val="15"/>
                <c:pt idx="0">
                  <c:v>34354.1</c:v>
                </c:pt>
                <c:pt idx="1">
                  <c:v>35087.26</c:v>
                </c:pt>
                <c:pt idx="2">
                  <c:v>41165.199999999997</c:v>
                </c:pt>
                <c:pt idx="3">
                  <c:v>35991.519999999997</c:v>
                </c:pt>
                <c:pt idx="4">
                  <c:v>39045.72</c:v>
                </c:pt>
                <c:pt idx="5">
                  <c:v>42792.22</c:v>
                </c:pt>
                <c:pt idx="6">
                  <c:v>44276.32</c:v>
                </c:pt>
                <c:pt idx="7">
                  <c:v>50729.29</c:v>
                </c:pt>
                <c:pt idx="8">
                  <c:v>55100.460000000006</c:v>
                </c:pt>
                <c:pt idx="9">
                  <c:v>59095.909999999996</c:v>
                </c:pt>
                <c:pt idx="10">
                  <c:v>58403.467999999993</c:v>
                </c:pt>
                <c:pt idx="11">
                  <c:v>61065.225818181818</c:v>
                </c:pt>
                <c:pt idx="12">
                  <c:v>63726.983636363628</c:v>
                </c:pt>
                <c:pt idx="13">
                  <c:v>66388.741454545452</c:v>
                </c:pt>
                <c:pt idx="14">
                  <c:v>69050.499272727277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66-4B24-8A0D-15D5D8EA8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330495"/>
        <c:axId val="742331455"/>
      </c:scatterChart>
      <c:valAx>
        <c:axId val="742330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31455"/>
        <c:crosses val="autoZero"/>
        <c:crossBetween val="midCat"/>
      </c:valAx>
      <c:valAx>
        <c:axId val="74233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30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EPS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Forecasting!$N$4</c:f>
              <c:strCache>
                <c:ptCount val="1"/>
                <c:pt idx="0">
                  <c:v>EPS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0800" dist="25400" algn="bl" rotWithShape="0">
                <a:srgbClr val="000000">
                  <a:alpha val="60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0800" dist="25400" algn="bl" rotWithShape="0">
                  <a:srgbClr val="000000">
                    <a:alpha val="60000"/>
                  </a:srgbClr>
                </a:outerShdw>
              </a:effectLst>
            </c:spPr>
          </c:marker>
          <c:yVal>
            <c:numRef>
              <c:f>Forecasting!$N$5:$N$19</c:f>
              <c:numCache>
                <c:formatCode>#,##0.0</c:formatCode>
                <c:ptCount val="15"/>
                <c:pt idx="0">
                  <c:v>152.88576670529162</c:v>
                </c:pt>
                <c:pt idx="1">
                  <c:v>135.5080400548469</c:v>
                </c:pt>
                <c:pt idx="2">
                  <c:v>159.58437877714331</c:v>
                </c:pt>
                <c:pt idx="3">
                  <c:v>137.80298420372608</c:v>
                </c:pt>
                <c:pt idx="4">
                  <c:v>150.61201183678574</c:v>
                </c:pt>
                <c:pt idx="5">
                  <c:v>165.10611428333263</c:v>
                </c:pt>
                <c:pt idx="6">
                  <c:v>173.13487267119575</c:v>
                </c:pt>
                <c:pt idx="7">
                  <c:v>197.48551660901097</c:v>
                </c:pt>
                <c:pt idx="8">
                  <c:v>214.8603342641604</c:v>
                </c:pt>
                <c:pt idx="9">
                  <c:v>228.6556495644563</c:v>
                </c:pt>
                <c:pt idx="10">
                  <c:v>223.14324897052734</c:v>
                </c:pt>
                <c:pt idx="11">
                  <c:v>232.52137298389687</c:v>
                </c:pt>
                <c:pt idx="12">
                  <c:v>241.89949699726637</c:v>
                </c:pt>
                <c:pt idx="13">
                  <c:v>251.27762101063587</c:v>
                </c:pt>
                <c:pt idx="14">
                  <c:v>260.6557450240054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94-440C-8CD2-60FA3C66E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202831"/>
        <c:axId val="618995887"/>
      </c:scatterChart>
      <c:valAx>
        <c:axId val="57820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95887"/>
        <c:crosses val="autoZero"/>
        <c:crossBetween val="midCat"/>
      </c:valAx>
      <c:valAx>
        <c:axId val="6189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02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Football</a:t>
            </a:r>
            <a:r>
              <a:rPr lang="en-US" b="1" baseline="0">
                <a:solidFill>
                  <a:srgbClr val="002060"/>
                </a:solidFill>
              </a:rPr>
              <a:t> Field Analysis - Valuation Summary (Rs)</a:t>
            </a:r>
            <a:endParaRPr lang="en-US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none"/>
          </c:marker>
          <c:cat>
            <c:strRef>
              <c:f>'Football Field Analysis'!$L$4:$L$8</c:f>
              <c:strCache>
                <c:ptCount val="5"/>
                <c:pt idx="0">
                  <c:v>Comps</c:v>
                </c:pt>
                <c:pt idx="1">
                  <c:v>DCF Bear</c:v>
                </c:pt>
                <c:pt idx="2">
                  <c:v>DCF Base</c:v>
                </c:pt>
                <c:pt idx="3">
                  <c:v>DCF Bull</c:v>
                </c:pt>
                <c:pt idx="4">
                  <c:v>52W H/L</c:v>
                </c:pt>
              </c:strCache>
            </c:strRef>
          </c:cat>
          <c:val>
            <c:numRef>
              <c:f>'Football Field Analysis'!$N$4:$N$8</c:f>
              <c:numCache>
                <c:formatCode>#,##0.0</c:formatCode>
                <c:ptCount val="5"/>
                <c:pt idx="0" formatCode="General">
                  <c:v>1027.5999999999999</c:v>
                </c:pt>
                <c:pt idx="1">
                  <c:v>1175.6753429923131</c:v>
                </c:pt>
                <c:pt idx="2">
                  <c:v>1387.6933702544525</c:v>
                </c:pt>
                <c:pt idx="3">
                  <c:v>2287.0961595875292</c:v>
                </c:pt>
                <c:pt idx="4">
                  <c:v>1068.3499999999999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5C-4958-91C5-464109E3D384}"/>
            </c:ext>
          </c:extLst>
        </c:ser>
        <c:ser>
          <c:idx val="1"/>
          <c:order val="1"/>
          <c:spPr>
            <a:ln w="38100" cap="rnd">
              <a:noFill/>
              <a:round/>
            </a:ln>
            <a:effectLst/>
          </c:spPr>
          <c:marker>
            <c:symbol val="none"/>
          </c:marker>
          <c:dLbls>
            <c:numFmt formatCode="&quot;₹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'Football Field Analysis'!$L$4:$L$8</c:f>
              <c:strCache>
                <c:ptCount val="5"/>
                <c:pt idx="0">
                  <c:v>Comps</c:v>
                </c:pt>
                <c:pt idx="1">
                  <c:v>DCF Bear</c:v>
                </c:pt>
                <c:pt idx="2">
                  <c:v>DCF Base</c:v>
                </c:pt>
                <c:pt idx="3">
                  <c:v>DCF Bull</c:v>
                </c:pt>
                <c:pt idx="4">
                  <c:v>52W H/L</c:v>
                </c:pt>
              </c:strCache>
            </c:strRef>
          </c:cat>
          <c:val>
            <c:numRef>
              <c:f>'Football Field Analysis'!$O$4:$O$8</c:f>
              <c:numCache>
                <c:formatCode>#,##0.0</c:formatCode>
                <c:ptCount val="5"/>
                <c:pt idx="0" formatCode="General">
                  <c:v>1027.5999999999999</c:v>
                </c:pt>
                <c:pt idx="1">
                  <c:v>1175.6753429923131</c:v>
                </c:pt>
                <c:pt idx="2">
                  <c:v>1387.6933702544525</c:v>
                </c:pt>
                <c:pt idx="3">
                  <c:v>2287.0961595875292</c:v>
                </c:pt>
                <c:pt idx="4">
                  <c:v>1068.3499999999999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5C-4958-91C5-464109E3D384}"/>
            </c:ext>
          </c:extLst>
        </c:ser>
        <c:ser>
          <c:idx val="2"/>
          <c:order val="2"/>
          <c:spPr>
            <a:ln w="38100" cap="rnd">
              <a:noFill/>
              <a:round/>
            </a:ln>
            <a:effectLst/>
          </c:spPr>
          <c:marker>
            <c:symbol val="none"/>
          </c:marker>
          <c:cat>
            <c:strRef>
              <c:f>'Football Field Analysis'!$L$4:$L$8</c:f>
              <c:strCache>
                <c:ptCount val="5"/>
                <c:pt idx="0">
                  <c:v>Comps</c:v>
                </c:pt>
                <c:pt idx="1">
                  <c:v>DCF Bear</c:v>
                </c:pt>
                <c:pt idx="2">
                  <c:v>DCF Base</c:v>
                </c:pt>
                <c:pt idx="3">
                  <c:v>DCF Bull</c:v>
                </c:pt>
                <c:pt idx="4">
                  <c:v>52W H/L</c:v>
                </c:pt>
              </c:strCache>
            </c:strRef>
          </c:cat>
          <c:val>
            <c:numRef>
              <c:f>'Football Field Analysis'!$P$4:$P$8</c:f>
              <c:numCache>
                <c:formatCode>#,##0.0</c:formatCode>
                <c:ptCount val="5"/>
                <c:pt idx="0" formatCode="General">
                  <c:v>1262</c:v>
                </c:pt>
                <c:pt idx="1">
                  <c:v>1484.403347602095</c:v>
                </c:pt>
                <c:pt idx="2">
                  <c:v>1996.1873552438149</c:v>
                </c:pt>
                <c:pt idx="3">
                  <c:v>9511.3314674564372</c:v>
                </c:pt>
                <c:pt idx="4">
                  <c:v>1960.35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5C-4958-91C5-464109E3D384}"/>
            </c:ext>
          </c:extLst>
        </c:ser>
        <c:ser>
          <c:idx val="3"/>
          <c:order val="3"/>
          <c:spPr>
            <a:ln w="38100" cap="rnd">
              <a:noFill/>
              <a:round/>
            </a:ln>
            <a:effectLst/>
          </c:spPr>
          <c:marker>
            <c:symbol val="none"/>
          </c:marker>
          <c:dLbls>
            <c:numFmt formatCode="&quot;₹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'Football Field Analysis'!$L$4:$L$8</c:f>
              <c:strCache>
                <c:ptCount val="5"/>
                <c:pt idx="0">
                  <c:v>Comps</c:v>
                </c:pt>
                <c:pt idx="1">
                  <c:v>DCF Bear</c:v>
                </c:pt>
                <c:pt idx="2">
                  <c:v>DCF Base</c:v>
                </c:pt>
                <c:pt idx="3">
                  <c:v>DCF Bull</c:v>
                </c:pt>
                <c:pt idx="4">
                  <c:v>52W H/L</c:v>
                </c:pt>
              </c:strCache>
            </c:strRef>
          </c:cat>
          <c:val>
            <c:numRef>
              <c:f>'Football Field Analysis'!$Q$4:$Q$8</c:f>
              <c:numCache>
                <c:formatCode>#,##0.0</c:formatCode>
                <c:ptCount val="5"/>
                <c:pt idx="0" formatCode="General">
                  <c:v>1262</c:v>
                </c:pt>
                <c:pt idx="1">
                  <c:v>1484.403347602095</c:v>
                </c:pt>
                <c:pt idx="2">
                  <c:v>1996.1873552438149</c:v>
                </c:pt>
                <c:pt idx="3">
                  <c:v>9511.3314674564372</c:v>
                </c:pt>
                <c:pt idx="4">
                  <c:v>1960.35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5C-4958-91C5-464109E3D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rgbClr val="002060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736862351"/>
        <c:axId val="736869071"/>
      </c:stockChart>
      <c:catAx>
        <c:axId val="73686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69071"/>
        <c:crosses val="autoZero"/>
        <c:auto val="1"/>
        <c:lblAlgn val="ctr"/>
        <c:lblOffset val="100"/>
        <c:noMultiLvlLbl val="0"/>
      </c:catAx>
      <c:valAx>
        <c:axId val="736869071"/>
        <c:scaling>
          <c:orientation val="minMax"/>
        </c:scaling>
        <c:delete val="0"/>
        <c:axPos val="l"/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62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'Beta Regression&gt;'!$C$7</c:f>
              <c:strCache>
                <c:ptCount val="1"/>
                <c:pt idx="0">
                  <c:v>Closing Price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'Beta Regression&gt;'!$B$8:$B$112</c:f>
              <c:numCache>
                <c:formatCode>m/d/yyyy</c:formatCode>
                <c:ptCount val="105"/>
                <c:pt idx="0">
                  <c:v>45564</c:v>
                </c:pt>
                <c:pt idx="1">
                  <c:v>45557</c:v>
                </c:pt>
                <c:pt idx="2">
                  <c:v>45550</c:v>
                </c:pt>
                <c:pt idx="3">
                  <c:v>45543</c:v>
                </c:pt>
                <c:pt idx="4">
                  <c:v>45536</c:v>
                </c:pt>
                <c:pt idx="5">
                  <c:v>45529</c:v>
                </c:pt>
                <c:pt idx="6">
                  <c:v>45522</c:v>
                </c:pt>
                <c:pt idx="7">
                  <c:v>45515</c:v>
                </c:pt>
                <c:pt idx="8">
                  <c:v>45508</c:v>
                </c:pt>
                <c:pt idx="9" formatCode="[$-14009]dd/mm/yyyy;@">
                  <c:v>45501</c:v>
                </c:pt>
                <c:pt idx="10" formatCode="[$-14009]dd/mm/yyyy;@">
                  <c:v>45494</c:v>
                </c:pt>
                <c:pt idx="11" formatCode="[$-14009]dd/mm/yyyy;@">
                  <c:v>45487</c:v>
                </c:pt>
                <c:pt idx="12" formatCode="[$-14009]dd/mm/yyyy;@">
                  <c:v>45480</c:v>
                </c:pt>
                <c:pt idx="13" formatCode="[$-14009]dd/mm/yyyy;@">
                  <c:v>45473</c:v>
                </c:pt>
                <c:pt idx="14" formatCode="[$-14009]dd/mm/yyyy;@">
                  <c:v>45466</c:v>
                </c:pt>
                <c:pt idx="15" formatCode="[$-14009]dd/mm/yyyy;@">
                  <c:v>45459</c:v>
                </c:pt>
                <c:pt idx="16" formatCode="[$-14009]dd/mm/yyyy;@">
                  <c:v>45452</c:v>
                </c:pt>
                <c:pt idx="17" formatCode="[$-14009]dd/mm/yyyy;@">
                  <c:v>45445</c:v>
                </c:pt>
                <c:pt idx="18" formatCode="[$-14009]dd/mm/yyyy;@">
                  <c:v>45438</c:v>
                </c:pt>
                <c:pt idx="19" formatCode="[$-14009]dd/mm/yyyy;@">
                  <c:v>45431</c:v>
                </c:pt>
                <c:pt idx="20" formatCode="[$-14009]dd/mm/yyyy;@">
                  <c:v>45424</c:v>
                </c:pt>
                <c:pt idx="21" formatCode="[$-14009]dd/mm/yyyy;@">
                  <c:v>45417</c:v>
                </c:pt>
                <c:pt idx="22" formatCode="[$-14009]dd/mm/yyyy;@">
                  <c:v>45410</c:v>
                </c:pt>
                <c:pt idx="23" formatCode="[$-14009]dd/mm/yyyy;@">
                  <c:v>45403</c:v>
                </c:pt>
                <c:pt idx="24" formatCode="[$-14009]dd/mm/yyyy;@">
                  <c:v>45396</c:v>
                </c:pt>
                <c:pt idx="25" formatCode="[$-14009]dd/mm/yyyy;@">
                  <c:v>45389</c:v>
                </c:pt>
                <c:pt idx="26" formatCode="[$-14009]dd/mm/yyyy;@">
                  <c:v>45382</c:v>
                </c:pt>
                <c:pt idx="27" formatCode="[$-14009]dd/mm/yyyy;@">
                  <c:v>45375</c:v>
                </c:pt>
                <c:pt idx="28" formatCode="[$-14009]dd/mm/yyyy;@">
                  <c:v>45368</c:v>
                </c:pt>
                <c:pt idx="29" formatCode="[$-14009]dd/mm/yyyy;@">
                  <c:v>45361</c:v>
                </c:pt>
                <c:pt idx="30" formatCode="[$-14009]dd/mm/yyyy;@">
                  <c:v>45354</c:v>
                </c:pt>
                <c:pt idx="31" formatCode="[$-14009]dd/mm/yyyy;@">
                  <c:v>45347</c:v>
                </c:pt>
                <c:pt idx="32" formatCode="[$-14009]dd/mm/yyyy;@">
                  <c:v>45340</c:v>
                </c:pt>
                <c:pt idx="33" formatCode="[$-14009]dd/mm/yyyy;@">
                  <c:v>45333</c:v>
                </c:pt>
                <c:pt idx="34" formatCode="[$-14009]dd/mm/yyyy;@">
                  <c:v>45326</c:v>
                </c:pt>
                <c:pt idx="35" formatCode="[$-14009]dd/mm/yyyy;@">
                  <c:v>45319</c:v>
                </c:pt>
                <c:pt idx="36" formatCode="[$-14009]dd/mm/yyyy;@">
                  <c:v>45312</c:v>
                </c:pt>
                <c:pt idx="37" formatCode="[$-14009]dd/mm/yyyy;@">
                  <c:v>45305</c:v>
                </c:pt>
                <c:pt idx="38" formatCode="[$-14009]dd/mm/yyyy;@">
                  <c:v>45298</c:v>
                </c:pt>
                <c:pt idx="39" formatCode="[$-14009]dd/mm/yyyy;@">
                  <c:v>45291</c:v>
                </c:pt>
                <c:pt idx="40" formatCode="[$-14009]dd/mm/yyyy;@">
                  <c:v>45284</c:v>
                </c:pt>
                <c:pt idx="41" formatCode="[$-14009]dd/mm/yyyy;@">
                  <c:v>45277</c:v>
                </c:pt>
                <c:pt idx="42" formatCode="[$-14009]dd/mm/yyyy;@">
                  <c:v>45270</c:v>
                </c:pt>
                <c:pt idx="43" formatCode="[$-14009]dd/mm/yyyy;@">
                  <c:v>45263</c:v>
                </c:pt>
                <c:pt idx="44" formatCode="[$-14009]dd/mm/yyyy;@">
                  <c:v>45256</c:v>
                </c:pt>
                <c:pt idx="45" formatCode="[$-14009]dd/mm/yyyy;@">
                  <c:v>45249</c:v>
                </c:pt>
                <c:pt idx="46" formatCode="[$-14009]dd/mm/yyyy;@">
                  <c:v>45242</c:v>
                </c:pt>
                <c:pt idx="47" formatCode="[$-14009]dd/mm/yyyy;@">
                  <c:v>45235</c:v>
                </c:pt>
                <c:pt idx="48" formatCode="[$-14009]dd/mm/yyyy;@">
                  <c:v>45228</c:v>
                </c:pt>
                <c:pt idx="49" formatCode="[$-14009]dd/mm/yyyy;@">
                  <c:v>45221</c:v>
                </c:pt>
                <c:pt idx="50" formatCode="[$-14009]dd/mm/yyyy;@">
                  <c:v>45214</c:v>
                </c:pt>
                <c:pt idx="51" formatCode="[$-14009]dd/mm/yyyy;@">
                  <c:v>45207</c:v>
                </c:pt>
                <c:pt idx="52" formatCode="[$-14009]dd/mm/yyyy;@">
                  <c:v>45200</c:v>
                </c:pt>
                <c:pt idx="53" formatCode="[$-14009]dd/mm/yyyy;@">
                  <c:v>45193</c:v>
                </c:pt>
                <c:pt idx="54" formatCode="[$-14009]dd/mm/yyyy;@">
                  <c:v>45186</c:v>
                </c:pt>
                <c:pt idx="55" formatCode="[$-14009]dd/mm/yyyy;@">
                  <c:v>45179</c:v>
                </c:pt>
                <c:pt idx="56" formatCode="[$-14009]dd/mm/yyyy;@">
                  <c:v>45172</c:v>
                </c:pt>
                <c:pt idx="57" formatCode="[$-14009]dd/mm/yyyy;@">
                  <c:v>45165</c:v>
                </c:pt>
                <c:pt idx="58" formatCode="[$-14009]dd/mm/yyyy;@">
                  <c:v>45158</c:v>
                </c:pt>
                <c:pt idx="59" formatCode="[$-14009]dd/mm/yyyy;@">
                  <c:v>45151</c:v>
                </c:pt>
                <c:pt idx="60" formatCode="[$-14009]dd/mm/yyyy;@">
                  <c:v>45144</c:v>
                </c:pt>
                <c:pt idx="61" formatCode="[$-14009]dd/mm/yyyy;@">
                  <c:v>45137</c:v>
                </c:pt>
                <c:pt idx="62" formatCode="[$-14009]dd/mm/yyyy;@">
                  <c:v>45130</c:v>
                </c:pt>
                <c:pt idx="63" formatCode="[$-14009]dd/mm/yyyy;@">
                  <c:v>45123</c:v>
                </c:pt>
                <c:pt idx="64" formatCode="[$-14009]dd/mm/yyyy;@">
                  <c:v>45116</c:v>
                </c:pt>
                <c:pt idx="65" formatCode="[$-14009]dd/mm/yyyy;@">
                  <c:v>45109</c:v>
                </c:pt>
                <c:pt idx="66" formatCode="[$-14009]dd/mm/yyyy;@">
                  <c:v>45102</c:v>
                </c:pt>
                <c:pt idx="67" formatCode="[$-14009]dd/mm/yyyy;@">
                  <c:v>45095</c:v>
                </c:pt>
                <c:pt idx="68" formatCode="[$-14009]dd/mm/yyyy;@">
                  <c:v>45088</c:v>
                </c:pt>
                <c:pt idx="69" formatCode="[$-14009]dd/mm/yyyy;@">
                  <c:v>45081</c:v>
                </c:pt>
                <c:pt idx="70" formatCode="[$-14009]dd/mm/yyyy;@">
                  <c:v>45074</c:v>
                </c:pt>
                <c:pt idx="71" formatCode="[$-14009]dd/mm/yyyy;@">
                  <c:v>45067</c:v>
                </c:pt>
                <c:pt idx="72" formatCode="[$-14009]dd/mm/yyyy;@">
                  <c:v>45060</c:v>
                </c:pt>
                <c:pt idx="73" formatCode="[$-14009]dd/mm/yyyy;@">
                  <c:v>45053</c:v>
                </c:pt>
                <c:pt idx="74" formatCode="[$-14009]dd/mm/yyyy;@">
                  <c:v>45046</c:v>
                </c:pt>
                <c:pt idx="75" formatCode="[$-14009]dd/mm/yyyy;@">
                  <c:v>45039</c:v>
                </c:pt>
                <c:pt idx="76" formatCode="[$-14009]dd/mm/yyyy;@">
                  <c:v>45032</c:v>
                </c:pt>
                <c:pt idx="77" formatCode="[$-14009]dd/mm/yyyy;@">
                  <c:v>45025</c:v>
                </c:pt>
                <c:pt idx="78" formatCode="[$-14009]dd/mm/yyyy;@">
                  <c:v>45018</c:v>
                </c:pt>
                <c:pt idx="79" formatCode="[$-14009]dd/mm/yyyy;@">
                  <c:v>45011</c:v>
                </c:pt>
                <c:pt idx="80" formatCode="[$-14009]dd/mm/yyyy;@">
                  <c:v>45004</c:v>
                </c:pt>
                <c:pt idx="81" formatCode="[$-14009]dd/mm/yyyy;@">
                  <c:v>44997</c:v>
                </c:pt>
                <c:pt idx="82" formatCode="[$-14009]dd/mm/yyyy;@">
                  <c:v>44990</c:v>
                </c:pt>
                <c:pt idx="83" formatCode="[$-14009]dd/mm/yyyy;@">
                  <c:v>44983</c:v>
                </c:pt>
                <c:pt idx="84" formatCode="[$-14009]dd/mm/yyyy;@">
                  <c:v>44976</c:v>
                </c:pt>
                <c:pt idx="85" formatCode="[$-14009]dd/mm/yyyy;@">
                  <c:v>44969</c:v>
                </c:pt>
                <c:pt idx="86" formatCode="[$-14009]dd/mm/yyyy;@">
                  <c:v>44962</c:v>
                </c:pt>
                <c:pt idx="87" formatCode="[$-14009]dd/mm/yyyy;@">
                  <c:v>44955</c:v>
                </c:pt>
                <c:pt idx="88" formatCode="[$-14009]dd/mm/yyyy;@">
                  <c:v>44948</c:v>
                </c:pt>
                <c:pt idx="89" formatCode="[$-14009]dd/mm/yyyy;@">
                  <c:v>44941</c:v>
                </c:pt>
                <c:pt idx="90" formatCode="[$-14009]dd/mm/yyyy;@">
                  <c:v>44934</c:v>
                </c:pt>
                <c:pt idx="91" formatCode="[$-14009]dd/mm/yyyy;@">
                  <c:v>44927</c:v>
                </c:pt>
                <c:pt idx="92" formatCode="[$-14009]dd/mm/yyyy;@">
                  <c:v>44920</c:v>
                </c:pt>
                <c:pt idx="93" formatCode="[$-14009]dd/mm/yyyy;@">
                  <c:v>44913</c:v>
                </c:pt>
                <c:pt idx="94" formatCode="[$-14009]dd/mm/yyyy;@">
                  <c:v>44906</c:v>
                </c:pt>
                <c:pt idx="95" formatCode="[$-14009]dd/mm/yyyy;@">
                  <c:v>44899</c:v>
                </c:pt>
                <c:pt idx="96" formatCode="[$-14009]dd/mm/yyyy;@">
                  <c:v>44892</c:v>
                </c:pt>
                <c:pt idx="97" formatCode="[$-14009]dd/mm/yyyy;@">
                  <c:v>44885</c:v>
                </c:pt>
                <c:pt idx="98" formatCode="[$-14009]dd/mm/yyyy;@">
                  <c:v>44878</c:v>
                </c:pt>
                <c:pt idx="99" formatCode="[$-14009]dd/mm/yyyy;@">
                  <c:v>44871</c:v>
                </c:pt>
                <c:pt idx="100" formatCode="[$-14009]dd/mm/yyyy;@">
                  <c:v>44864</c:v>
                </c:pt>
                <c:pt idx="101" formatCode="[$-14009]dd/mm/yyyy;@">
                  <c:v>44857</c:v>
                </c:pt>
                <c:pt idx="102" formatCode="[$-14009]dd/mm/yyyy;@">
                  <c:v>44850</c:v>
                </c:pt>
                <c:pt idx="103" formatCode="[$-14009]dd/mm/yyyy;@">
                  <c:v>44843</c:v>
                </c:pt>
                <c:pt idx="104" formatCode="[$-14009]dd/mm/yyyy;@">
                  <c:v>44836</c:v>
                </c:pt>
              </c:numCache>
            </c:numRef>
          </c:xVal>
          <c:yVal>
            <c:numRef>
              <c:f>'Beta Regression&gt;'!$C$8:$C$112</c:f>
              <c:numCache>
                <c:formatCode>#,##0.0</c:formatCode>
                <c:ptCount val="105"/>
                <c:pt idx="0">
                  <c:v>1926.7</c:v>
                </c:pt>
                <c:pt idx="1">
                  <c:v>1948.7</c:v>
                </c:pt>
                <c:pt idx="2">
                  <c:v>1865.75</c:v>
                </c:pt>
                <c:pt idx="3">
                  <c:v>1853.75</c:v>
                </c:pt>
                <c:pt idx="4">
                  <c:v>1824.55</c:v>
                </c:pt>
                <c:pt idx="5">
                  <c:v>1821.65</c:v>
                </c:pt>
                <c:pt idx="6">
                  <c:v>1775.75</c:v>
                </c:pt>
                <c:pt idx="7">
                  <c:v>1742.75</c:v>
                </c:pt>
                <c:pt idx="8">
                  <c:v>1735.3</c:v>
                </c:pt>
                <c:pt idx="9">
                  <c:v>1731.65</c:v>
                </c:pt>
                <c:pt idx="10">
                  <c:v>1714.25</c:v>
                </c:pt>
                <c:pt idx="11">
                  <c:v>1568.65</c:v>
                </c:pt>
                <c:pt idx="12">
                  <c:v>1572.31</c:v>
                </c:pt>
                <c:pt idx="13">
                  <c:v>1563.44</c:v>
                </c:pt>
                <c:pt idx="14">
                  <c:v>1516.04</c:v>
                </c:pt>
                <c:pt idx="15">
                  <c:v>1462.61</c:v>
                </c:pt>
                <c:pt idx="16">
                  <c:v>1511.21</c:v>
                </c:pt>
                <c:pt idx="17">
                  <c:v>1502.09</c:v>
                </c:pt>
                <c:pt idx="18">
                  <c:v>1455.19</c:v>
                </c:pt>
                <c:pt idx="19">
                  <c:v>1482</c:v>
                </c:pt>
                <c:pt idx="20">
                  <c:v>1527.06</c:v>
                </c:pt>
                <c:pt idx="21">
                  <c:v>1501.79</c:v>
                </c:pt>
                <c:pt idx="22">
                  <c:v>1506.37</c:v>
                </c:pt>
                <c:pt idx="23">
                  <c:v>1501.79</c:v>
                </c:pt>
                <c:pt idx="24">
                  <c:v>1517.99</c:v>
                </c:pt>
                <c:pt idx="25">
                  <c:v>1535.13</c:v>
                </c:pt>
                <c:pt idx="26">
                  <c:v>1603.91</c:v>
                </c:pt>
                <c:pt idx="27">
                  <c:v>1615.43</c:v>
                </c:pt>
                <c:pt idx="28">
                  <c:v>1603.81</c:v>
                </c:pt>
                <c:pt idx="29">
                  <c:v>1543.31</c:v>
                </c:pt>
                <c:pt idx="30">
                  <c:v>1600.62</c:v>
                </c:pt>
                <c:pt idx="31">
                  <c:v>1554.32</c:v>
                </c:pt>
                <c:pt idx="32">
                  <c:v>1556.31</c:v>
                </c:pt>
                <c:pt idx="33">
                  <c:v>1505.18</c:v>
                </c:pt>
                <c:pt idx="34">
                  <c:v>1521.28</c:v>
                </c:pt>
                <c:pt idx="35">
                  <c:v>1404.17</c:v>
                </c:pt>
                <c:pt idx="36">
                  <c:v>1356.24</c:v>
                </c:pt>
                <c:pt idx="37">
                  <c:v>1323.83</c:v>
                </c:pt>
                <c:pt idx="38">
                  <c:v>1314.27</c:v>
                </c:pt>
                <c:pt idx="39">
                  <c:v>1288.74</c:v>
                </c:pt>
                <c:pt idx="40">
                  <c:v>1248.3499999999999</c:v>
                </c:pt>
                <c:pt idx="41">
                  <c:v>1232.69</c:v>
                </c:pt>
                <c:pt idx="42">
                  <c:v>1224.8599999999999</c:v>
                </c:pt>
                <c:pt idx="43">
                  <c:v>1224.9100000000001</c:v>
                </c:pt>
                <c:pt idx="44">
                  <c:v>1220.4000000000001</c:v>
                </c:pt>
                <c:pt idx="45">
                  <c:v>1184.92</c:v>
                </c:pt>
                <c:pt idx="46">
                  <c:v>1184.07</c:v>
                </c:pt>
                <c:pt idx="47">
                  <c:v>1168.96</c:v>
                </c:pt>
                <c:pt idx="48">
                  <c:v>1131.05</c:v>
                </c:pt>
                <c:pt idx="49">
                  <c:v>1101.51</c:v>
                </c:pt>
                <c:pt idx="50">
                  <c:v>1132.1400000000001</c:v>
                </c:pt>
                <c:pt idx="51">
                  <c:v>1135.21</c:v>
                </c:pt>
                <c:pt idx="52">
                  <c:v>1117.3699999999999</c:v>
                </c:pt>
                <c:pt idx="53">
                  <c:v>1148.44</c:v>
                </c:pt>
                <c:pt idx="54">
                  <c:v>1122.3699999999999</c:v>
                </c:pt>
                <c:pt idx="55">
                  <c:v>1139.67</c:v>
                </c:pt>
                <c:pt idx="56">
                  <c:v>1120.49</c:v>
                </c:pt>
                <c:pt idx="57">
                  <c:v>1099.23</c:v>
                </c:pt>
                <c:pt idx="58">
                  <c:v>1096.55</c:v>
                </c:pt>
                <c:pt idx="59">
                  <c:v>1124.9000000000001</c:v>
                </c:pt>
                <c:pt idx="60">
                  <c:v>1122.3699999999999</c:v>
                </c:pt>
                <c:pt idx="61">
                  <c:v>1128.9100000000001</c:v>
                </c:pt>
                <c:pt idx="62">
                  <c:v>1124.54</c:v>
                </c:pt>
                <c:pt idx="63">
                  <c:v>1083.6500000000001</c:v>
                </c:pt>
                <c:pt idx="64">
                  <c:v>1059.75</c:v>
                </c:pt>
                <c:pt idx="65">
                  <c:v>1022.96</c:v>
                </c:pt>
                <c:pt idx="66">
                  <c:v>1038.6600000000001</c:v>
                </c:pt>
                <c:pt idx="67">
                  <c:v>979.25</c:v>
                </c:pt>
                <c:pt idx="68">
                  <c:v>979.79</c:v>
                </c:pt>
                <c:pt idx="69">
                  <c:v>971.84</c:v>
                </c:pt>
                <c:pt idx="70">
                  <c:v>987.3</c:v>
                </c:pt>
                <c:pt idx="71">
                  <c:v>957.97</c:v>
                </c:pt>
                <c:pt idx="72">
                  <c:v>914.46</c:v>
                </c:pt>
                <c:pt idx="73">
                  <c:v>944.24</c:v>
                </c:pt>
                <c:pt idx="74">
                  <c:v>958.51</c:v>
                </c:pt>
                <c:pt idx="75">
                  <c:v>975.5</c:v>
                </c:pt>
                <c:pt idx="76">
                  <c:v>977.28</c:v>
                </c:pt>
                <c:pt idx="77">
                  <c:v>991.15</c:v>
                </c:pt>
                <c:pt idx="78">
                  <c:v>999.65</c:v>
                </c:pt>
                <c:pt idx="79">
                  <c:v>971</c:v>
                </c:pt>
                <c:pt idx="80">
                  <c:v>960.88</c:v>
                </c:pt>
                <c:pt idx="81">
                  <c:v>945.92</c:v>
                </c:pt>
                <c:pt idx="82">
                  <c:v>943.79</c:v>
                </c:pt>
                <c:pt idx="83">
                  <c:v>955</c:v>
                </c:pt>
                <c:pt idx="84">
                  <c:v>958.56</c:v>
                </c:pt>
                <c:pt idx="85">
                  <c:v>972.39</c:v>
                </c:pt>
                <c:pt idx="86">
                  <c:v>986.8</c:v>
                </c:pt>
                <c:pt idx="87">
                  <c:v>1007.93</c:v>
                </c:pt>
                <c:pt idx="88">
                  <c:v>1022.88</c:v>
                </c:pt>
                <c:pt idx="89">
                  <c:v>1010.09</c:v>
                </c:pt>
                <c:pt idx="90">
                  <c:v>1011.31</c:v>
                </c:pt>
                <c:pt idx="91">
                  <c:v>988.86</c:v>
                </c:pt>
                <c:pt idx="92">
                  <c:v>981.71</c:v>
                </c:pt>
                <c:pt idx="93">
                  <c:v>981.85</c:v>
                </c:pt>
                <c:pt idx="94">
                  <c:v>974.11</c:v>
                </c:pt>
                <c:pt idx="95">
                  <c:v>973.33</c:v>
                </c:pt>
                <c:pt idx="96">
                  <c:v>1019.55</c:v>
                </c:pt>
                <c:pt idx="97">
                  <c:v>1013.52</c:v>
                </c:pt>
                <c:pt idx="98">
                  <c:v>989.75</c:v>
                </c:pt>
                <c:pt idx="99">
                  <c:v>993.62</c:v>
                </c:pt>
                <c:pt idx="100">
                  <c:v>1019.45</c:v>
                </c:pt>
                <c:pt idx="101">
                  <c:v>970.53</c:v>
                </c:pt>
                <c:pt idx="102">
                  <c:v>958.47</c:v>
                </c:pt>
                <c:pt idx="103">
                  <c:v>957.1</c:v>
                </c:pt>
                <c:pt idx="104">
                  <c:v>936.37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967-4D58-9C5F-2217FC060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441663"/>
        <c:axId val="804449343"/>
      </c:scatterChart>
      <c:valAx>
        <c:axId val="804441663"/>
        <c:scaling>
          <c:orientation val="minMax"/>
        </c:scaling>
        <c:delete val="0"/>
        <c:axPos val="b"/>
        <c:numFmt formatCode="[$-14009]dd/mm/yyyy;@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49343"/>
        <c:crosses val="autoZero"/>
        <c:crossBetween val="midCat"/>
      </c:valAx>
      <c:valAx>
        <c:axId val="804449343"/>
        <c:scaling>
          <c:orientation val="minMax"/>
        </c:scaling>
        <c:delete val="0"/>
        <c:axPos val="l"/>
        <c:numFmt formatCode="#,##0.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4166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430664916885389E-2"/>
          <c:y val="6.4814814814814811E-2"/>
          <c:w val="0.93888888888888888"/>
          <c:h val="0.8502697579469232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Forecasting!$C$5:$C$14</c:f>
              <c:numCache>
                <c:formatCode>yyyy"A"</c:formatCode>
                <c:ptCount val="10"/>
                <c:pt idx="0">
                  <c:v>42094</c:v>
                </c:pt>
                <c:pt idx="1">
                  <c:v>42459</c:v>
                </c:pt>
                <c:pt idx="2">
                  <c:v>42824</c:v>
                </c:pt>
                <c:pt idx="3">
                  <c:v>43189</c:v>
                </c:pt>
                <c:pt idx="4">
                  <c:v>43554</c:v>
                </c:pt>
                <c:pt idx="5">
                  <c:v>43919</c:v>
                </c:pt>
                <c:pt idx="6">
                  <c:v>44284</c:v>
                </c:pt>
                <c:pt idx="7">
                  <c:v>44649</c:v>
                </c:pt>
                <c:pt idx="8">
                  <c:v>45014</c:v>
                </c:pt>
                <c:pt idx="9">
                  <c:v>45379</c:v>
                </c:pt>
              </c:numCache>
            </c:numRef>
          </c:cat>
          <c:val>
            <c:numRef>
              <c:f>Forecasting!$D$5:$D$14</c:f>
              <c:numCache>
                <c:formatCode>#,##0.0</c:formatCode>
                <c:ptCount val="10"/>
                <c:pt idx="0">
                  <c:v>27392.01</c:v>
                </c:pt>
                <c:pt idx="1">
                  <c:v>28487.03</c:v>
                </c:pt>
                <c:pt idx="2">
                  <c:v>31578.44</c:v>
                </c:pt>
                <c:pt idx="3">
                  <c:v>26489.46</c:v>
                </c:pt>
                <c:pt idx="4">
                  <c:v>29065.91</c:v>
                </c:pt>
                <c:pt idx="5">
                  <c:v>32837.5</c:v>
                </c:pt>
                <c:pt idx="6">
                  <c:v>33498.14</c:v>
                </c:pt>
                <c:pt idx="7">
                  <c:v>38654.49</c:v>
                </c:pt>
                <c:pt idx="8">
                  <c:v>43885.68</c:v>
                </c:pt>
                <c:pt idx="9">
                  <c:v>48496.85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E-47DA-A829-29C758B795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99289600"/>
        <c:axId val="299273280"/>
      </c:barChart>
      <c:dateAx>
        <c:axId val="299289600"/>
        <c:scaling>
          <c:orientation val="minMax"/>
        </c:scaling>
        <c:delete val="0"/>
        <c:axPos val="b"/>
        <c:numFmt formatCode="yyyy&quot;A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273280"/>
        <c:crosses val="autoZero"/>
        <c:auto val="1"/>
        <c:lblOffset val="100"/>
        <c:baseTimeUnit val="years"/>
      </c:dateAx>
      <c:valAx>
        <c:axId val="299273280"/>
        <c:scaling>
          <c:orientation val="minMax"/>
        </c:scaling>
        <c:delete val="1"/>
        <c:axPos val="l"/>
        <c:numFmt formatCode="#,##0.0" sourceLinked="1"/>
        <c:majorTickMark val="none"/>
        <c:minorTickMark val="none"/>
        <c:tickLblPos val="nextTo"/>
        <c:crossAx val="29928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jpg"/><Relationship Id="rId2" Type="http://schemas.openxmlformats.org/officeDocument/2006/relationships/image" Target="../media/image3.svg"/><Relationship Id="rId1" Type="http://schemas.openxmlformats.org/officeDocument/2006/relationships/image" Target="../media/image2.png"/><Relationship Id="rId6" Type="http://schemas.openxmlformats.org/officeDocument/2006/relationships/image" Target="../media/image7.sv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0" Type="http://schemas.openxmlformats.org/officeDocument/2006/relationships/image" Target="../media/image11.jpeg"/><Relationship Id="rId4" Type="http://schemas.openxmlformats.org/officeDocument/2006/relationships/image" Target="../media/image5.svg"/><Relationship Id="rId9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207169</xdr:colOff>
      <xdr:row>21</xdr:row>
      <xdr:rowOff>4762</xdr:rowOff>
    </xdr:from>
    <xdr:to>
      <xdr:col>5</xdr:col>
      <xdr:colOff>138114</xdr:colOff>
      <xdr:row>34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EF82C-6E65-8556-3C83-9A5492A65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111917</xdr:colOff>
      <xdr:row>21</xdr:row>
      <xdr:rowOff>9524</xdr:rowOff>
    </xdr:from>
    <xdr:to>
      <xdr:col>10</xdr:col>
      <xdr:colOff>61912</xdr:colOff>
      <xdr:row>34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D5AFDA-5FB3-4BF4-B75D-DEEED3764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107156</xdr:colOff>
      <xdr:row>20</xdr:row>
      <xdr:rowOff>142875</xdr:rowOff>
    </xdr:from>
    <xdr:to>
      <xdr:col>15</xdr:col>
      <xdr:colOff>90488</xdr:colOff>
      <xdr:row>34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A46207-034C-EC27-E70C-DC8DA21DD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388143</xdr:colOff>
      <xdr:row>1</xdr:row>
      <xdr:rowOff>161924</xdr:rowOff>
    </xdr:from>
    <xdr:to>
      <xdr:col>8</xdr:col>
      <xdr:colOff>426243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DC0F7-01E0-C64A-8D70-17A9B043B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400050</xdr:colOff>
      <xdr:row>15</xdr:row>
      <xdr:rowOff>9525</xdr:rowOff>
    </xdr:from>
    <xdr:to>
      <xdr:col>8</xdr:col>
      <xdr:colOff>261937</xdr:colOff>
      <xdr:row>15</xdr:row>
      <xdr:rowOff>19050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9597B5F-29BB-FD98-01B6-9A1765A0C68E}"/>
            </a:ext>
          </a:extLst>
        </xdr:cNvPr>
        <xdr:cNvCxnSpPr/>
      </xdr:nvCxnSpPr>
      <xdr:spPr>
        <a:xfrm>
          <a:off x="1171575" y="2724150"/>
          <a:ext cx="3748087" cy="9525"/>
        </a:xfrm>
        <a:prstGeom prst="line">
          <a:avLst/>
        </a:prstGeom>
        <a:ln>
          <a:solidFill>
            <a:schemeClr val="accent3">
              <a:lumMod val="60000"/>
              <a:lumOff val="40000"/>
            </a:schemeClr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5</xdr:row>
      <xdr:rowOff>4761</xdr:rowOff>
    </xdr:from>
    <xdr:ext cx="3886200" cy="79057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CA8E601-BBC5-DE01-91D4-C92ABB706FE1}"/>
            </a:ext>
          </a:extLst>
        </xdr:cNvPr>
        <xdr:cNvSpPr txBox="1"/>
      </xdr:nvSpPr>
      <xdr:spPr>
        <a:xfrm>
          <a:off x="123826" y="933449"/>
          <a:ext cx="3886200" cy="7905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>
              <a:solidFill>
                <a:sysClr val="windowText" lastClr="000000"/>
              </a:solidFill>
            </a:rPr>
            <a:t>Sun Pharma's vision is, "Reaching People And Touching Lives Globally As A Leading Provider Of Valued Medicines".  </a:t>
          </a:r>
          <a:r>
            <a:rPr lang="en-IN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The firm wants to offer medicines that are of prime quality and affordable to most people.</a:t>
          </a:r>
          <a:endParaRPr lang="en-IN" sz="11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2</xdr:col>
      <xdr:colOff>285749</xdr:colOff>
      <xdr:row>11</xdr:row>
      <xdr:rowOff>19050</xdr:rowOff>
    </xdr:from>
    <xdr:ext cx="2943225" cy="170973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C4A0BE3-DD43-7295-02A5-15AFD5C64C5F}"/>
            </a:ext>
          </a:extLst>
        </xdr:cNvPr>
        <xdr:cNvSpPr txBox="1"/>
      </xdr:nvSpPr>
      <xdr:spPr>
        <a:xfrm>
          <a:off x="1581149" y="1976438"/>
          <a:ext cx="2943225" cy="17097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/>
            <a:t>Founded - Established in 1983, Sun Pharma has grown into a global leader.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/>
            <a:t>Global</a:t>
          </a:r>
          <a:r>
            <a:rPr lang="en-IN" sz="1100" baseline="0"/>
            <a:t> Research - </a:t>
          </a:r>
          <a:r>
            <a:rPr lang="en-IN"/>
            <a:t>Present in over 100 countries, serving diverse healthcare needs.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/>
            <a:t>Workforce - </a:t>
          </a:r>
          <a:r>
            <a:rPr lang="en-IN"/>
            <a:t>Over 41,000 employees contribute to our global success.</a:t>
          </a:r>
        </a:p>
        <a:p>
          <a:endParaRPr lang="en-IN" sz="1100"/>
        </a:p>
      </xdr:txBody>
    </xdr:sp>
    <xdr:clientData/>
  </xdr:oneCellAnchor>
  <xdr:twoCellAnchor editAs="oneCell">
    <xdr:from>
      <xdr:col>1</xdr:col>
      <xdr:colOff>200026</xdr:colOff>
      <xdr:row>10</xdr:row>
      <xdr:rowOff>219075</xdr:rowOff>
    </xdr:from>
    <xdr:to>
      <xdr:col>2</xdr:col>
      <xdr:colOff>17567</xdr:colOff>
      <xdr:row>14</xdr:row>
      <xdr:rowOff>47625</xdr:rowOff>
    </xdr:to>
    <xdr:pic>
      <xdr:nvPicPr>
        <xdr:cNvPr id="8" name="Graphic 7">
          <a:extLst>
            <a:ext uri="{FF2B5EF4-FFF2-40B4-BE49-F238E27FC236}">
              <a16:creationId xmlns:a16="http://schemas.microsoft.com/office/drawing/2014/main" id="{8A020CEE-D5D5-376C-5862-8A82508CC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47726" y="1947863"/>
          <a:ext cx="465241" cy="48101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14</xdr:row>
      <xdr:rowOff>61912</xdr:rowOff>
    </xdr:from>
    <xdr:to>
      <xdr:col>2</xdr:col>
      <xdr:colOff>47625</xdr:colOff>
      <xdr:row>17</xdr:row>
      <xdr:rowOff>33337</xdr:rowOff>
    </xdr:to>
    <xdr:pic>
      <xdr:nvPicPr>
        <xdr:cNvPr id="10" name="Graphic 9">
          <a:extLst>
            <a:ext uri="{FF2B5EF4-FFF2-40B4-BE49-F238E27FC236}">
              <a16:creationId xmlns:a16="http://schemas.microsoft.com/office/drawing/2014/main" id="{3C9996B4-6D47-E1B6-81BC-0654E9EC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28675" y="2443162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16</xdr:row>
      <xdr:rowOff>147638</xdr:rowOff>
    </xdr:from>
    <xdr:to>
      <xdr:col>2</xdr:col>
      <xdr:colOff>119063</xdr:colOff>
      <xdr:row>20</xdr:row>
      <xdr:rowOff>23813</xdr:rowOff>
    </xdr:to>
    <xdr:pic>
      <xdr:nvPicPr>
        <xdr:cNvPr id="14" name="Graphic 13">
          <a:extLst>
            <a:ext uri="{FF2B5EF4-FFF2-40B4-BE49-F238E27FC236}">
              <a16:creationId xmlns:a16="http://schemas.microsoft.com/office/drawing/2014/main" id="{D20B38B2-4191-69A1-5451-C4B7B5D18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14388" y="2890838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319086</xdr:colOff>
      <xdr:row>0</xdr:row>
      <xdr:rowOff>4762</xdr:rowOff>
    </xdr:from>
    <xdr:to>
      <xdr:col>14</xdr:col>
      <xdr:colOff>109538</xdr:colOff>
      <xdr:row>1</xdr:row>
      <xdr:rowOff>357187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BFC01B-576A-5577-5588-A76F02747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7086" y="4762"/>
          <a:ext cx="1085852" cy="533400"/>
        </a:xfrm>
        <a:prstGeom prst="rect">
          <a:avLst/>
        </a:prstGeom>
      </xdr:spPr>
    </xdr:pic>
    <xdr:clientData/>
  </xdr:twoCellAnchor>
  <xdr:twoCellAnchor editAs="oneCell">
    <xdr:from>
      <xdr:col>8</xdr:col>
      <xdr:colOff>23813</xdr:colOff>
      <xdr:row>5</xdr:row>
      <xdr:rowOff>47625</xdr:rowOff>
    </xdr:from>
    <xdr:to>
      <xdr:col>14</xdr:col>
      <xdr:colOff>9525</xdr:colOff>
      <xdr:row>18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875AF9-F304-9FC6-50E8-A584B4F81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7663" y="976313"/>
          <a:ext cx="3871912" cy="228123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</xdr:row>
      <xdr:rowOff>66675</xdr:rowOff>
    </xdr:from>
    <xdr:to>
      <xdr:col>2</xdr:col>
      <xdr:colOff>642938</xdr:colOff>
      <xdr:row>29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AD129D-3E92-7358-DF7E-02CC6E7F2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862388"/>
          <a:ext cx="1281113" cy="1104900"/>
        </a:xfrm>
        <a:prstGeom prst="rect">
          <a:avLst/>
        </a:prstGeom>
      </xdr:spPr>
    </xdr:pic>
    <xdr:clientData/>
  </xdr:twoCellAnchor>
  <xdr:oneCellAnchor>
    <xdr:from>
      <xdr:col>3</xdr:col>
      <xdr:colOff>4763</xdr:colOff>
      <xdr:row>22</xdr:row>
      <xdr:rowOff>61910</xdr:rowOff>
    </xdr:from>
    <xdr:ext cx="2576511" cy="111618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A248123-21A2-E4FB-BAE5-5E84D63F8257}"/>
            </a:ext>
          </a:extLst>
        </xdr:cNvPr>
        <xdr:cNvSpPr txBox="1"/>
      </xdr:nvSpPr>
      <xdr:spPr>
        <a:xfrm>
          <a:off x="1420980" y="3859377"/>
          <a:ext cx="2576511" cy="11161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/>
            <a:t>Dilip Shanghvi 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i="1"/>
            <a:t>ManagingDirector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IN"/>
          </a:br>
          <a:r>
            <a:rPr lang="en-IN"/>
            <a:t>Dilip Shanghvi is the founder and managing director of Sun Pharma.</a:t>
          </a:r>
          <a:endParaRPr lang="en-IN" sz="1100"/>
        </a:p>
      </xdr:txBody>
    </xdr:sp>
    <xdr:clientData/>
  </xdr:oneCellAnchor>
  <xdr:twoCellAnchor editAs="oneCell">
    <xdr:from>
      <xdr:col>7</xdr:col>
      <xdr:colOff>47625</xdr:colOff>
      <xdr:row>22</xdr:row>
      <xdr:rowOff>42863</xdr:rowOff>
    </xdr:from>
    <xdr:to>
      <xdr:col>9</xdr:col>
      <xdr:colOff>628650</xdr:colOff>
      <xdr:row>29</xdr:row>
      <xdr:rowOff>4763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173177-EF3C-1B82-FC94-1A2386EB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3838576"/>
          <a:ext cx="1352550" cy="1123950"/>
        </a:xfrm>
        <a:prstGeom prst="rect">
          <a:avLst/>
        </a:prstGeom>
      </xdr:spPr>
    </xdr:pic>
    <xdr:clientData/>
  </xdr:twoCellAnchor>
  <xdr:oneCellAnchor>
    <xdr:from>
      <xdr:col>9</xdr:col>
      <xdr:colOff>628649</xdr:colOff>
      <xdr:row>22</xdr:row>
      <xdr:rowOff>66675</xdr:rowOff>
    </xdr:from>
    <xdr:ext cx="2605089" cy="111141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A910DE0-414C-6F17-C9AF-6E715DAEA991}"/>
            </a:ext>
          </a:extLst>
        </xdr:cNvPr>
        <xdr:cNvSpPr txBox="1"/>
      </xdr:nvSpPr>
      <xdr:spPr>
        <a:xfrm>
          <a:off x="5397416" y="3864142"/>
          <a:ext cx="2605089" cy="111141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/>
            <a:t>Kirti Ganorkar 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i="1"/>
            <a:t>CEO</a:t>
          </a:r>
          <a:endParaRPr lang="en-IN" i="1"/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/>
            <a:t>Kirti Ganorkar oversees the operational and strategic management of the company. </a:t>
          </a:r>
        </a:p>
        <a:p>
          <a:endParaRPr lang="en-IN" sz="1100"/>
        </a:p>
      </xdr:txBody>
    </xdr:sp>
    <xdr:clientData/>
  </xdr:oneCellAnchor>
  <xdr:twoCellAnchor editAs="oneCell">
    <xdr:from>
      <xdr:col>1</xdr:col>
      <xdr:colOff>9525</xdr:colOff>
      <xdr:row>29</xdr:row>
      <xdr:rowOff>71438</xdr:rowOff>
    </xdr:from>
    <xdr:to>
      <xdr:col>2</xdr:col>
      <xdr:colOff>400051</xdr:colOff>
      <xdr:row>36</xdr:row>
      <xdr:rowOff>71436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EAC99D6-1C1F-219A-0ABD-CCE316509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5029201"/>
          <a:ext cx="1038226" cy="1266823"/>
        </a:xfrm>
        <a:prstGeom prst="rect">
          <a:avLst/>
        </a:prstGeom>
      </xdr:spPr>
    </xdr:pic>
    <xdr:clientData/>
  </xdr:twoCellAnchor>
  <xdr:oneCellAnchor>
    <xdr:from>
      <xdr:col>2</xdr:col>
      <xdr:colOff>381001</xdr:colOff>
      <xdr:row>29</xdr:row>
      <xdr:rowOff>71437</xdr:rowOff>
    </xdr:from>
    <xdr:ext cx="1552574" cy="1275849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6FAADF1-B603-DD3A-B5F7-BA6BFAB3C722}"/>
            </a:ext>
          </a:extLst>
        </xdr:cNvPr>
        <xdr:cNvSpPr txBox="1"/>
      </xdr:nvSpPr>
      <xdr:spPr>
        <a:xfrm>
          <a:off x="1151775" y="5034463"/>
          <a:ext cx="1552574" cy="12758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b="1"/>
            <a:t>Sudhir Mehta </a:t>
          </a:r>
          <a:r>
            <a:rPr lang="en-IN" b="1" i="1"/>
            <a:t>Chairman</a:t>
          </a:r>
          <a:br>
            <a:rPr lang="en-IN"/>
          </a:br>
          <a:r>
            <a:rPr lang="en-IN"/>
            <a:t>Sudhir Mehta has been a key figure in the company's governance. </a:t>
          </a:r>
        </a:p>
        <a:p>
          <a:endParaRPr lang="en-IN" sz="1100"/>
        </a:p>
      </xdr:txBody>
    </xdr:sp>
    <xdr:clientData/>
  </xdr:oneCellAnchor>
  <xdr:twoCellAnchor editAs="oneCell">
    <xdr:from>
      <xdr:col>5</xdr:col>
      <xdr:colOff>47626</xdr:colOff>
      <xdr:row>29</xdr:row>
      <xdr:rowOff>70396</xdr:rowOff>
    </xdr:from>
    <xdr:to>
      <xdr:col>6</xdr:col>
      <xdr:colOff>490538</xdr:colOff>
      <xdr:row>36</xdr:row>
      <xdr:rowOff>80962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1D43EEB-71E9-301A-9F3A-69A8358A1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1" y="5028159"/>
          <a:ext cx="1090612" cy="1277391"/>
        </a:xfrm>
        <a:prstGeom prst="rect">
          <a:avLst/>
        </a:prstGeom>
      </xdr:spPr>
    </xdr:pic>
    <xdr:clientData/>
  </xdr:twoCellAnchor>
  <xdr:oneCellAnchor>
    <xdr:from>
      <xdr:col>6</xdr:col>
      <xdr:colOff>395289</xdr:colOff>
      <xdr:row>29</xdr:row>
      <xdr:rowOff>68932</xdr:rowOff>
    </xdr:from>
    <xdr:ext cx="1695450" cy="129715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89FD9883-2152-E612-E297-7AD8197613D0}"/>
            </a:ext>
          </a:extLst>
        </xdr:cNvPr>
        <xdr:cNvSpPr txBox="1"/>
      </xdr:nvSpPr>
      <xdr:spPr>
        <a:xfrm>
          <a:off x="3747839" y="5031958"/>
          <a:ext cx="1695450" cy="129715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Aalok Shanghvi</a:t>
          </a:r>
          <a:r>
            <a:rPr lang="en-IN" b="1">
              <a:solidFill>
                <a:sysClr val="windowText" lastClr="000000"/>
              </a:solidFill>
            </a:rPr>
            <a:t> </a:t>
          </a:r>
        </a:p>
        <a:p>
          <a:r>
            <a:rPr lang="en-IN" sz="1100" b="1" i="1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Executive Director</a:t>
          </a:r>
        </a:p>
        <a:p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Aalok has handled various roles in Marketing,R&amp;D,</a:t>
          </a:r>
        </a:p>
        <a:p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Project Management, Purchase &amp; Communications. </a:t>
          </a:r>
          <a:r>
            <a:rPr lang="en-IN"/>
            <a:t> </a:t>
          </a:r>
          <a:endParaRPr lang="en-IN" sz="1100"/>
        </a:p>
      </xdr:txBody>
    </xdr:sp>
    <xdr:clientData/>
  </xdr:oneCellAnchor>
  <xdr:twoCellAnchor editAs="oneCell">
    <xdr:from>
      <xdr:col>10</xdr:col>
      <xdr:colOff>76200</xdr:colOff>
      <xdr:row>29</xdr:row>
      <xdr:rowOff>66674</xdr:rowOff>
    </xdr:from>
    <xdr:to>
      <xdr:col>11</xdr:col>
      <xdr:colOff>471488</xdr:colOff>
      <xdr:row>36</xdr:row>
      <xdr:rowOff>104775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E09F9D-E5C7-F707-C5A5-000691F30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5024437"/>
          <a:ext cx="1042988" cy="1304926"/>
        </a:xfrm>
        <a:prstGeom prst="rect">
          <a:avLst/>
        </a:prstGeom>
      </xdr:spPr>
    </xdr:pic>
    <xdr:clientData/>
  </xdr:twoCellAnchor>
  <xdr:oneCellAnchor>
    <xdr:from>
      <xdr:col>11</xdr:col>
      <xdr:colOff>376238</xdr:colOff>
      <xdr:row>29</xdr:row>
      <xdr:rowOff>56399</xdr:rowOff>
    </xdr:from>
    <xdr:ext cx="1571625" cy="132222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BF92C2D-97AF-385A-08B1-C15CAF90704C}"/>
            </a:ext>
          </a:extLst>
        </xdr:cNvPr>
        <xdr:cNvSpPr txBox="1"/>
      </xdr:nvSpPr>
      <xdr:spPr>
        <a:xfrm>
          <a:off x="6435893" y="5019425"/>
          <a:ext cx="1571625" cy="132222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b="1"/>
            <a:t>A. M. Naik 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b="1" i="1"/>
            <a:t>Non-Executive Director</a:t>
          </a:r>
          <a:br>
            <a:rPr lang="en-IN"/>
          </a:br>
          <a:r>
            <a:rPr lang="en-IN"/>
            <a:t>A. M. Naik brings a wealth of experience from his tenure in various industries.</a:t>
          </a:r>
        </a:p>
        <a:p>
          <a:endParaRPr lang="en-IN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319086</xdr:colOff>
      <xdr:row>0</xdr:row>
      <xdr:rowOff>0</xdr:rowOff>
    </xdr:from>
    <xdr:to>
      <xdr:col>16</xdr:col>
      <xdr:colOff>0</xdr:colOff>
      <xdr:row>1</xdr:row>
      <xdr:rowOff>309563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EA067E-52B5-43AF-B953-B421F752B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7336" y="0"/>
          <a:ext cx="976314" cy="49053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8</xdr:col>
      <xdr:colOff>0</xdr:colOff>
      <xdr:row>19</xdr:row>
      <xdr:rowOff>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E09204B0-2FF7-393E-1A13-3CA7C9421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8</xdr:col>
      <xdr:colOff>124626</xdr:colOff>
      <xdr:row>4</xdr:row>
      <xdr:rowOff>61911</xdr:rowOff>
    </xdr:from>
    <xdr:ext cx="5429250" cy="36195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53E4EA7-7A63-146D-ECBA-F7B7CEFB8514}"/>
            </a:ext>
          </a:extLst>
        </xdr:cNvPr>
        <xdr:cNvSpPr txBox="1"/>
      </xdr:nvSpPr>
      <xdr:spPr>
        <a:xfrm>
          <a:off x="4798107" y="912040"/>
          <a:ext cx="5429250" cy="36195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N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2024</a:t>
          </a:r>
          <a:r>
            <a:rPr lang="en-IN" sz="1400" b="0"/>
            <a:t> - </a:t>
          </a:r>
          <a:r>
            <a:rPr lang="en-IN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Sun pharma included in S&amp;P global sustainability notebook</a:t>
          </a:r>
          <a:r>
            <a:rPr lang="en-IN" sz="1200" b="0"/>
            <a:t> </a:t>
          </a:r>
        </a:p>
      </xdr:txBody>
    </xdr:sp>
    <xdr:clientData/>
  </xdr:oneCellAnchor>
  <xdr:oneCellAnchor>
    <xdr:from>
      <xdr:col>8</xdr:col>
      <xdr:colOff>124626</xdr:colOff>
      <xdr:row>6</xdr:row>
      <xdr:rowOff>179061</xdr:rowOff>
    </xdr:from>
    <xdr:ext cx="5429250" cy="36537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9C3ADB3-D718-12D1-06B8-572B0B3817CF}"/>
            </a:ext>
          </a:extLst>
        </xdr:cNvPr>
        <xdr:cNvSpPr txBox="1"/>
      </xdr:nvSpPr>
      <xdr:spPr>
        <a:xfrm>
          <a:off x="4798107" y="1273991"/>
          <a:ext cx="5429250" cy="36537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2023</a:t>
          </a:r>
          <a:r>
            <a:rPr lang="en-IN" sz="1400"/>
            <a:t> - </a:t>
          </a:r>
          <a:r>
            <a:rPr lang="en-IN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 acquired Concert Pharmaceuticals in USA</a:t>
          </a:r>
          <a:r>
            <a:rPr lang="en-IN" sz="1200"/>
            <a:t> </a:t>
          </a:r>
        </a:p>
      </xdr:txBody>
    </xdr:sp>
    <xdr:clientData/>
  </xdr:oneCellAnchor>
  <xdr:oneCellAnchor>
    <xdr:from>
      <xdr:col>8</xdr:col>
      <xdr:colOff>124626</xdr:colOff>
      <xdr:row>9</xdr:row>
      <xdr:rowOff>0</xdr:rowOff>
    </xdr:from>
    <xdr:ext cx="5429250" cy="36497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A946AE8-C44E-4F99-C235-40D2FBE5956D}"/>
            </a:ext>
          </a:extLst>
        </xdr:cNvPr>
        <xdr:cNvSpPr txBox="1"/>
      </xdr:nvSpPr>
      <xdr:spPr>
        <a:xfrm>
          <a:off x="4798107" y="1642395"/>
          <a:ext cx="5429250" cy="3649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2022</a:t>
          </a:r>
          <a:r>
            <a:rPr lang="en-IN" sz="1400"/>
            <a:t> -</a:t>
          </a:r>
          <a:r>
            <a:rPr lang="en-IN" sz="1400" baseline="0"/>
            <a:t> </a:t>
          </a:r>
          <a:r>
            <a:rPr lang="en-IN" sz="1400"/>
            <a:t> </a:t>
          </a:r>
          <a:r>
            <a:rPr lang="en-IN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 acquired Uractiv portfolio from Fiterman Pharma in Romania</a:t>
          </a:r>
          <a:r>
            <a:rPr lang="en-IN" sz="1200"/>
            <a:t> </a:t>
          </a:r>
        </a:p>
      </xdr:txBody>
    </xdr:sp>
    <xdr:clientData/>
  </xdr:oneCellAnchor>
  <xdr:oneCellAnchor>
    <xdr:from>
      <xdr:col>8</xdr:col>
      <xdr:colOff>124626</xdr:colOff>
      <xdr:row>16</xdr:row>
      <xdr:rowOff>0</xdr:rowOff>
    </xdr:from>
    <xdr:ext cx="5429250" cy="364978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85CC332-8C1B-D990-ECBE-8F261156D77F}"/>
            </a:ext>
          </a:extLst>
        </xdr:cNvPr>
        <xdr:cNvSpPr txBox="1"/>
      </xdr:nvSpPr>
      <xdr:spPr>
        <a:xfrm>
          <a:off x="4798107" y="2919813"/>
          <a:ext cx="5429250" cy="3649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2020</a:t>
          </a:r>
          <a:r>
            <a:rPr lang="en-IN" sz="1400" b="1"/>
            <a:t> </a:t>
          </a:r>
          <a:r>
            <a:rPr lang="en-IN" sz="1400"/>
            <a:t> - </a:t>
          </a:r>
          <a:r>
            <a:rPr lang="en-IN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 completed 25 years of making our debut on the Indian Stock Exchanges</a:t>
          </a:r>
          <a:r>
            <a:rPr lang="en-IN" sz="1200"/>
            <a:t> </a:t>
          </a:r>
        </a:p>
      </xdr:txBody>
    </xdr:sp>
    <xdr:clientData/>
  </xdr:oneCellAnchor>
  <xdr:oneCellAnchor>
    <xdr:from>
      <xdr:col>8</xdr:col>
      <xdr:colOff>124626</xdr:colOff>
      <xdr:row>10</xdr:row>
      <xdr:rowOff>182488</xdr:rowOff>
    </xdr:from>
    <xdr:ext cx="5429250" cy="9124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961503C-2465-2423-26D9-87ED7778B783}"/>
            </a:ext>
          </a:extLst>
        </xdr:cNvPr>
        <xdr:cNvSpPr txBox="1"/>
      </xdr:nvSpPr>
      <xdr:spPr>
        <a:xfrm>
          <a:off x="4798107" y="2007371"/>
          <a:ext cx="5429250" cy="91244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N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2021</a:t>
          </a:r>
          <a:r>
            <a:rPr lang="en-IN" sz="1400"/>
            <a:t> - </a:t>
          </a:r>
          <a:r>
            <a:rPr lang="en-IN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 launched ILUMYA™ (tildrakizumab injection), a treatment for </a:t>
          </a:r>
        </a:p>
        <a:p>
          <a:r>
            <a:rPr lang="en-IN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adults living with moderate-to-severe plaque psoriasis in Canada</a:t>
          </a:r>
          <a:r>
            <a:rPr lang="en-IN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IN"/>
            <a:t>                </a:t>
          </a:r>
          <a:r>
            <a:rPr lang="en-IN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 launched a speciality dermatology product, WINLEVI® (clascoterone)</a:t>
          </a:r>
          <a:r>
            <a:rPr lang="en-IN" sz="1200"/>
            <a:t> </a:t>
          </a:r>
        </a:p>
        <a:p>
          <a:r>
            <a:rPr lang="en-IN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cream 1% in the U.S. for topical treatment of Acne Vulgaris.</a:t>
          </a:r>
        </a:p>
        <a:p>
          <a:endParaRPr lang="en-IN" sz="1200"/>
        </a:p>
      </xdr:txBody>
    </xdr:sp>
    <xdr:clientData/>
  </xdr:oneCellAnchor>
  <xdr:oneCellAnchor>
    <xdr:from>
      <xdr:col>0</xdr:col>
      <xdr:colOff>124626</xdr:colOff>
      <xdr:row>19</xdr:row>
      <xdr:rowOff>61911</xdr:rowOff>
    </xdr:from>
    <xdr:ext cx="5312998" cy="487609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6A4B0DC-81C2-4DBE-B75C-D96868C6644D}"/>
            </a:ext>
          </a:extLst>
        </xdr:cNvPr>
        <xdr:cNvSpPr txBox="1"/>
      </xdr:nvSpPr>
      <xdr:spPr>
        <a:xfrm>
          <a:off x="124626" y="3547433"/>
          <a:ext cx="5312998" cy="48760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With a closing price of Rs 1839.35 yesterday, Sun Pharma reported a 1.25% decrease </a:t>
          </a:r>
        </a:p>
        <a:p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returns over the past month.</a:t>
          </a:r>
          <a:endParaRPr lang="en-IN" sz="1200" b="0"/>
        </a:p>
      </xdr:txBody>
    </xdr:sp>
    <xdr:clientData/>
  </xdr:oneCellAnchor>
  <xdr:oneCellAnchor>
    <xdr:from>
      <xdr:col>0</xdr:col>
      <xdr:colOff>124626</xdr:colOff>
      <xdr:row>21</xdr:row>
      <xdr:rowOff>183173</xdr:rowOff>
    </xdr:from>
    <xdr:ext cx="5312998" cy="54951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714C4E8-B51A-45A3-98FA-7EE4170F77B0}"/>
            </a:ext>
          </a:extLst>
        </xdr:cNvPr>
        <xdr:cNvSpPr txBox="1"/>
      </xdr:nvSpPr>
      <xdr:spPr>
        <a:xfrm>
          <a:off x="124626" y="4035041"/>
          <a:ext cx="5312998" cy="54951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Sun Pharma is currently priced at Rs 1850.90, reflecting a 0.63% change today. The stock boasts impressive 3-year returns of 128.25%.</a:t>
          </a:r>
          <a:endParaRPr lang="en-IN" sz="1200"/>
        </a:p>
      </xdr:txBody>
    </xdr:sp>
    <xdr:clientData/>
  </xdr:oneCellAnchor>
  <xdr:oneCellAnchor>
    <xdr:from>
      <xdr:col>0</xdr:col>
      <xdr:colOff>124626</xdr:colOff>
      <xdr:row>25</xdr:row>
      <xdr:rowOff>0</xdr:rowOff>
    </xdr:from>
    <xdr:ext cx="5312998" cy="54952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5DE9D2D-B8EE-4A76-A98F-7E452C9CF339}"/>
            </a:ext>
          </a:extLst>
        </xdr:cNvPr>
        <xdr:cNvSpPr txBox="1"/>
      </xdr:nvSpPr>
      <xdr:spPr>
        <a:xfrm>
          <a:off x="124626" y="4584560"/>
          <a:ext cx="5312998" cy="54952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Leqselvi is prescribed for the treatment of severe alopecia areata and is projected to generate around $200 million in sales over the next three to four years for Sun Pharma.</a:t>
          </a:r>
          <a:endParaRPr lang="en-IN" sz="1200"/>
        </a:p>
      </xdr:txBody>
    </xdr:sp>
    <xdr:clientData/>
  </xdr:oneCellAnchor>
  <xdr:oneCellAnchor>
    <xdr:from>
      <xdr:col>0</xdr:col>
      <xdr:colOff>124626</xdr:colOff>
      <xdr:row>34</xdr:row>
      <xdr:rowOff>0</xdr:rowOff>
    </xdr:from>
    <xdr:ext cx="5312998" cy="183172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FF69BCA-F303-4AEC-8CB4-BE63F33DC90B}"/>
            </a:ext>
          </a:extLst>
        </xdr:cNvPr>
        <xdr:cNvSpPr txBox="1"/>
      </xdr:nvSpPr>
      <xdr:spPr>
        <a:xfrm>
          <a:off x="124626" y="6233119"/>
          <a:ext cx="5312998" cy="18317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IN" sz="1200"/>
        </a:p>
      </xdr:txBody>
    </xdr:sp>
    <xdr:clientData/>
  </xdr:oneCellAnchor>
  <xdr:oneCellAnchor>
    <xdr:from>
      <xdr:col>0</xdr:col>
      <xdr:colOff>124626</xdr:colOff>
      <xdr:row>28</xdr:row>
      <xdr:rowOff>0</xdr:rowOff>
    </xdr:from>
    <xdr:ext cx="5312998" cy="73269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5207D8D-E343-4E68-B2D8-814C55FBD482}"/>
            </a:ext>
          </a:extLst>
        </xdr:cNvPr>
        <xdr:cNvSpPr txBox="1"/>
      </xdr:nvSpPr>
      <xdr:spPr>
        <a:xfrm>
          <a:off x="124626" y="5134080"/>
          <a:ext cx="5312998" cy="73269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Sun Pharma had guided to allocate 10 percent of its total revenues in FY25 towards R&amp;D </a:t>
          </a:r>
        </a:p>
        <a:p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for its specialty as well as generic businesses and aims at strengthening its product </a:t>
          </a:r>
        </a:p>
        <a:p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pipeline across various markets.</a:t>
          </a:r>
          <a:r>
            <a:rPr lang="en-IN" sz="1400"/>
            <a:t> </a:t>
          </a:r>
          <a:r>
            <a:rPr lang="en-IN"/>
            <a:t>                </a:t>
          </a:r>
          <a:r>
            <a:rPr lang="en-IN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.</a:t>
          </a:r>
        </a:p>
        <a:p>
          <a:endParaRPr lang="en-IN" sz="1200"/>
        </a:p>
      </xdr:txBody>
    </xdr:sp>
    <xdr:clientData/>
  </xdr:oneCellAnchor>
  <xdr:twoCellAnchor>
    <xdr:from>
      <xdr:col>9</xdr:col>
      <xdr:colOff>4891</xdr:colOff>
      <xdr:row>18</xdr:row>
      <xdr:rowOff>42706</xdr:rowOff>
    </xdr:from>
    <xdr:to>
      <xdr:col>15</xdr:col>
      <xdr:colOff>643721</xdr:colOff>
      <xdr:row>32</xdr:row>
      <xdr:rowOff>5232</xdr:rowOff>
    </xdr:to>
    <xdr:graphicFrame macro="">
      <xdr:nvGraphicFramePr>
        <xdr:cNvPr id="4" name="Chart 6">
          <a:extLst>
            <a:ext uri="{FF2B5EF4-FFF2-40B4-BE49-F238E27FC236}">
              <a16:creationId xmlns:a16="http://schemas.microsoft.com/office/drawing/2014/main" id="{AD8C58CA-1DDE-64A6-0E1A-F695C4AC4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nnual" displayName="Annual" ref="A3:N19" headerRowCount="0" totalsRowShown="0" headerRowDxfId="30">
  <tableColumns count="14">
    <tableColumn id="1" xr3:uid="{00000000-0010-0000-0000-000001000000}" name="Column1" headerRowDxfId="29" dataDxfId="28"/>
    <tableColumn id="2" xr3:uid="{00000000-0010-0000-0000-000002000000}" name="Column2" headerRowDxfId="27"/>
    <tableColumn id="3" xr3:uid="{00000000-0010-0000-0000-000003000000}" name="Column3" headerRowDxfId="26"/>
    <tableColumn id="4" xr3:uid="{00000000-0010-0000-0000-000004000000}" name="Column4" headerRowDxfId="25"/>
    <tableColumn id="5" xr3:uid="{00000000-0010-0000-0000-000005000000}" name="Column5" headerRowDxfId="24"/>
    <tableColumn id="6" xr3:uid="{00000000-0010-0000-0000-000006000000}" name="Column6" headerRowDxfId="23"/>
    <tableColumn id="7" xr3:uid="{00000000-0010-0000-0000-000007000000}" name="Column7" headerRowDxfId="22"/>
    <tableColumn id="8" xr3:uid="{00000000-0010-0000-0000-000008000000}" name="Column8" headerRowDxfId="21"/>
    <tableColumn id="9" xr3:uid="{00000000-0010-0000-0000-000009000000}" name="Column9" headerRowDxfId="20"/>
    <tableColumn id="10" xr3:uid="{00000000-0010-0000-0000-00000A000000}" name="Column10" headerRowDxfId="19"/>
    <tableColumn id="11" xr3:uid="{00000000-0010-0000-0000-00000B000000}" name="Column11" headerRowDxfId="18"/>
    <tableColumn id="12" xr3:uid="{00000000-0010-0000-0000-00000C000000}" name="Column12" headerRowDxfId="17"/>
    <tableColumn id="13" xr3:uid="{00000000-0010-0000-0000-00000D000000}" name="Column13" headerRowDxfId="16" dataDxfId="15"/>
    <tableColumn id="14" xr3:uid="{00000000-0010-0000-0000-00000E000000}" name="Column14" headerRowDxfId="14" dataDxfId="1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Quarters" displayName="Quarters" ref="A3:K14" headerRowCount="0" totalsRowShown="0" headerRowDxfId="12">
  <tableColumns count="11">
    <tableColumn id="1" xr3:uid="{00000000-0010-0000-0100-000001000000}" name="Column1" headerRowDxfId="11"/>
    <tableColumn id="2" xr3:uid="{00000000-0010-0000-0100-000002000000}" name="Column2" headerRowDxfId="10"/>
    <tableColumn id="3" xr3:uid="{00000000-0010-0000-0100-000003000000}" name="Column3" headerRowDxfId="9"/>
    <tableColumn id="4" xr3:uid="{00000000-0010-0000-0100-000004000000}" name="Column4" headerRowDxfId="8"/>
    <tableColumn id="5" xr3:uid="{00000000-0010-0000-0100-000005000000}" name="Column5" headerRowDxfId="7"/>
    <tableColumn id="6" xr3:uid="{00000000-0010-0000-0100-000006000000}" name="Column6" headerRowDxfId="6"/>
    <tableColumn id="7" xr3:uid="{00000000-0010-0000-0100-000007000000}" name="Column7" headerRowDxfId="5"/>
    <tableColumn id="8" xr3:uid="{00000000-0010-0000-0100-000008000000}" name="Column8" headerRowDxfId="4"/>
    <tableColumn id="9" xr3:uid="{00000000-0010-0000-0100-000009000000}" name="Column9" headerRowDxfId="3"/>
    <tableColumn id="10" xr3:uid="{00000000-0010-0000-0100-00000A000000}" name="Column10" headerRowDxfId="2"/>
    <tableColumn id="11" xr3:uid="{00000000-0010-0000-0100-00000B000000}" name="Column11" headerRowDxfId="1"/>
  </tableColumns>
  <tableStyleInfo name="TableStyleLight1" showFirstColumn="0" showLastColumn="0" showRowStripes="0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Adjacency">
  <a:themeElements>
    <a:clrScheme name="Concourse">
      <a:dk1>
        <a:sysClr val="windowText" lastClr="000000"/>
      </a:dk1>
      <a:lt1>
        <a:sysClr val="window" lastClr="FFFFFF"/>
      </a:lt1>
      <a:dk2>
        <a:srgbClr val="464646"/>
      </a:dk2>
      <a:lt2>
        <a:srgbClr val="DEF5FA"/>
      </a:lt2>
      <a:accent1>
        <a:srgbClr val="2DA2BF"/>
      </a:accent1>
      <a:accent2>
        <a:srgbClr val="DA1F28"/>
      </a:accent2>
      <a:accent3>
        <a:srgbClr val="EB641B"/>
      </a:accent3>
      <a:accent4>
        <a:srgbClr val="39639D"/>
      </a:accent4>
      <a:accent5>
        <a:srgbClr val="474B78"/>
      </a:accent5>
      <a:accent6>
        <a:srgbClr val="7D3C4A"/>
      </a:accent6>
      <a:hlink>
        <a:srgbClr val="FF8119"/>
      </a:hlink>
      <a:folHlink>
        <a:srgbClr val="44B9E8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Adjacency">
      <a:fillStyleLst>
        <a:solidFill>
          <a:schemeClr val="phClr"/>
        </a:solidFill>
        <a:solidFill>
          <a:schemeClr val="phClr">
            <a:tint val="55000"/>
          </a:schemeClr>
        </a:solidFill>
        <a:solidFill>
          <a:schemeClr val="phClr"/>
        </a:solidFill>
      </a:fillStyleLst>
      <a:lnStyleLst>
        <a:ln w="12700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algn="bl" rotWithShape="0">
              <a:srgbClr val="000000">
                <a:alpha val="60000"/>
              </a:srgbClr>
            </a:outerShdw>
          </a:effectLst>
        </a:effectStyle>
        <a:effectStyle>
          <a:effectLst/>
          <a:scene3d>
            <a:camera prst="orthographicFront">
              <a:rot lat="0" lon="0" rev="0"/>
            </a:camera>
            <a:lightRig rig="brightRoom" dir="tl">
              <a:rot lat="0" lon="0" rev="1800000"/>
            </a:lightRig>
          </a:scene3d>
          <a:sp3d contourW="10160" prstMaterial="dkEdge">
            <a:bevelT w="38100" h="50800" prst="angle"/>
            <a:contourClr>
              <a:schemeClr val="phClr">
                <a:shade val="40000"/>
                <a:satMod val="15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</a:schemeClr>
            </a:gs>
            <a:gs pos="75000">
              <a:schemeClr val="phClr">
                <a:shade val="100000"/>
                <a:satMod val="115000"/>
              </a:schemeClr>
            </a:gs>
            <a:gs pos="100000">
              <a:schemeClr val="phClr">
                <a:shade val="70000"/>
                <a:satMod val="130000"/>
              </a:schemeClr>
            </a:gs>
          </a:gsLst>
          <a:path path="circle">
            <a:fillToRect l="20000" t="50000" r="100000" b="5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tint val="97000"/>
              </a:schemeClr>
              <a:schemeClr val="phClr">
                <a:shade val="96000"/>
              </a:schemeClr>
            </a:duotone>
          </a:blip>
          <a:tile tx="0" ty="0" sx="32000" sy="32000" flip="none" algn="tl"/>
        </a:blip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.bin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screener.in/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screener.in/" TargetMode="Externa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screener.in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screener.in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screener.in/excel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customProperty" Target="../customProperty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20.bin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25"/>
  <sheetViews>
    <sheetView zoomScale="98" zoomScaleNormal="98" zoomScaleSheetLayoutView="100" zoomScalePageLayoutView="120" workbookViewId="0">
      <pane xSplit="1" ySplit="4" topLeftCell="J5" activePane="bottomRight" state="frozen"/>
      <selection activeCell="I2" sqref="I2"/>
      <selection pane="topRight" activeCell="I2" sqref="I2"/>
      <selection pane="bottomLeft" activeCell="I2" sqref="I2"/>
      <selection pane="bottomRight" activeCell="G11" sqref="G11"/>
    </sheetView>
  </sheetViews>
  <sheetFormatPr defaultColWidth="8.796875" defaultRowHeight="14.25" x14ac:dyDescent="0.45"/>
  <cols>
    <col min="1" max="1" width="20.6640625" customWidth="1"/>
    <col min="2" max="6" width="13.46484375" customWidth="1"/>
    <col min="7" max="7" width="14.796875" bestFit="1" customWidth="1"/>
    <col min="8" max="11" width="13.46484375" customWidth="1"/>
    <col min="12" max="12" width="13.33203125" customWidth="1"/>
    <col min="13" max="14" width="12.1328125" customWidth="1"/>
  </cols>
  <sheetData>
    <row r="1" spans="1:14" s="2" customFormat="1" x14ac:dyDescent="0.45">
      <c r="A1" s="114" t="str">
        <f>'Data Sheet'!B1</f>
        <v>SUN PHARMACEUTICALS INDUSTRIES LTD</v>
      </c>
      <c r="H1" s="122" t="str">
        <f>UPDATE</f>
        <v/>
      </c>
      <c r="J1" s="3"/>
      <c r="K1" s="3"/>
      <c r="M1" s="128" t="s">
        <v>1</v>
      </c>
    </row>
    <row r="3" spans="1:14" s="2" customFormat="1" x14ac:dyDescent="0.45">
      <c r="A3" s="8" t="s">
        <v>2</v>
      </c>
      <c r="B3" s="115">
        <f>'Data Sheet'!B16</f>
        <v>42094</v>
      </c>
      <c r="C3" s="115">
        <f>'Data Sheet'!C16</f>
        <v>42460</v>
      </c>
      <c r="D3" s="115">
        <f>'Data Sheet'!D16</f>
        <v>42825</v>
      </c>
      <c r="E3" s="115">
        <f>'Data Sheet'!E16</f>
        <v>43190</v>
      </c>
      <c r="F3" s="115">
        <f>'Data Sheet'!F16</f>
        <v>43555</v>
      </c>
      <c r="G3" s="115">
        <f>'Data Sheet'!G16</f>
        <v>43921</v>
      </c>
      <c r="H3" s="115">
        <f>'Data Sheet'!H16</f>
        <v>44286</v>
      </c>
      <c r="I3" s="115">
        <f>'Data Sheet'!I16</f>
        <v>44651</v>
      </c>
      <c r="J3" s="115">
        <f>'Data Sheet'!J16</f>
        <v>45016</v>
      </c>
      <c r="K3" s="115">
        <f>'Data Sheet'!K16</f>
        <v>45382</v>
      </c>
      <c r="L3" s="10" t="s">
        <v>3</v>
      </c>
      <c r="M3" s="10" t="s">
        <v>4</v>
      </c>
      <c r="N3" s="10" t="s">
        <v>5</v>
      </c>
    </row>
    <row r="4" spans="1:14" s="2" customFormat="1" x14ac:dyDescent="0.45">
      <c r="A4" s="2" t="s">
        <v>6</v>
      </c>
      <c r="B4" s="116">
        <f>'Data Sheet'!B17</f>
        <v>27392.01</v>
      </c>
      <c r="C4" s="116">
        <f>'Data Sheet'!C17</f>
        <v>28487.03</v>
      </c>
      <c r="D4" s="116">
        <f>'Data Sheet'!D17</f>
        <v>31578.44</v>
      </c>
      <c r="E4" s="116">
        <f>'Data Sheet'!E17</f>
        <v>26489.46</v>
      </c>
      <c r="F4" s="116">
        <f>'Data Sheet'!F17</f>
        <v>29065.91</v>
      </c>
      <c r="G4" s="116">
        <f>'Data Sheet'!G17</f>
        <v>32837.5</v>
      </c>
      <c r="H4" s="116">
        <f>'Data Sheet'!H17</f>
        <v>33498.14</v>
      </c>
      <c r="I4" s="116">
        <f>'Data Sheet'!I17</f>
        <v>38654.49</v>
      </c>
      <c r="J4" s="116">
        <f>'Data Sheet'!J17</f>
        <v>43885.68</v>
      </c>
      <c r="K4" s="116">
        <f>'Data Sheet'!K17</f>
        <v>48496.85</v>
      </c>
      <c r="L4" s="116">
        <f>SUM(Quarters!H4:K4)</f>
        <v>49208.76</v>
      </c>
      <c r="M4" s="118">
        <f>$K4+M23*K4</f>
        <v>54862.779974617573</v>
      </c>
      <c r="N4" s="118">
        <f>$K4+N23*L4</f>
        <v>51607.15484885162</v>
      </c>
    </row>
    <row r="5" spans="1:14" x14ac:dyDescent="0.45">
      <c r="A5" t="s">
        <v>7</v>
      </c>
      <c r="B5" s="117">
        <f>SUM('Data Sheet'!B18,'Data Sheet'!B20:B24, -1*'Data Sheet'!B19)</f>
        <v>19498.190000000002</v>
      </c>
      <c r="C5" s="117">
        <f>SUM('Data Sheet'!C18,'Data Sheet'!C20:C24, -1*'Data Sheet'!C19)</f>
        <v>20313.13</v>
      </c>
      <c r="D5" s="117">
        <f>SUM('Data Sheet'!D18,'Data Sheet'!D20:D24, -1*'Data Sheet'!D19)</f>
        <v>21476.420000000002</v>
      </c>
      <c r="E5" s="117">
        <f>SUM('Data Sheet'!E18,'Data Sheet'!E20:E24, -1*'Data Sheet'!E19)</f>
        <v>20858.04</v>
      </c>
      <c r="F5" s="117">
        <f>SUM('Data Sheet'!F18,'Data Sheet'!F20:F24, -1*'Data Sheet'!F19)</f>
        <v>22688.929999999997</v>
      </c>
      <c r="G5" s="117">
        <f>SUM('Data Sheet'!G18,'Data Sheet'!G20:G24, -1*'Data Sheet'!G19)</f>
        <v>25854.659999999996</v>
      </c>
      <c r="H5" s="117">
        <f>SUM('Data Sheet'!H18,'Data Sheet'!H20:H24, -1*'Data Sheet'!H19)</f>
        <v>25028.18</v>
      </c>
      <c r="I5" s="117">
        <f>SUM('Data Sheet'!I18,'Data Sheet'!I20:I24, -1*'Data Sheet'!I19)</f>
        <v>28396.920000000002</v>
      </c>
      <c r="J5" s="117">
        <f>SUM('Data Sheet'!J18,'Data Sheet'!J20:J24, -1*'Data Sheet'!J19)</f>
        <v>32235.24</v>
      </c>
      <c r="K5" s="117">
        <f>SUM('Data Sheet'!K18,'Data Sheet'!K20:K24, -1*'Data Sheet'!K19)</f>
        <v>35479.08</v>
      </c>
      <c r="L5" s="119">
        <f>SUM(Quarters!H5:K5)</f>
        <v>35909.78</v>
      </c>
      <c r="M5" s="117">
        <f t="shared" ref="M5:N5" si="0">M4-M6</f>
        <v>40035.765158010945</v>
      </c>
      <c r="N5" s="117">
        <f t="shared" si="0"/>
        <v>38877.784610953473</v>
      </c>
    </row>
    <row r="6" spans="1:14" s="2" customFormat="1" x14ac:dyDescent="0.45">
      <c r="A6" s="2" t="s">
        <v>8</v>
      </c>
      <c r="B6" s="118">
        <f>B4-B5</f>
        <v>7893.8199999999961</v>
      </c>
      <c r="C6" s="118">
        <f t="shared" ref="C6:K6" si="1">C4-C5</f>
        <v>8173.8999999999978</v>
      </c>
      <c r="D6" s="118">
        <f t="shared" si="1"/>
        <v>10102.019999999997</v>
      </c>
      <c r="E6" s="118">
        <f t="shared" si="1"/>
        <v>5631.4199999999983</v>
      </c>
      <c r="F6" s="118">
        <f t="shared" si="1"/>
        <v>6376.9800000000032</v>
      </c>
      <c r="G6" s="118">
        <f t="shared" si="1"/>
        <v>6982.8400000000038</v>
      </c>
      <c r="H6" s="118">
        <f t="shared" si="1"/>
        <v>8469.9599999999991</v>
      </c>
      <c r="I6" s="118">
        <f t="shared" si="1"/>
        <v>10257.569999999996</v>
      </c>
      <c r="J6" s="118">
        <f t="shared" si="1"/>
        <v>11650.439999999999</v>
      </c>
      <c r="K6" s="118">
        <f t="shared" si="1"/>
        <v>13017.769999999997</v>
      </c>
      <c r="L6" s="116">
        <f>SUM(Quarters!H6:K6)</f>
        <v>13298.98</v>
      </c>
      <c r="M6" s="118">
        <f>M4*M24</f>
        <v>14827.014816606628</v>
      </c>
      <c r="N6" s="118">
        <f>N4*N24</f>
        <v>12729.370237898145</v>
      </c>
    </row>
    <row r="7" spans="1:14" x14ac:dyDescent="0.45">
      <c r="A7" t="s">
        <v>9</v>
      </c>
      <c r="B7" s="119">
        <f>'Data Sheet'!B25</f>
        <v>282.79000000000002</v>
      </c>
      <c r="C7" s="119">
        <f>'Data Sheet'!C25</f>
        <v>-42.5</v>
      </c>
      <c r="D7" s="119">
        <f>'Data Sheet'!D25</f>
        <v>610.4</v>
      </c>
      <c r="E7" s="119">
        <f>'Data Sheet'!E25</f>
        <v>-135.03</v>
      </c>
      <c r="F7" s="119">
        <f>'Data Sheet'!F25</f>
        <v>-258.27999999999997</v>
      </c>
      <c r="G7" s="119">
        <f>'Data Sheet'!G25</f>
        <v>382.26</v>
      </c>
      <c r="H7" s="119">
        <f>'Data Sheet'!H25</f>
        <v>-3449.21</v>
      </c>
      <c r="I7" s="119">
        <f>'Data Sheet'!I25</f>
        <v>-3505.16</v>
      </c>
      <c r="J7" s="119">
        <f>'Data Sheet'!J25</f>
        <v>459.42</v>
      </c>
      <c r="K7" s="119">
        <f>'Data Sheet'!K25</f>
        <v>865.23</v>
      </c>
      <c r="L7" s="119">
        <f>SUM(Quarters!H7:K7)</f>
        <v>1510.85</v>
      </c>
      <c r="M7" s="120">
        <v>0</v>
      </c>
      <c r="N7" s="120">
        <v>0</v>
      </c>
    </row>
    <row r="8" spans="1:14" x14ac:dyDescent="0.45">
      <c r="A8" t="s">
        <v>10</v>
      </c>
      <c r="B8" s="119">
        <f>'Data Sheet'!B26</f>
        <v>1194.72</v>
      </c>
      <c r="C8" s="119">
        <f>'Data Sheet'!C26</f>
        <v>1037.53</v>
      </c>
      <c r="D8" s="119">
        <f>'Data Sheet'!D26</f>
        <v>1264.75</v>
      </c>
      <c r="E8" s="119">
        <f>'Data Sheet'!E26</f>
        <v>1499.84</v>
      </c>
      <c r="F8" s="119">
        <f>'Data Sheet'!F26</f>
        <v>1753.25</v>
      </c>
      <c r="G8" s="119">
        <f>'Data Sheet'!G26</f>
        <v>2052.7800000000002</v>
      </c>
      <c r="H8" s="119">
        <f>'Data Sheet'!H26</f>
        <v>2079.9499999999998</v>
      </c>
      <c r="I8" s="119">
        <f>'Data Sheet'!I26</f>
        <v>2143.7399999999998</v>
      </c>
      <c r="J8" s="119">
        <f>'Data Sheet'!J26</f>
        <v>2529.4299999999998</v>
      </c>
      <c r="K8" s="119">
        <f>'Data Sheet'!K26</f>
        <v>2556.64</v>
      </c>
      <c r="L8" s="119">
        <f>SUM(Quarters!H8:K8)</f>
        <v>2560.4500000000003</v>
      </c>
      <c r="M8" s="117">
        <f>+$L8</f>
        <v>2560.4500000000003</v>
      </c>
      <c r="N8" s="117">
        <f>+$L8</f>
        <v>2560.4500000000003</v>
      </c>
    </row>
    <row r="9" spans="1:14" x14ac:dyDescent="0.45">
      <c r="A9" t="s">
        <v>11</v>
      </c>
      <c r="B9" s="119">
        <f>'Data Sheet'!B27</f>
        <v>578.99</v>
      </c>
      <c r="C9" s="119">
        <f>'Data Sheet'!C27</f>
        <v>523.24</v>
      </c>
      <c r="D9" s="119">
        <f>'Data Sheet'!D27</f>
        <v>399.8</v>
      </c>
      <c r="E9" s="119">
        <f>'Data Sheet'!E27</f>
        <v>517.57000000000005</v>
      </c>
      <c r="F9" s="119">
        <f>'Data Sheet'!F27</f>
        <v>555.25</v>
      </c>
      <c r="G9" s="119">
        <f>'Data Sheet'!G27</f>
        <v>302.73</v>
      </c>
      <c r="H9" s="119">
        <f>'Data Sheet'!H27</f>
        <v>141.43</v>
      </c>
      <c r="I9" s="119">
        <f>'Data Sheet'!I27</f>
        <v>127.35</v>
      </c>
      <c r="J9" s="119">
        <f>'Data Sheet'!J27</f>
        <v>172</v>
      </c>
      <c r="K9" s="119">
        <f>'Data Sheet'!K27</f>
        <v>238.47</v>
      </c>
      <c r="L9" s="119">
        <f>SUM(Quarters!H9:K9)</f>
        <v>219.12999999999997</v>
      </c>
      <c r="M9" s="117">
        <f>+$L9</f>
        <v>219.12999999999997</v>
      </c>
      <c r="N9" s="117">
        <f>+$L9</f>
        <v>219.12999999999997</v>
      </c>
    </row>
    <row r="10" spans="1:14" x14ac:dyDescent="0.45">
      <c r="A10" t="s">
        <v>12</v>
      </c>
      <c r="B10" s="119">
        <f>'Data Sheet'!B28</f>
        <v>6402.9</v>
      </c>
      <c r="C10" s="119">
        <f>'Data Sheet'!C28</f>
        <v>6570.63</v>
      </c>
      <c r="D10" s="119">
        <f>'Data Sheet'!D28</f>
        <v>9047.8700000000008</v>
      </c>
      <c r="E10" s="119">
        <f>'Data Sheet'!E28</f>
        <v>3478.98</v>
      </c>
      <c r="F10" s="119">
        <f>'Data Sheet'!F28</f>
        <v>3810.2</v>
      </c>
      <c r="G10" s="119">
        <f>'Data Sheet'!G28</f>
        <v>5009.59</v>
      </c>
      <c r="H10" s="119">
        <f>'Data Sheet'!H28</f>
        <v>2799.37</v>
      </c>
      <c r="I10" s="119">
        <f>'Data Sheet'!I28</f>
        <v>4481.32</v>
      </c>
      <c r="J10" s="119">
        <f>'Data Sheet'!J28</f>
        <v>9408.43</v>
      </c>
      <c r="K10" s="119">
        <f>'Data Sheet'!K28</f>
        <v>11087.89</v>
      </c>
      <c r="L10" s="119">
        <f>SUM(Quarters!H10:K10)</f>
        <v>12030.25</v>
      </c>
      <c r="M10" s="117">
        <f>M6+M7-SUM(M8:M9)</f>
        <v>12047.434816606628</v>
      </c>
      <c r="N10" s="117">
        <f>N6+N7-SUM(N8:N9)</f>
        <v>9949.7902378981453</v>
      </c>
    </row>
    <row r="11" spans="1:14" x14ac:dyDescent="0.45">
      <c r="A11" t="s">
        <v>13</v>
      </c>
      <c r="B11" s="119">
        <f>'Data Sheet'!B29</f>
        <v>914.69</v>
      </c>
      <c r="C11" s="119">
        <f>'Data Sheet'!C29</f>
        <v>913.77</v>
      </c>
      <c r="D11" s="119">
        <f>'Data Sheet'!D29</f>
        <v>1211.57</v>
      </c>
      <c r="E11" s="119">
        <f>'Data Sheet'!E29</f>
        <v>911.04</v>
      </c>
      <c r="F11" s="119">
        <f>'Data Sheet'!F29</f>
        <v>600.88</v>
      </c>
      <c r="G11" s="119">
        <f>'Data Sheet'!G29</f>
        <v>822.8</v>
      </c>
      <c r="H11" s="119">
        <f>'Data Sheet'!H29</f>
        <v>514.69000000000005</v>
      </c>
      <c r="I11" s="119">
        <f>'Data Sheet'!I29</f>
        <v>1075.5</v>
      </c>
      <c r="J11" s="119">
        <f>'Data Sheet'!J29</f>
        <v>847.59</v>
      </c>
      <c r="K11" s="119">
        <f>'Data Sheet'!K29</f>
        <v>1439.45</v>
      </c>
      <c r="L11" s="119">
        <f>SUM(Quarters!H11:K11)</f>
        <v>1523.6000000000001</v>
      </c>
      <c r="M11" s="124">
        <f>IF($L10&gt;0,$L11/$L10,0)</f>
        <v>0.12664740965482846</v>
      </c>
      <c r="N11" s="124">
        <f>IF($L10&gt;0,$L11/$L10,0)</f>
        <v>0.12664740965482846</v>
      </c>
    </row>
    <row r="12" spans="1:14" s="2" customFormat="1" x14ac:dyDescent="0.45">
      <c r="A12" s="2" t="s">
        <v>14</v>
      </c>
      <c r="B12" s="116">
        <f>'Data Sheet'!B30</f>
        <v>4539.38</v>
      </c>
      <c r="C12" s="116">
        <f>'Data Sheet'!C30</f>
        <v>4545.71</v>
      </c>
      <c r="D12" s="116">
        <f>'Data Sheet'!D30</f>
        <v>6964.37</v>
      </c>
      <c r="E12" s="116">
        <f>'Data Sheet'!E30</f>
        <v>2095.6999999999998</v>
      </c>
      <c r="F12" s="116">
        <f>'Data Sheet'!F30</f>
        <v>2665.42</v>
      </c>
      <c r="G12" s="116">
        <f>'Data Sheet'!G30</f>
        <v>3764.93</v>
      </c>
      <c r="H12" s="116">
        <f>'Data Sheet'!H30</f>
        <v>2903.82</v>
      </c>
      <c r="I12" s="116">
        <f>'Data Sheet'!I30</f>
        <v>3272.73</v>
      </c>
      <c r="J12" s="116">
        <f>'Data Sheet'!J30</f>
        <v>8473.58</v>
      </c>
      <c r="K12" s="116">
        <f>'Data Sheet'!K30</f>
        <v>9576.3799999999992</v>
      </c>
      <c r="L12" s="116">
        <f>SUM(Quarters!H12:K12)</f>
        <v>10389.459999999999</v>
      </c>
      <c r="M12" s="118">
        <f>M10-M11*M10</f>
        <v>10521.658404098005</v>
      </c>
      <c r="N12" s="118">
        <f>N10-N11*N10</f>
        <v>8689.6750776594454</v>
      </c>
    </row>
    <row r="13" spans="1:14" x14ac:dyDescent="0.45">
      <c r="A13" t="s">
        <v>48</v>
      </c>
      <c r="B13" s="120">
        <f>IF('Data Sheet'!B93&gt;0,B12/'Data Sheet'!B93,0)</f>
        <v>21.916666666666668</v>
      </c>
      <c r="C13" s="120">
        <f>IF('Data Sheet'!C93&gt;0,C12/'Data Sheet'!C93,0)</f>
        <v>18.887730086840904</v>
      </c>
      <c r="D13" s="120">
        <f>IF('Data Sheet'!D93&gt;0,D12/'Data Sheet'!D93,0)</f>
        <v>29.026674446713624</v>
      </c>
      <c r="E13" s="120">
        <f>IF('Data Sheet'!E93&gt;0,E12/'Data Sheet'!E93,0)</f>
        <v>8.7346309340224231</v>
      </c>
      <c r="F13" s="120">
        <f>IF('Data Sheet'!F93&gt;0,F12/'Data Sheet'!F93,0)</f>
        <v>11.109156837410911</v>
      </c>
      <c r="G13" s="120">
        <f>IF('Data Sheet'!G93&gt;0,G12/'Data Sheet'!G93,0)</f>
        <v>15.691785103988662</v>
      </c>
      <c r="H13" s="120">
        <f>IF('Data Sheet'!H93&gt;0,H12/'Data Sheet'!H93,0)</f>
        <v>12.102779977493435</v>
      </c>
      <c r="I13" s="120">
        <f>IF('Data Sheet'!I93&gt;0,I12/'Data Sheet'!I93,0)</f>
        <v>13.640353436418955</v>
      </c>
      <c r="J13" s="120">
        <f>IF('Data Sheet'!J93&gt;0,J12/'Data Sheet'!J93,0)</f>
        <v>35.316884091193266</v>
      </c>
      <c r="K13" s="120">
        <f>IF('Data Sheet'!K93&gt;0,K12/'Data Sheet'!K93,0)</f>
        <v>39.913224690534733</v>
      </c>
      <c r="L13" s="120">
        <f>IF('Data Sheet'!$B6&gt;0,'Profit &amp; Loss'!L12/'Data Sheet'!$B6,0)</f>
        <v>43.301415501440864</v>
      </c>
      <c r="M13" s="120">
        <f>IF('Data Sheet'!$B6&gt;0,'Profit &amp; Loss'!M12/'Data Sheet'!$B6,0)</f>
        <v>43.852394861722843</v>
      </c>
      <c r="N13" s="120">
        <f>IF('Data Sheet'!$B6&gt;0,'Profit &amp; Loss'!N12/'Data Sheet'!$B6,0)</f>
        <v>36.217015235656824</v>
      </c>
    </row>
    <row r="14" spans="1:14" x14ac:dyDescent="0.45">
      <c r="A14" t="s">
        <v>16</v>
      </c>
      <c r="B14" s="120">
        <f>IF(B15&gt;0,B15/B13,"")</f>
        <v>46.717870722433453</v>
      </c>
      <c r="C14" s="120">
        <f t="shared" ref="C14:K14" si="2">IF(C15&gt;0,C15/C13,"")</f>
        <v>43.41442810914026</v>
      </c>
      <c r="D14" s="120">
        <f t="shared" si="2"/>
        <v>23.70750398097746</v>
      </c>
      <c r="E14" s="120">
        <f t="shared" si="2"/>
        <v>56.682417807892357</v>
      </c>
      <c r="F14" s="120">
        <f t="shared" si="2"/>
        <v>43.104081345529039</v>
      </c>
      <c r="G14" s="120">
        <f t="shared" si="2"/>
        <v>22.451237871620457</v>
      </c>
      <c r="H14" s="120">
        <f t="shared" si="2"/>
        <v>49.393610485498407</v>
      </c>
      <c r="I14" s="120">
        <f t="shared" si="2"/>
        <v>67.062045295517805</v>
      </c>
      <c r="J14" s="120">
        <f t="shared" si="2"/>
        <v>27.836544058119472</v>
      </c>
      <c r="K14" s="120">
        <f t="shared" si="2"/>
        <v>40.60183091105408</v>
      </c>
      <c r="L14" s="120">
        <f t="shared" ref="L14" si="3">IF(L13&gt;0,L15/L13,0)</f>
        <v>42.136035944120295</v>
      </c>
      <c r="M14" s="117">
        <f>M25</f>
        <v>44.409114052202909</v>
      </c>
      <c r="N14" s="117">
        <f>N25</f>
        <v>41.580217427655079</v>
      </c>
    </row>
    <row r="15" spans="1:14" s="2" customFormat="1" x14ac:dyDescent="0.45">
      <c r="A15" s="2" t="s">
        <v>49</v>
      </c>
      <c r="B15" s="116">
        <f>'Data Sheet'!B90</f>
        <v>1023.9</v>
      </c>
      <c r="C15" s="116">
        <f>'Data Sheet'!C90</f>
        <v>820</v>
      </c>
      <c r="D15" s="116">
        <f>'Data Sheet'!D90</f>
        <v>688.15</v>
      </c>
      <c r="E15" s="116">
        <f>'Data Sheet'!E90</f>
        <v>495.1</v>
      </c>
      <c r="F15" s="116">
        <f>'Data Sheet'!F90</f>
        <v>478.85</v>
      </c>
      <c r="G15" s="116">
        <f>'Data Sheet'!G90</f>
        <v>352.3</v>
      </c>
      <c r="H15" s="116">
        <f>'Data Sheet'!H90</f>
        <v>597.79999999999995</v>
      </c>
      <c r="I15" s="116">
        <f>'Data Sheet'!I90</f>
        <v>914.75</v>
      </c>
      <c r="J15" s="116">
        <f>'Data Sheet'!J90</f>
        <v>983.1</v>
      </c>
      <c r="K15" s="116">
        <f>'Data Sheet'!K90</f>
        <v>1620.55</v>
      </c>
      <c r="L15" s="116">
        <f>'Data Sheet'!B8</f>
        <v>1824.55</v>
      </c>
      <c r="M15" s="125">
        <f>M13*M14</f>
        <v>1947.4460048764865</v>
      </c>
      <c r="N15" s="126">
        <f>N13*N14</f>
        <v>1505.9113680793073</v>
      </c>
    </row>
    <row r="17" spans="1:14" s="2" customFormat="1" x14ac:dyDescent="0.45">
      <c r="A17" s="2" t="s">
        <v>15</v>
      </c>
    </row>
    <row r="18" spans="1:14" x14ac:dyDescent="0.45">
      <c r="A18" t="s">
        <v>17</v>
      </c>
      <c r="B18" s="121">
        <f>IF('Data Sheet'!B30&gt;0, 'Data Sheet'!B31/'Data Sheet'!B30, 0)</f>
        <v>0.13688212927756654</v>
      </c>
      <c r="C18" s="121">
        <f>IF('Data Sheet'!C30&gt;0, 'Data Sheet'!C31/'Data Sheet'!C30, 0)</f>
        <v>5.2942224646974838E-2</v>
      </c>
      <c r="D18" s="121">
        <f>IF('Data Sheet'!D30&gt;0, 'Data Sheet'!D31/'Data Sheet'!D30, 0)</f>
        <v>0.12057946375623352</v>
      </c>
      <c r="E18" s="121">
        <f>IF('Data Sheet'!E30&gt;0, 'Data Sheet'!E31/'Data Sheet'!E30, 0)</f>
        <v>0.22897361263539631</v>
      </c>
      <c r="F18" s="121">
        <f>IF('Data Sheet'!F30&gt;0, 'Data Sheet'!F31/'Data Sheet'!F30, 0)</f>
        <v>0.24754447704301757</v>
      </c>
      <c r="G18" s="121">
        <f>IF('Data Sheet'!G30&gt;0, 'Data Sheet'!G31/'Data Sheet'!G30, 0)</f>
        <v>0.25491044986228167</v>
      </c>
      <c r="H18" s="121">
        <f>IF('Data Sheet'!H30&gt;0, 'Data Sheet'!H31/'Data Sheet'!H30, 0)</f>
        <v>0.61969405817164969</v>
      </c>
      <c r="I18" s="121">
        <f>IF('Data Sheet'!I30&gt;0, 'Data Sheet'!I31/'Data Sheet'!I30, 0)</f>
        <v>0.73311883351208329</v>
      </c>
      <c r="J18" s="121">
        <f>IF('Data Sheet'!J30&gt;0, 'Data Sheet'!J31/'Data Sheet'!J30, 0)</f>
        <v>0.32562388034337314</v>
      </c>
      <c r="K18" s="121">
        <f>IF('Data Sheet'!K30&gt;0, 'Data Sheet'!K31/'Data Sheet'!K30, 0)</f>
        <v>0.33823428059454619</v>
      </c>
    </row>
    <row r="19" spans="1:14" x14ac:dyDescent="0.45">
      <c r="A19" t="s">
        <v>18</v>
      </c>
      <c r="B19" s="121">
        <f t="shared" ref="B19:L19" si="4">IF(B6&gt;0,B6/B4,0)</f>
        <v>0.28817965530824485</v>
      </c>
      <c r="C19" s="121">
        <f t="shared" ref="C19:K19" si="5">IF(C6&gt;0,C6/C4,0)</f>
        <v>0.28693408895205985</v>
      </c>
      <c r="D19" s="121">
        <f t="shared" si="5"/>
        <v>0.31990243976586547</v>
      </c>
      <c r="E19" s="121">
        <f t="shared" si="5"/>
        <v>0.21259097014435169</v>
      </c>
      <c r="F19" s="121">
        <f t="shared" si="5"/>
        <v>0.21939722513418652</v>
      </c>
      <c r="G19" s="121">
        <f t="shared" si="5"/>
        <v>0.21264834411876676</v>
      </c>
      <c r="H19" s="121">
        <f t="shared" si="5"/>
        <v>0.25284866562740499</v>
      </c>
      <c r="I19" s="121">
        <f t="shared" si="5"/>
        <v>0.26536555003053969</v>
      </c>
      <c r="J19" s="121">
        <f t="shared" si="5"/>
        <v>0.26547247302536953</v>
      </c>
      <c r="K19" s="121">
        <f t="shared" si="5"/>
        <v>0.26842506265870869</v>
      </c>
      <c r="L19" s="121">
        <f t="shared" si="4"/>
        <v>0.27025635273069265</v>
      </c>
    </row>
    <row r="20" spans="1:14" x14ac:dyDescent="0.4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</row>
    <row r="21" spans="1:14" x14ac:dyDescent="0.4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</row>
    <row r="22" spans="1:14" s="2" customFormat="1" x14ac:dyDescent="0.45">
      <c r="A22" s="8"/>
      <c r="B22" s="9"/>
      <c r="C22" s="9"/>
      <c r="D22" s="9"/>
      <c r="E22" s="9"/>
      <c r="F22" s="9"/>
      <c r="G22" s="9" t="s">
        <v>19</v>
      </c>
      <c r="H22" s="9" t="s">
        <v>56</v>
      </c>
      <c r="I22" s="9" t="s">
        <v>57</v>
      </c>
      <c r="J22" s="9" t="s">
        <v>58</v>
      </c>
      <c r="K22" s="9" t="s">
        <v>59</v>
      </c>
      <c r="L22" s="10" t="s">
        <v>60</v>
      </c>
      <c r="M22" s="10" t="s">
        <v>20</v>
      </c>
      <c r="N22" s="10" t="s">
        <v>21</v>
      </c>
    </row>
    <row r="23" spans="1:14" s="2" customFormat="1" x14ac:dyDescent="0.45">
      <c r="A23"/>
      <c r="B23"/>
      <c r="C23"/>
      <c r="D23"/>
      <c r="E23"/>
      <c r="F23"/>
      <c r="G23" t="s">
        <v>22</v>
      </c>
      <c r="H23" s="121">
        <f>IF(B4=0,"",POWER($K4/B4,1/9)-1)</f>
        <v>6.5529589267993238E-2</v>
      </c>
      <c r="I23" s="121">
        <f>IF(D4=0,"",POWER($K4/D4,1/7)-1)</f>
        <v>6.3206324419709414E-2</v>
      </c>
      <c r="J23" s="121">
        <f>IF(F4=0,"",POWER($K4/F4,1/5)-1)</f>
        <v>0.10781163295773566</v>
      </c>
      <c r="K23" s="121">
        <f>IF(H4=0,"",POWER($K4/H4, 1/3)-1)</f>
        <v>0.13126481358310027</v>
      </c>
      <c r="L23" s="121">
        <f>IF(ISERROR(MAX(IF(J4=0,"",(K4-J4)/J4),IF(K4=0,"",(L4-K4)/K4))),"",MAX(IF(J4=0,"",(K4-J4)/J4),IF(K4=0,"",(L4-K4)/K4)))</f>
        <v>0.10507231516066284</v>
      </c>
      <c r="M23" s="127">
        <f>MAX(K23:L23)</f>
        <v>0.13126481358310027</v>
      </c>
      <c r="N23" s="127">
        <f>MIN(H23:L23)</f>
        <v>6.3206324419709414E-2</v>
      </c>
    </row>
    <row r="24" spans="1:14" x14ac:dyDescent="0.45">
      <c r="G24" t="s">
        <v>18</v>
      </c>
      <c r="H24" s="121">
        <f>IF(SUM(B4:$K$4)=0,"",SUMPRODUCT(B19:$K$19,B4:$K$4)/SUM(B4:$K$4))</f>
        <v>0.26016595124745473</v>
      </c>
      <c r="I24" s="121">
        <f>IF(SUM(E4:$K$4)=0,"",SUMPRODUCT(E19:$K$19,E4:$K$4)/SUM(E4:$K$4))</f>
        <v>0.24665901995915598</v>
      </c>
      <c r="J24" s="121">
        <f>IF(SUM(G4:$K$4)=0,"",SUMPRODUCT(G19:$K$19,G4:$K$4)/SUM(G4:$K$4))</f>
        <v>0.25524598999679082</v>
      </c>
      <c r="K24" s="121">
        <f>IF(SUM(I4:$K$4)=0, "", SUMPRODUCT(I19:$K$19,I4:$K$4)/SUM(I4:$K$4))</f>
        <v>0.26653368643456632</v>
      </c>
      <c r="L24" s="123">
        <f>L19</f>
        <v>0.27025635273069265</v>
      </c>
      <c r="M24" s="127">
        <f>MAX(K24:L24)</f>
        <v>0.27025635273069265</v>
      </c>
      <c r="N24" s="127">
        <f>MIN(H24:L24)</f>
        <v>0.24665901995915598</v>
      </c>
    </row>
    <row r="25" spans="1:14" x14ac:dyDescent="0.45">
      <c r="G25" t="s">
        <v>23</v>
      </c>
      <c r="H25" s="117">
        <f>IF(ISERROR(AVERAGEIF(B14:$L14,"&gt;0")),"",AVERAGEIF(B14:$L14,"&gt;0"))</f>
        <v>42.100691502900283</v>
      </c>
      <c r="I25" s="117">
        <f>IF(ISERROR(AVERAGEIF(E14:$L14,"&gt;0")),"",AVERAGEIF(E14:$L14,"&gt;0"))</f>
        <v>43.658475464918993</v>
      </c>
      <c r="J25" s="117">
        <f>IF(ISERROR(AVERAGEIF(G14:$L14,"&gt;0")),"",AVERAGEIF(G14:$L14,"&gt;0"))</f>
        <v>41.580217427655079</v>
      </c>
      <c r="K25" s="117">
        <f>IF(ISERROR(AVERAGEIF(I14:$L14,"&gt;0")),"",AVERAGEIF(I14:$L14,"&gt;0"))</f>
        <v>44.409114052202909</v>
      </c>
      <c r="L25" s="117">
        <f>L14</f>
        <v>42.136035944120295</v>
      </c>
      <c r="M25" s="118">
        <f>MAX(K25:L25)</f>
        <v>44.409114052202909</v>
      </c>
      <c r="N25" s="118">
        <f>MIN(H25:L25)</f>
        <v>41.580217427655079</v>
      </c>
    </row>
  </sheetData>
  <hyperlinks>
    <hyperlink ref="M1" r:id="rId1" xr:uid="{00000000-0004-0000-0000-000000000000}"/>
  </hyperlinks>
  <printOptions gridLines="1"/>
  <pageMargins left="0.7" right="0.7" top="0.75" bottom="0.75" header="0.3" footer="0.3"/>
  <pageSetup paperSize="9" orientation="landscape" horizontalDpi="300" verticalDpi="300" r:id="rId2"/>
  <customProperties>
    <customPr name="Smart" r:id="rId3"/>
  </customProperties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pageSetUpPr fitToPage="1"/>
  </sheetPr>
  <dimension ref="A1:K22"/>
  <sheetViews>
    <sheetView zoomScale="150" workbookViewId="0">
      <pane xSplit="1" ySplit="3" topLeftCell="F4" activePane="bottomRight" state="frozen"/>
      <selection pane="topRight" activeCell="B1" sqref="B1"/>
      <selection pane="bottomLeft" activeCell="A4" sqref="A4"/>
      <selection pane="bottomRight" activeCell="F14" sqref="F14"/>
    </sheetView>
  </sheetViews>
  <sheetFormatPr defaultColWidth="8.796875" defaultRowHeight="14.25" x14ac:dyDescent="0.45"/>
  <cols>
    <col min="1" max="1" width="20.6640625" customWidth="1"/>
    <col min="2" max="11" width="13.46484375" bestFit="1" customWidth="1"/>
  </cols>
  <sheetData>
    <row r="1" spans="1:11" s="2" customFormat="1" x14ac:dyDescent="0.45">
      <c r="A1" s="114" t="str">
        <f>'Profit &amp; Loss'!A1</f>
        <v>SUN PHARMACEUTICALS INDUSTRIES LTD</v>
      </c>
      <c r="E1" s="122" t="str">
        <f>UPDATE</f>
        <v/>
      </c>
      <c r="J1" s="128" t="s">
        <v>1</v>
      </c>
    </row>
    <row r="3" spans="1:11" s="2" customFormat="1" x14ac:dyDescent="0.45">
      <c r="A3" s="8" t="s">
        <v>2</v>
      </c>
      <c r="B3" s="115">
        <f>'Data Sheet'!B41</f>
        <v>44651</v>
      </c>
      <c r="C3" s="115">
        <f>'Data Sheet'!C41</f>
        <v>44742</v>
      </c>
      <c r="D3" s="115">
        <f>'Data Sheet'!D41</f>
        <v>44834</v>
      </c>
      <c r="E3" s="115">
        <f>'Data Sheet'!E41</f>
        <v>44926</v>
      </c>
      <c r="F3" s="115">
        <f>'Data Sheet'!F41</f>
        <v>45016</v>
      </c>
      <c r="G3" s="115">
        <f>'Data Sheet'!G41</f>
        <v>45107</v>
      </c>
      <c r="H3" s="115">
        <f>'Data Sheet'!H41</f>
        <v>45199</v>
      </c>
      <c r="I3" s="115">
        <f>'Data Sheet'!I41</f>
        <v>45291</v>
      </c>
      <c r="J3" s="115">
        <f>'Data Sheet'!J41</f>
        <v>45382</v>
      </c>
      <c r="K3" s="115">
        <f>'Data Sheet'!K41</f>
        <v>45473</v>
      </c>
    </row>
    <row r="4" spans="1:11" s="2" customFormat="1" x14ac:dyDescent="0.45">
      <c r="A4" s="2" t="s">
        <v>6</v>
      </c>
      <c r="B4" s="116">
        <f>'Data Sheet'!B42</f>
        <v>9446.76</v>
      </c>
      <c r="C4" s="116">
        <f>'Data Sheet'!C42</f>
        <v>10761.76</v>
      </c>
      <c r="D4" s="116">
        <f>'Data Sheet'!D42</f>
        <v>10952.28</v>
      </c>
      <c r="E4" s="116">
        <f>'Data Sheet'!E42</f>
        <v>11240.97</v>
      </c>
      <c r="F4" s="116">
        <f>'Data Sheet'!F42</f>
        <v>10930.67</v>
      </c>
      <c r="G4" s="116">
        <f>'Data Sheet'!G42</f>
        <v>11940.84</v>
      </c>
      <c r="H4" s="116">
        <f>'Data Sheet'!H42</f>
        <v>12192.41</v>
      </c>
      <c r="I4" s="116">
        <f>'Data Sheet'!I42</f>
        <v>12380.7</v>
      </c>
      <c r="J4" s="116">
        <f>'Data Sheet'!J42</f>
        <v>11982.9</v>
      </c>
      <c r="K4" s="116">
        <f>'Data Sheet'!K42</f>
        <v>12652.75</v>
      </c>
    </row>
    <row r="5" spans="1:11" x14ac:dyDescent="0.45">
      <c r="A5" t="s">
        <v>7</v>
      </c>
      <c r="B5" s="119">
        <f>'Data Sheet'!B43</f>
        <v>7106.39</v>
      </c>
      <c r="C5" s="119">
        <f>'Data Sheet'!C43</f>
        <v>7877.37</v>
      </c>
      <c r="D5" s="119">
        <f>'Data Sheet'!D43</f>
        <v>7995.73</v>
      </c>
      <c r="E5" s="119">
        <f>'Data Sheet'!E43</f>
        <v>8237.25</v>
      </c>
      <c r="F5" s="119">
        <f>'Data Sheet'!F43</f>
        <v>8128.54</v>
      </c>
      <c r="G5" s="119">
        <f>'Data Sheet'!G43</f>
        <v>8609.07</v>
      </c>
      <c r="H5" s="119">
        <f>'Data Sheet'!H43</f>
        <v>9013.0300000000007</v>
      </c>
      <c r="I5" s="119">
        <f>'Data Sheet'!I43</f>
        <v>8903.8700000000008</v>
      </c>
      <c r="J5" s="119">
        <f>'Data Sheet'!J43</f>
        <v>8947.75</v>
      </c>
      <c r="K5" s="119">
        <f>'Data Sheet'!K43</f>
        <v>9045.1299999999992</v>
      </c>
    </row>
    <row r="6" spans="1:11" s="2" customFormat="1" x14ac:dyDescent="0.45">
      <c r="A6" s="2" t="s">
        <v>8</v>
      </c>
      <c r="B6" s="116">
        <f>'Data Sheet'!B50</f>
        <v>2340.37</v>
      </c>
      <c r="C6" s="116">
        <f>'Data Sheet'!C50</f>
        <v>2884.39</v>
      </c>
      <c r="D6" s="116">
        <f>'Data Sheet'!D50</f>
        <v>2956.55</v>
      </c>
      <c r="E6" s="116">
        <f>'Data Sheet'!E50</f>
        <v>3003.72</v>
      </c>
      <c r="F6" s="116">
        <f>'Data Sheet'!F50</f>
        <v>2802.13</v>
      </c>
      <c r="G6" s="116">
        <f>'Data Sheet'!G50</f>
        <v>3331.77</v>
      </c>
      <c r="H6" s="116">
        <f>'Data Sheet'!H50</f>
        <v>3179.38</v>
      </c>
      <c r="I6" s="116">
        <f>'Data Sheet'!I50</f>
        <v>3476.83</v>
      </c>
      <c r="J6" s="116">
        <f>'Data Sheet'!J50</f>
        <v>3035.15</v>
      </c>
      <c r="K6" s="116">
        <f>'Data Sheet'!K50</f>
        <v>3607.62</v>
      </c>
    </row>
    <row r="7" spans="1:11" x14ac:dyDescent="0.45">
      <c r="A7" t="s">
        <v>9</v>
      </c>
      <c r="B7" s="119">
        <f>'Data Sheet'!B44</f>
        <v>-3822.16</v>
      </c>
      <c r="C7" s="119">
        <f>'Data Sheet'!C44</f>
        <v>2.14</v>
      </c>
      <c r="D7" s="119">
        <f>'Data Sheet'!D44</f>
        <v>85.22</v>
      </c>
      <c r="E7" s="119">
        <f>'Data Sheet'!E44</f>
        <v>173.88</v>
      </c>
      <c r="F7" s="119">
        <f>'Data Sheet'!F44</f>
        <v>201.83</v>
      </c>
      <c r="G7" s="119">
        <f>'Data Sheet'!G44</f>
        <v>-118.43</v>
      </c>
      <c r="H7" s="119">
        <f>'Data Sheet'!H44</f>
        <v>293.61</v>
      </c>
      <c r="I7" s="119">
        <f>'Data Sheet'!I44</f>
        <v>180.39</v>
      </c>
      <c r="J7" s="119">
        <f>'Data Sheet'!J44</f>
        <v>504.3</v>
      </c>
      <c r="K7" s="119">
        <f>'Data Sheet'!K44</f>
        <v>532.54999999999995</v>
      </c>
    </row>
    <row r="8" spans="1:11" x14ac:dyDescent="0.45">
      <c r="A8" t="s">
        <v>10</v>
      </c>
      <c r="B8" s="119">
        <f>'Data Sheet'!B45</f>
        <v>556.47</v>
      </c>
      <c r="C8" s="119">
        <f>'Data Sheet'!C45</f>
        <v>588</v>
      </c>
      <c r="D8" s="119">
        <f>'Data Sheet'!D45</f>
        <v>609.95000000000005</v>
      </c>
      <c r="E8" s="119">
        <f>'Data Sheet'!E45</f>
        <v>659.95</v>
      </c>
      <c r="F8" s="119">
        <f>'Data Sheet'!F45</f>
        <v>671.53</v>
      </c>
      <c r="G8" s="119">
        <f>'Data Sheet'!G45</f>
        <v>651.32000000000005</v>
      </c>
      <c r="H8" s="119">
        <f>'Data Sheet'!H45</f>
        <v>632.82000000000005</v>
      </c>
      <c r="I8" s="119">
        <f>'Data Sheet'!I45</f>
        <v>622.14</v>
      </c>
      <c r="J8" s="119">
        <f>'Data Sheet'!J45</f>
        <v>650.36</v>
      </c>
      <c r="K8" s="119">
        <f>'Data Sheet'!K45</f>
        <v>655.13</v>
      </c>
    </row>
    <row r="9" spans="1:11" x14ac:dyDescent="0.45">
      <c r="A9" t="s">
        <v>11</v>
      </c>
      <c r="B9" s="119">
        <f>'Data Sheet'!B46</f>
        <v>37.340000000000003</v>
      </c>
      <c r="C9" s="119">
        <f>'Data Sheet'!C46</f>
        <v>13.69</v>
      </c>
      <c r="D9" s="119">
        <f>'Data Sheet'!D46</f>
        <v>19.39</v>
      </c>
      <c r="E9" s="119">
        <f>'Data Sheet'!E46</f>
        <v>46.18</v>
      </c>
      <c r="F9" s="119">
        <f>'Data Sheet'!F46</f>
        <v>92.74</v>
      </c>
      <c r="G9" s="119">
        <f>'Data Sheet'!G46</f>
        <v>80.88</v>
      </c>
      <c r="H9" s="119">
        <f>'Data Sheet'!H46</f>
        <v>49.29</v>
      </c>
      <c r="I9" s="119">
        <f>'Data Sheet'!I46</f>
        <v>34.729999999999997</v>
      </c>
      <c r="J9" s="119">
        <f>'Data Sheet'!J46</f>
        <v>73.569999999999993</v>
      </c>
      <c r="K9" s="119">
        <f>'Data Sheet'!K46</f>
        <v>61.54</v>
      </c>
    </row>
    <row r="10" spans="1:11" x14ac:dyDescent="0.45">
      <c r="A10" t="s">
        <v>12</v>
      </c>
      <c r="B10" s="119">
        <f>'Data Sheet'!B47</f>
        <v>-2075.6</v>
      </c>
      <c r="C10" s="119">
        <f>'Data Sheet'!C47</f>
        <v>2284.84</v>
      </c>
      <c r="D10" s="119">
        <f>'Data Sheet'!D47</f>
        <v>2412.4299999999998</v>
      </c>
      <c r="E10" s="119">
        <f>'Data Sheet'!E47</f>
        <v>2471.4699999999998</v>
      </c>
      <c r="F10" s="119">
        <f>'Data Sheet'!F47</f>
        <v>2239.69</v>
      </c>
      <c r="G10" s="119">
        <f>'Data Sheet'!G47</f>
        <v>2481.14</v>
      </c>
      <c r="H10" s="119">
        <f>'Data Sheet'!H47</f>
        <v>2790.88</v>
      </c>
      <c r="I10" s="119">
        <f>'Data Sheet'!I47</f>
        <v>3000.35</v>
      </c>
      <c r="J10" s="119">
        <f>'Data Sheet'!J47</f>
        <v>2815.52</v>
      </c>
      <c r="K10" s="119">
        <f>'Data Sheet'!K47</f>
        <v>3423.5</v>
      </c>
    </row>
    <row r="11" spans="1:11" x14ac:dyDescent="0.45">
      <c r="A11" t="s">
        <v>13</v>
      </c>
      <c r="B11" s="119">
        <f>'Data Sheet'!B48</f>
        <v>146.76</v>
      </c>
      <c r="C11" s="119">
        <f>'Data Sheet'!C48</f>
        <v>188.99</v>
      </c>
      <c r="D11" s="119">
        <f>'Data Sheet'!D48</f>
        <v>152.26</v>
      </c>
      <c r="E11" s="119">
        <f>'Data Sheet'!E48</f>
        <v>283.43</v>
      </c>
      <c r="F11" s="119">
        <f>'Data Sheet'!F48</f>
        <v>222.91</v>
      </c>
      <c r="G11" s="119">
        <f>'Data Sheet'!G48</f>
        <v>468.1</v>
      </c>
      <c r="H11" s="119">
        <f>'Data Sheet'!H48</f>
        <v>390.1</v>
      </c>
      <c r="I11" s="119">
        <f>'Data Sheet'!I48</f>
        <v>432.32</v>
      </c>
      <c r="J11" s="119">
        <f>'Data Sheet'!J48</f>
        <v>148.93</v>
      </c>
      <c r="K11" s="119">
        <f>'Data Sheet'!K48</f>
        <v>552.25</v>
      </c>
    </row>
    <row r="12" spans="1:11" s="2" customFormat="1" x14ac:dyDescent="0.45">
      <c r="A12" s="2" t="s">
        <v>14</v>
      </c>
      <c r="B12" s="116">
        <f>'Data Sheet'!B49</f>
        <v>-2277.25</v>
      </c>
      <c r="C12" s="116">
        <f>'Data Sheet'!C49</f>
        <v>2060.88</v>
      </c>
      <c r="D12" s="116">
        <f>'Data Sheet'!D49</f>
        <v>2262.2199999999998</v>
      </c>
      <c r="E12" s="116">
        <f>'Data Sheet'!E49</f>
        <v>2166.0100000000002</v>
      </c>
      <c r="F12" s="116">
        <f>'Data Sheet'!F49</f>
        <v>1984.47</v>
      </c>
      <c r="G12" s="116">
        <f>'Data Sheet'!G49</f>
        <v>2022.54</v>
      </c>
      <c r="H12" s="116">
        <f>'Data Sheet'!H49</f>
        <v>2375.5100000000002</v>
      </c>
      <c r="I12" s="116">
        <f>'Data Sheet'!I49</f>
        <v>2523.75</v>
      </c>
      <c r="J12" s="116">
        <f>'Data Sheet'!J49</f>
        <v>2654.58</v>
      </c>
      <c r="K12" s="116">
        <f>'Data Sheet'!K49</f>
        <v>2835.62</v>
      </c>
    </row>
    <row r="14" spans="1:11" s="2" customFormat="1" x14ac:dyDescent="0.45">
      <c r="A14" s="2" t="s">
        <v>18</v>
      </c>
      <c r="B14" s="129">
        <f>IF(B4&gt;0,B6/B4,"")</f>
        <v>0.24774314156388008</v>
      </c>
      <c r="C14" s="129">
        <f t="shared" ref="C14:K14" si="0">IF(C4&gt;0,C6/C4,"")</f>
        <v>0.26802214507664174</v>
      </c>
      <c r="D14" s="129">
        <f t="shared" si="0"/>
        <v>0.26994835778486304</v>
      </c>
      <c r="E14" s="129">
        <f t="shared" si="0"/>
        <v>0.26721181535045463</v>
      </c>
      <c r="F14" s="129">
        <f t="shared" si="0"/>
        <v>0.25635482545900662</v>
      </c>
      <c r="G14" s="129">
        <f t="shared" si="0"/>
        <v>0.2790230838031495</v>
      </c>
      <c r="H14" s="129">
        <f t="shared" si="0"/>
        <v>0.26076714939868328</v>
      </c>
      <c r="I14" s="129">
        <f t="shared" si="0"/>
        <v>0.28082660915780205</v>
      </c>
      <c r="J14" s="129">
        <f t="shared" si="0"/>
        <v>0.25329010506638627</v>
      </c>
      <c r="K14" s="129">
        <f t="shared" si="0"/>
        <v>0.28512536800300331</v>
      </c>
    </row>
    <row r="22" s="14" customFormat="1" x14ac:dyDescent="0.45"/>
  </sheetData>
  <hyperlinks>
    <hyperlink ref="J1" r:id="rId1" xr:uid="{00000000-0004-0000-0100-000000000000}"/>
  </hyperlinks>
  <printOptions gridLines="1"/>
  <pageMargins left="0.7" right="0.7" top="0.75" bottom="0.75" header="0.3" footer="0.3"/>
  <pageSetup paperSize="9" scale="83" orientation="landscape" horizontalDpi="300" verticalDpi="300" r:id="rId2"/>
  <customProperties>
    <customPr name="Smart" r:id="rId3"/>
  </customProperties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K24"/>
  <sheetViews>
    <sheetView zoomScale="125" workbookViewId="0">
      <pane xSplit="1" ySplit="3" topLeftCell="F17" activePane="bottomRight" state="frozen"/>
      <selection activeCell="C4" sqref="C4"/>
      <selection pane="topRight" activeCell="C4" sqref="C4"/>
      <selection pane="bottomLeft" activeCell="C4" sqref="C4"/>
      <selection pane="bottomRight" activeCell="F23" sqref="F23"/>
    </sheetView>
  </sheetViews>
  <sheetFormatPr defaultColWidth="8.796875" defaultRowHeight="14.25" x14ac:dyDescent="0.45"/>
  <cols>
    <col min="1" max="1" width="22.796875" bestFit="1" customWidth="1"/>
    <col min="2" max="2" width="13.46484375" customWidth="1"/>
    <col min="3" max="11" width="15.46484375" customWidth="1"/>
  </cols>
  <sheetData>
    <row r="1" spans="1:11" s="2" customFormat="1" x14ac:dyDescent="0.45">
      <c r="A1" s="114" t="str">
        <f>'Profit &amp; Loss'!A1</f>
        <v>SUN PHARMACEUTICALS INDUSTRIES LTD</v>
      </c>
      <c r="E1" s="122" t="str">
        <f>UPDATE</f>
        <v/>
      </c>
      <c r="G1"/>
      <c r="J1" s="128" t="s">
        <v>1</v>
      </c>
    </row>
    <row r="2" spans="1:11" x14ac:dyDescent="0.45">
      <c r="G2" s="2"/>
      <c r="H2" s="2"/>
    </row>
    <row r="3" spans="1:11" x14ac:dyDescent="0.45">
      <c r="A3" s="8" t="s">
        <v>2</v>
      </c>
      <c r="B3" s="115">
        <f>'Data Sheet'!B56</f>
        <v>42094</v>
      </c>
      <c r="C3" s="115">
        <f>'Data Sheet'!C56</f>
        <v>42460</v>
      </c>
      <c r="D3" s="115">
        <f>'Data Sheet'!D56</f>
        <v>42825</v>
      </c>
      <c r="E3" s="115">
        <f>'Data Sheet'!E56</f>
        <v>43190</v>
      </c>
      <c r="F3" s="115">
        <f>'Data Sheet'!F56</f>
        <v>43555</v>
      </c>
      <c r="G3" s="115">
        <f>'Data Sheet'!G56</f>
        <v>43921</v>
      </c>
      <c r="H3" s="115">
        <f>'Data Sheet'!H56</f>
        <v>44286</v>
      </c>
      <c r="I3" s="115">
        <f>'Data Sheet'!I56</f>
        <v>44651</v>
      </c>
      <c r="J3" s="115">
        <f>'Data Sheet'!J56</f>
        <v>45016</v>
      </c>
      <c r="K3" s="115">
        <f>'Data Sheet'!K56</f>
        <v>45382</v>
      </c>
    </row>
    <row r="4" spans="1:11" x14ac:dyDescent="0.45">
      <c r="A4" t="s">
        <v>24</v>
      </c>
      <c r="B4" s="130">
        <f>'Data Sheet'!B57</f>
        <v>207.12</v>
      </c>
      <c r="C4" s="130">
        <f>'Data Sheet'!C57</f>
        <v>240.66</v>
      </c>
      <c r="D4" s="130">
        <f>'Data Sheet'!D57</f>
        <v>239.93</v>
      </c>
      <c r="E4" s="130">
        <f>'Data Sheet'!E57</f>
        <v>239.93</v>
      </c>
      <c r="F4" s="130">
        <f>'Data Sheet'!F57</f>
        <v>239.93</v>
      </c>
      <c r="G4" s="130">
        <f>'Data Sheet'!G57</f>
        <v>239.93</v>
      </c>
      <c r="H4" s="130">
        <f>'Data Sheet'!H57</f>
        <v>239.93</v>
      </c>
      <c r="I4" s="130">
        <f>'Data Sheet'!I57</f>
        <v>239.93</v>
      </c>
      <c r="J4" s="130">
        <f>'Data Sheet'!J57</f>
        <v>239.93</v>
      </c>
      <c r="K4" s="130">
        <f>'Data Sheet'!K57</f>
        <v>239.93</v>
      </c>
    </row>
    <row r="5" spans="1:11" x14ac:dyDescent="0.45">
      <c r="A5" t="s">
        <v>25</v>
      </c>
      <c r="B5" s="130">
        <f>'Data Sheet'!B58</f>
        <v>25430.97</v>
      </c>
      <c r="C5" s="130">
        <f>'Data Sheet'!C58</f>
        <v>32741.82</v>
      </c>
      <c r="D5" s="130">
        <f>'Data Sheet'!D58</f>
        <v>36399.74</v>
      </c>
      <c r="E5" s="130">
        <f>'Data Sheet'!E58</f>
        <v>38074.18</v>
      </c>
      <c r="F5" s="130">
        <f>'Data Sheet'!F58</f>
        <v>41169.129999999997</v>
      </c>
      <c r="G5" s="130">
        <f>'Data Sheet'!G58</f>
        <v>45024.52</v>
      </c>
      <c r="H5" s="130">
        <f>'Data Sheet'!H58</f>
        <v>46222.85</v>
      </c>
      <c r="I5" s="130">
        <f>'Data Sheet'!I58</f>
        <v>47771.29</v>
      </c>
      <c r="J5" s="130">
        <f>'Data Sheet'!J58</f>
        <v>55755.45</v>
      </c>
      <c r="K5" s="130">
        <f>'Data Sheet'!K58</f>
        <v>63426.82</v>
      </c>
    </row>
    <row r="6" spans="1:11" x14ac:dyDescent="0.45">
      <c r="A6" t="s">
        <v>62</v>
      </c>
      <c r="B6" s="130">
        <f>'Data Sheet'!B59</f>
        <v>8996.11</v>
      </c>
      <c r="C6" s="130">
        <f>'Data Sheet'!C59</f>
        <v>8496.76</v>
      </c>
      <c r="D6" s="130">
        <f>'Data Sheet'!D59</f>
        <v>9831.77</v>
      </c>
      <c r="E6" s="130">
        <f>'Data Sheet'!E59</f>
        <v>10385.27</v>
      </c>
      <c r="F6" s="130">
        <f>'Data Sheet'!F59</f>
        <v>10514.36</v>
      </c>
      <c r="G6" s="130">
        <f>'Data Sheet'!G59</f>
        <v>8314.8799999999992</v>
      </c>
      <c r="H6" s="130">
        <f>'Data Sheet'!H59</f>
        <v>3868.58</v>
      </c>
      <c r="I6" s="130">
        <f>'Data Sheet'!I59</f>
        <v>1290.3</v>
      </c>
      <c r="J6" s="130">
        <f>'Data Sheet'!J59</f>
        <v>6885.87</v>
      </c>
      <c r="K6" s="130">
        <f>'Data Sheet'!K59</f>
        <v>3273.67</v>
      </c>
    </row>
    <row r="7" spans="1:11" x14ac:dyDescent="0.45">
      <c r="A7" t="s">
        <v>63</v>
      </c>
      <c r="B7" s="130">
        <f>'Data Sheet'!B60</f>
        <v>14088.99</v>
      </c>
      <c r="C7" s="130">
        <f>'Data Sheet'!C60</f>
        <v>13948.26</v>
      </c>
      <c r="D7" s="130">
        <f>'Data Sheet'!D60</f>
        <v>14624.01</v>
      </c>
      <c r="E7" s="130">
        <f>'Data Sheet'!E60</f>
        <v>15598.01</v>
      </c>
      <c r="F7" s="130">
        <f>'Data Sheet'!F60</f>
        <v>12666.11</v>
      </c>
      <c r="G7" s="130">
        <f>'Data Sheet'!G60</f>
        <v>14614.99</v>
      </c>
      <c r="H7" s="130">
        <f>'Data Sheet'!H60</f>
        <v>17290.86</v>
      </c>
      <c r="I7" s="130">
        <f>'Data Sheet'!I60</f>
        <v>20474.39</v>
      </c>
      <c r="J7" s="130">
        <f>'Data Sheet'!J60</f>
        <v>17830.650000000001</v>
      </c>
      <c r="K7" s="130">
        <f>'Data Sheet'!K60</f>
        <v>18367.400000000001</v>
      </c>
    </row>
    <row r="8" spans="1:11" s="2" customFormat="1" x14ac:dyDescent="0.45">
      <c r="A8" s="2" t="s">
        <v>26</v>
      </c>
      <c r="B8" s="131">
        <f>'Data Sheet'!B61</f>
        <v>48723.19</v>
      </c>
      <c r="C8" s="131">
        <f>'Data Sheet'!C61</f>
        <v>55427.5</v>
      </c>
      <c r="D8" s="131">
        <f>'Data Sheet'!D61</f>
        <v>61095.45</v>
      </c>
      <c r="E8" s="131">
        <f>'Data Sheet'!E61</f>
        <v>64297.39</v>
      </c>
      <c r="F8" s="131">
        <f>'Data Sheet'!F61</f>
        <v>64589.53</v>
      </c>
      <c r="G8" s="131">
        <f>'Data Sheet'!G61</f>
        <v>68194.320000000007</v>
      </c>
      <c r="H8" s="131">
        <f>'Data Sheet'!H61</f>
        <v>67622.22</v>
      </c>
      <c r="I8" s="131">
        <f>'Data Sheet'!I61</f>
        <v>69775.91</v>
      </c>
      <c r="J8" s="131">
        <f>'Data Sheet'!J61</f>
        <v>80711.899999999994</v>
      </c>
      <c r="K8" s="131">
        <f>'Data Sheet'!K61</f>
        <v>85307.82</v>
      </c>
    </row>
    <row r="9" spans="1:11" s="2" customFormat="1" x14ac:dyDescent="0.45">
      <c r="B9" s="11"/>
      <c r="C9" s="11"/>
      <c r="D9" s="11"/>
      <c r="E9" s="11"/>
      <c r="F9" s="11"/>
      <c r="G9" s="11"/>
      <c r="H9" s="11"/>
      <c r="I9" s="11"/>
      <c r="J9" s="11"/>
      <c r="K9" s="11"/>
    </row>
    <row r="10" spans="1:11" x14ac:dyDescent="0.45">
      <c r="A10" t="s">
        <v>27</v>
      </c>
      <c r="B10" s="130">
        <f>'Data Sheet'!B62</f>
        <v>12682.47</v>
      </c>
      <c r="C10" s="130">
        <f>'Data Sheet'!C62</f>
        <v>15872.25</v>
      </c>
      <c r="D10" s="130">
        <f>'Data Sheet'!D62</f>
        <v>17675.169999999998</v>
      </c>
      <c r="E10" s="130">
        <f>'Data Sheet'!E62</f>
        <v>18852.650000000001</v>
      </c>
      <c r="F10" s="130">
        <f>'Data Sheet'!F62</f>
        <v>21836.54</v>
      </c>
      <c r="G10" s="130">
        <f>'Data Sheet'!G62</f>
        <v>22846.91</v>
      </c>
      <c r="H10" s="130">
        <f>'Data Sheet'!H62</f>
        <v>21552.98</v>
      </c>
      <c r="I10" s="130">
        <f>'Data Sheet'!I62</f>
        <v>22665.16</v>
      </c>
      <c r="J10" s="130">
        <f>'Data Sheet'!J62</f>
        <v>24065.439999999999</v>
      </c>
      <c r="K10" s="130">
        <f>'Data Sheet'!K62</f>
        <v>23211.38</v>
      </c>
    </row>
    <row r="11" spans="1:11" x14ac:dyDescent="0.45">
      <c r="A11" t="s">
        <v>28</v>
      </c>
      <c r="B11" s="130">
        <f>'Data Sheet'!B63</f>
        <v>2038.61</v>
      </c>
      <c r="C11" s="130">
        <f>'Data Sheet'!C63</f>
        <v>2175.4499999999998</v>
      </c>
      <c r="D11" s="130">
        <f>'Data Sheet'!D63</f>
        <v>2801.38</v>
      </c>
      <c r="E11" s="130">
        <f>'Data Sheet'!E63</f>
        <v>2465.16</v>
      </c>
      <c r="F11" s="130">
        <f>'Data Sheet'!F63</f>
        <v>1411.15</v>
      </c>
      <c r="G11" s="130">
        <f>'Data Sheet'!G63</f>
        <v>1220.3399999999999</v>
      </c>
      <c r="H11" s="130">
        <f>'Data Sheet'!H63</f>
        <v>1566.83</v>
      </c>
      <c r="I11" s="130">
        <f>'Data Sheet'!I63</f>
        <v>1286.8</v>
      </c>
      <c r="J11" s="130">
        <f>'Data Sheet'!J63</f>
        <v>4973.16</v>
      </c>
      <c r="K11" s="130">
        <f>'Data Sheet'!K63</f>
        <v>5353.88</v>
      </c>
    </row>
    <row r="12" spans="1:11" x14ac:dyDescent="0.45">
      <c r="A12" t="s">
        <v>29</v>
      </c>
      <c r="B12" s="130">
        <f>'Data Sheet'!B64</f>
        <v>2716.3</v>
      </c>
      <c r="C12" s="130">
        <f>'Data Sheet'!C64</f>
        <v>1829.88</v>
      </c>
      <c r="D12" s="130">
        <f>'Data Sheet'!D64</f>
        <v>1191.8800000000001</v>
      </c>
      <c r="E12" s="130">
        <f>'Data Sheet'!E64</f>
        <v>7142.87</v>
      </c>
      <c r="F12" s="130">
        <f>'Data Sheet'!F64</f>
        <v>7902.53</v>
      </c>
      <c r="G12" s="130">
        <f>'Data Sheet'!G64</f>
        <v>10143.11</v>
      </c>
      <c r="H12" s="130">
        <f>'Data Sheet'!H64</f>
        <v>9612.4500000000007</v>
      </c>
      <c r="I12" s="130">
        <f>'Data Sheet'!I64</f>
        <v>12848.59</v>
      </c>
      <c r="J12" s="130">
        <f>'Data Sheet'!J64</f>
        <v>14824.34</v>
      </c>
      <c r="K12" s="130">
        <f>'Data Sheet'!K64</f>
        <v>15025.77</v>
      </c>
    </row>
    <row r="13" spans="1:11" x14ac:dyDescent="0.45">
      <c r="A13" t="s">
        <v>64</v>
      </c>
      <c r="B13" s="130">
        <f>'Data Sheet'!B65</f>
        <v>31285.81</v>
      </c>
      <c r="C13" s="130">
        <f>'Data Sheet'!C65</f>
        <v>35549.919999999998</v>
      </c>
      <c r="D13" s="130">
        <f>'Data Sheet'!D65</f>
        <v>39427.019999999997</v>
      </c>
      <c r="E13" s="130">
        <f>'Data Sheet'!E65</f>
        <v>35836.71</v>
      </c>
      <c r="F13" s="130">
        <f>'Data Sheet'!F65</f>
        <v>33439.31</v>
      </c>
      <c r="G13" s="130">
        <f>'Data Sheet'!G65</f>
        <v>33983.96</v>
      </c>
      <c r="H13" s="130">
        <f>'Data Sheet'!H65</f>
        <v>34889.96</v>
      </c>
      <c r="I13" s="130">
        <f>'Data Sheet'!I65</f>
        <v>32975.360000000001</v>
      </c>
      <c r="J13" s="130">
        <f>'Data Sheet'!J65</f>
        <v>36848.959999999999</v>
      </c>
      <c r="K13" s="130">
        <f>'Data Sheet'!K65</f>
        <v>41716.79</v>
      </c>
    </row>
    <row r="14" spans="1:11" s="2" customFormat="1" x14ac:dyDescent="0.45">
      <c r="A14" s="2" t="s">
        <v>26</v>
      </c>
      <c r="B14" s="130">
        <f>'Data Sheet'!B66</f>
        <v>48723.19</v>
      </c>
      <c r="C14" s="130">
        <f>'Data Sheet'!C66</f>
        <v>55427.5</v>
      </c>
      <c r="D14" s="130">
        <f>'Data Sheet'!D66</f>
        <v>61095.45</v>
      </c>
      <c r="E14" s="130">
        <f>'Data Sheet'!E66</f>
        <v>64297.39</v>
      </c>
      <c r="F14" s="130">
        <f>'Data Sheet'!F66</f>
        <v>64589.53</v>
      </c>
      <c r="G14" s="130">
        <f>'Data Sheet'!G66</f>
        <v>68194.320000000007</v>
      </c>
      <c r="H14" s="130">
        <f>'Data Sheet'!H66</f>
        <v>67622.22</v>
      </c>
      <c r="I14" s="130">
        <f>'Data Sheet'!I66</f>
        <v>69775.91</v>
      </c>
      <c r="J14" s="130">
        <f>'Data Sheet'!J66</f>
        <v>80711.899999999994</v>
      </c>
      <c r="K14" s="130">
        <f>'Data Sheet'!K66</f>
        <v>85307.82</v>
      </c>
    </row>
    <row r="15" spans="1:11" x14ac:dyDescent="0.45"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1:11" x14ac:dyDescent="0.45">
      <c r="A16" t="s">
        <v>30</v>
      </c>
      <c r="B16" s="117">
        <f>B13-B7</f>
        <v>17196.82</v>
      </c>
      <c r="C16" s="117">
        <f t="shared" ref="C16:K16" si="0">C13-C7</f>
        <v>21601.659999999996</v>
      </c>
      <c r="D16" s="117">
        <f t="shared" si="0"/>
        <v>24803.009999999995</v>
      </c>
      <c r="E16" s="117">
        <f t="shared" si="0"/>
        <v>20238.699999999997</v>
      </c>
      <c r="F16" s="117">
        <f t="shared" si="0"/>
        <v>20773.199999999997</v>
      </c>
      <c r="G16" s="117">
        <f t="shared" si="0"/>
        <v>19368.97</v>
      </c>
      <c r="H16" s="117">
        <f t="shared" si="0"/>
        <v>17599.099999999999</v>
      </c>
      <c r="I16" s="117">
        <f t="shared" si="0"/>
        <v>12500.970000000001</v>
      </c>
      <c r="J16" s="117">
        <f t="shared" si="0"/>
        <v>19018.309999999998</v>
      </c>
      <c r="K16" s="117">
        <f t="shared" si="0"/>
        <v>23349.39</v>
      </c>
    </row>
    <row r="17" spans="1:11" x14ac:dyDescent="0.45">
      <c r="A17" t="s">
        <v>44</v>
      </c>
      <c r="B17" s="119">
        <f>'Data Sheet'!B67</f>
        <v>5106.13</v>
      </c>
      <c r="C17" s="119">
        <f>'Data Sheet'!C67</f>
        <v>6775.66</v>
      </c>
      <c r="D17" s="119">
        <f>'Data Sheet'!D67</f>
        <v>7202.61</v>
      </c>
      <c r="E17" s="119">
        <f>'Data Sheet'!E67</f>
        <v>7815.28</v>
      </c>
      <c r="F17" s="119">
        <f>'Data Sheet'!F67</f>
        <v>8884.2000000000007</v>
      </c>
      <c r="G17" s="119">
        <f>'Data Sheet'!G67</f>
        <v>9421.24</v>
      </c>
      <c r="H17" s="119">
        <f>'Data Sheet'!H67</f>
        <v>9061.4</v>
      </c>
      <c r="I17" s="119">
        <f>'Data Sheet'!I67</f>
        <v>10484.59</v>
      </c>
      <c r="J17" s="119">
        <f>'Data Sheet'!J67</f>
        <v>11438.51</v>
      </c>
      <c r="K17" s="119">
        <f>'Data Sheet'!K67</f>
        <v>11249.37</v>
      </c>
    </row>
    <row r="18" spans="1:11" x14ac:dyDescent="0.45">
      <c r="A18" t="s">
        <v>45</v>
      </c>
      <c r="B18" s="119">
        <f>'Data Sheet'!B68</f>
        <v>5667.99</v>
      </c>
      <c r="C18" s="119">
        <f>'Data Sheet'!C68</f>
        <v>6422.54</v>
      </c>
      <c r="D18" s="119">
        <f>'Data Sheet'!D68</f>
        <v>6832.81</v>
      </c>
      <c r="E18" s="119">
        <f>'Data Sheet'!E68</f>
        <v>6880.69</v>
      </c>
      <c r="F18" s="119">
        <f>'Data Sheet'!F68</f>
        <v>7885.98</v>
      </c>
      <c r="G18" s="119">
        <f>'Data Sheet'!G68</f>
        <v>7874.99</v>
      </c>
      <c r="H18" s="119">
        <f>'Data Sheet'!H68</f>
        <v>8997.02</v>
      </c>
      <c r="I18" s="119">
        <f>'Data Sheet'!I68</f>
        <v>8925.1299999999992</v>
      </c>
      <c r="J18" s="119">
        <f>'Data Sheet'!J68</f>
        <v>10513.05</v>
      </c>
      <c r="K18" s="119">
        <f>'Data Sheet'!K68</f>
        <v>9868.2900000000009</v>
      </c>
    </row>
    <row r="20" spans="1:11" x14ac:dyDescent="0.45">
      <c r="A20" t="s">
        <v>46</v>
      </c>
      <c r="B20" s="120">
        <f>IF('Profit &amp; Loss'!B4&gt;0,'Balance Sheet'!B17/('Profit &amp; Loss'!B4/365),0)</f>
        <v>68.039455666086567</v>
      </c>
      <c r="C20" s="120">
        <f>IF('Profit &amp; Loss'!C4&gt;0,'Balance Sheet'!C17/('Profit &amp; Loss'!C4/365),0)</f>
        <v>86.815505161471719</v>
      </c>
      <c r="D20" s="120">
        <f>IF('Profit &amp; Loss'!D4&gt;0,'Balance Sheet'!D17/('Profit &amp; Loss'!D4/365),0)</f>
        <v>83.251504824177516</v>
      </c>
      <c r="E20" s="120">
        <f>IF('Profit &amp; Loss'!E4&gt;0,'Balance Sheet'!E17/('Profit &amp; Loss'!E4/365),0)</f>
        <v>107.68725372280144</v>
      </c>
      <c r="F20" s="120">
        <f>IF('Profit &amp; Loss'!F4&gt;0,'Balance Sheet'!F17/('Profit &amp; Loss'!F4/365),0)</f>
        <v>111.5648194052758</v>
      </c>
      <c r="G20" s="120">
        <f>IF('Profit &amp; Loss'!G4&gt;0,'Balance Sheet'!G17/('Profit &amp; Loss'!G4/365),0)</f>
        <v>104.72029234868671</v>
      </c>
      <c r="H20" s="120">
        <f>IF('Profit &amp; Loss'!H4&gt;0,'Balance Sheet'!H17/('Profit &amp; Loss'!H4/365),0)</f>
        <v>98.734168523983726</v>
      </c>
      <c r="I20" s="120">
        <f>IF('Profit &amp; Loss'!I4&gt;0,'Balance Sheet'!I17/('Profit &amp; Loss'!I4/365),0)</f>
        <v>99.002091348249579</v>
      </c>
      <c r="J20" s="120">
        <f>IF('Profit &amp; Loss'!J4&gt;0,'Balance Sheet'!J17/('Profit &amp; Loss'!J4/365),0)</f>
        <v>95.134817325378123</v>
      </c>
      <c r="K20" s="120">
        <f>IF('Profit &amp; Loss'!K4&gt;0,'Balance Sheet'!K17/('Profit &amp; Loss'!K4/365),0)</f>
        <v>84.665706123181209</v>
      </c>
    </row>
    <row r="21" spans="1:11" x14ac:dyDescent="0.45">
      <c r="A21" t="s">
        <v>47</v>
      </c>
      <c r="B21" s="120">
        <f>IF('Balance Sheet'!B18&gt;0,'Profit &amp; Loss'!B4/'Balance Sheet'!B18,0)</f>
        <v>4.8327555270916145</v>
      </c>
      <c r="C21" s="120">
        <f>IF('Balance Sheet'!C18&gt;0,'Profit &amp; Loss'!C4/'Balance Sheet'!C18,0)</f>
        <v>4.4354772410915304</v>
      </c>
      <c r="D21" s="120">
        <f>IF('Balance Sheet'!D18&gt;0,'Profit &amp; Loss'!D4/'Balance Sheet'!D18,0)</f>
        <v>4.6215890680408203</v>
      </c>
      <c r="E21" s="120">
        <f>IF('Balance Sheet'!E18&gt;0,'Profit &amp; Loss'!E4/'Balance Sheet'!E18,0)</f>
        <v>3.8498261075560736</v>
      </c>
      <c r="F21" s="120">
        <f>IF('Balance Sheet'!F18&gt;0,'Profit &amp; Loss'!F4/'Balance Sheet'!F18,0)</f>
        <v>3.6857701896276684</v>
      </c>
      <c r="G21" s="120">
        <f>IF('Balance Sheet'!G18&gt;0,'Profit &amp; Loss'!G4/'Balance Sheet'!G18,0)</f>
        <v>4.1698465648845273</v>
      </c>
      <c r="H21" s="120">
        <f>IF('Balance Sheet'!H18&gt;0,'Profit &amp; Loss'!H4/'Balance Sheet'!H18,0)</f>
        <v>3.723248364458454</v>
      </c>
      <c r="I21" s="120">
        <f>IF('Balance Sheet'!I18&gt;0,'Profit &amp; Loss'!I4/'Balance Sheet'!I18,0)</f>
        <v>4.3309722099285954</v>
      </c>
      <c r="J21" s="120">
        <f>IF('Balance Sheet'!J18&gt;0,'Profit &amp; Loss'!J4/'Balance Sheet'!J18,0)</f>
        <v>4.1744003880890892</v>
      </c>
      <c r="K21" s="120">
        <f>IF('Balance Sheet'!K18&gt;0,'Profit &amp; Loss'!K4/'Balance Sheet'!K18,0)</f>
        <v>4.9144127300677214</v>
      </c>
    </row>
    <row r="23" spans="1:11" s="2" customFormat="1" x14ac:dyDescent="0.45">
      <c r="A23" s="2" t="s">
        <v>50</v>
      </c>
      <c r="B23" s="132">
        <f>IF(SUM('Balance Sheet'!B4:B5)&gt;0,'Profit &amp; Loss'!B12/SUM('Balance Sheet'!B4:B5),"")</f>
        <v>0.17705609115187598</v>
      </c>
      <c r="C23" s="132">
        <f>IF(SUM('Balance Sheet'!C4:C5)&gt;0,'Profit &amp; Loss'!C12/SUM('Balance Sheet'!C4:C5),"")</f>
        <v>0.13782195880964682</v>
      </c>
      <c r="D23" s="132">
        <f>IF(SUM('Balance Sheet'!D4:D5)&gt;0,'Profit &amp; Loss'!D12/SUM('Balance Sheet'!D4:D5),"")</f>
        <v>0.19007731237754052</v>
      </c>
      <c r="E23" s="132">
        <f>IF(SUM('Balance Sheet'!E4:E5)&gt;0,'Profit &amp; Loss'!E12/SUM('Balance Sheet'!E4:E5),"")</f>
        <v>5.4697864572607842E-2</v>
      </c>
      <c r="F23" s="132">
        <f>IF(SUM('Balance Sheet'!F4:F5)&gt;0,'Profit &amp; Loss'!F12/SUM('Balance Sheet'!F4:F5),"")</f>
        <v>6.4368039264837223E-2</v>
      </c>
      <c r="G23" s="132">
        <f>IF(SUM('Balance Sheet'!G4:G5)&gt;0,'Profit &amp; Loss'!G12/SUM('Balance Sheet'!G4:G5),"")</f>
        <v>8.3176311652963866E-2</v>
      </c>
      <c r="H23" s="132">
        <f>IF(SUM('Balance Sheet'!H4:H5)&gt;0,'Profit &amp; Loss'!H12/SUM('Balance Sheet'!H4:H5),"")</f>
        <v>6.2497767029867785E-2</v>
      </c>
      <c r="I23" s="132">
        <f>IF(SUM('Balance Sheet'!I4:I5)&gt;0,'Profit &amp; Loss'!I12/SUM('Balance Sheet'!I4:I5),"")</f>
        <v>6.8165941211241865E-2</v>
      </c>
      <c r="J23" s="132">
        <f>IF(SUM('Balance Sheet'!J4:J5)&gt;0,'Profit &amp; Loss'!J12/SUM('Balance Sheet'!J4:J5),"")</f>
        <v>0.15132641300050112</v>
      </c>
      <c r="K23" s="132">
        <f>IF(SUM('Balance Sheet'!K4:K5)&gt;0,'Profit &amp; Loss'!K12/SUM('Balance Sheet'!K4:K5),"")</f>
        <v>0.15041414867258027</v>
      </c>
    </row>
    <row r="24" spans="1:11" s="2" customFormat="1" x14ac:dyDescent="0.45">
      <c r="A24" s="2" t="s">
        <v>51</v>
      </c>
      <c r="B24" s="7"/>
      <c r="C24" s="129">
        <f>IF((B4+B5+B6+C4+C5+C6)&gt;0,('Profit &amp; Loss'!C10+'Profit &amp; Loss'!C9)*2/(B4+B5+B6+C4+C5+C6),"")</f>
        <v>0.18640255912753387</v>
      </c>
      <c r="D24" s="129">
        <f>IF((C4+C5+C6+D4+D5+D6)&gt;0,('Profit &amp; Loss'!D10+'Profit &amp; Loss'!D9)*2/(C4+C5+C6+D4+D5+D6),"")</f>
        <v>0.21484018088319498</v>
      </c>
      <c r="E24" s="129">
        <f>IF((D4+D5+D6+E4+E5+E6)&gt;0,('Profit &amp; Loss'!E10+'Profit &amp; Loss'!E9)*2/(D4+D5+D6+E4+E5+E6),"")</f>
        <v>8.3986877490390438E-2</v>
      </c>
      <c r="F24" s="129">
        <f>IF((E4+E5+E6+F4+F5+F6)&gt;0,('Profit &amp; Loss'!F10+'Profit &amp; Loss'!F9)*2/(E4+E5+E6+F4+F5+F6),"")</f>
        <v>8.6768605127267376E-2</v>
      </c>
      <c r="G24" s="129">
        <f>IF((F4+F5+F6+G4+G5+G6)&gt;0,('Profit &amp; Loss'!G10+'Profit &amp; Loss'!G9)*2/(F4+F5+F6+G4+G5+G6),"")</f>
        <v>0.10070486314337777</v>
      </c>
      <c r="H24" s="129">
        <f>IF((G4+G5+G6+H4+H5+H6)&gt;0,('Profit &amp; Loss'!H10+'Profit &amp; Loss'!H9)*2/(G4+G5+G6+H4+H5+H6),"")</f>
        <v>5.6602453510798553E-2</v>
      </c>
      <c r="I24" s="129">
        <f>IF((H4+H5+H6+I4+I5+I6)&gt;0,('Profit &amp; Loss'!I10+'Profit &amp; Loss'!I9)*2/(H4+H5+H6+I4+I5+I6),"")</f>
        <v>9.2513033849869641E-2</v>
      </c>
      <c r="J24" s="129">
        <f>IF((I4+I5+I6+J4+J5+J6)&gt;0,('Profit &amp; Loss'!J10+'Profit &amp; Loss'!J9)*2/(I4+I5+I6+J4+J5+J6),"")</f>
        <v>0.17080038226904187</v>
      </c>
      <c r="K24" s="129">
        <f>IF((J4+J5+J6+K4+K5+K6)&gt;0,('Profit &amp; Loss'!K10+'Profit &amp; Loss'!K9)*2/(J4+J5+J6+K4+K5+K6),"")</f>
        <v>0.1744910537662934</v>
      </c>
    </row>
  </sheetData>
  <hyperlinks>
    <hyperlink ref="J1" r:id="rId1" xr:uid="{00000000-0004-0000-0200-000000000000}"/>
  </hyperlinks>
  <printOptions gridLines="1"/>
  <pageMargins left="0.7" right="0.7" top="0.75" bottom="0.75" header="0.3" footer="0.3"/>
  <pageSetup paperSize="9" orientation="landscape" horizontalDpi="0" verticalDpi="0" r:id="rId2"/>
  <customProperties>
    <customPr name="Smart" r:id="rId3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pageSetUpPr fitToPage="1"/>
  </sheetPr>
  <dimension ref="A1:K8"/>
  <sheetViews>
    <sheetView zoomScale="150" zoomScaleNormal="150" zoomScalePageLayoutView="150" workbookViewId="0">
      <pane xSplit="1" ySplit="3" topLeftCell="E4" activePane="bottomRight" state="frozen"/>
      <selection pane="topRight" activeCell="B1" sqref="B1"/>
      <selection pane="bottomLeft" activeCell="A4" sqref="A4"/>
      <selection pane="bottomRight" activeCell="E16" sqref="E16"/>
    </sheetView>
  </sheetViews>
  <sheetFormatPr defaultColWidth="8.796875" defaultRowHeight="14.25" x14ac:dyDescent="0.45"/>
  <cols>
    <col min="1" max="1" width="26.796875" bestFit="1" customWidth="1"/>
    <col min="2" max="6" width="13.46484375" customWidth="1"/>
    <col min="7" max="11" width="13.46484375" bestFit="1" customWidth="1"/>
  </cols>
  <sheetData>
    <row r="1" spans="1:11" s="2" customFormat="1" x14ac:dyDescent="0.45">
      <c r="A1" s="114" t="str">
        <f>'Balance Sheet'!A1</f>
        <v>SUN PHARMACEUTICALS INDUSTRIES LTD</v>
      </c>
      <c r="E1" s="122" t="str">
        <f>UPDATE</f>
        <v/>
      </c>
      <c r="F1"/>
      <c r="J1" s="128" t="s">
        <v>1</v>
      </c>
    </row>
    <row r="3" spans="1:11" s="2" customFormat="1" x14ac:dyDescent="0.45">
      <c r="A3" s="8" t="s">
        <v>2</v>
      </c>
      <c r="B3" s="115">
        <f>'Data Sheet'!B81</f>
        <v>42094</v>
      </c>
      <c r="C3" s="115">
        <f>'Data Sheet'!C81</f>
        <v>42460</v>
      </c>
      <c r="D3" s="115">
        <f>'Data Sheet'!D81</f>
        <v>42825</v>
      </c>
      <c r="E3" s="115">
        <f>'Data Sheet'!E81</f>
        <v>43190</v>
      </c>
      <c r="F3" s="115">
        <f>'Data Sheet'!F81</f>
        <v>43555</v>
      </c>
      <c r="G3" s="115">
        <f>'Data Sheet'!G81</f>
        <v>43921</v>
      </c>
      <c r="H3" s="115">
        <f>'Data Sheet'!H81</f>
        <v>44286</v>
      </c>
      <c r="I3" s="115">
        <f>'Data Sheet'!I81</f>
        <v>44651</v>
      </c>
      <c r="J3" s="115">
        <f>'Data Sheet'!J81</f>
        <v>45016</v>
      </c>
      <c r="K3" s="115">
        <f>'Data Sheet'!K81</f>
        <v>45382</v>
      </c>
    </row>
    <row r="4" spans="1:11" s="2" customFormat="1" x14ac:dyDescent="0.45">
      <c r="A4" s="2" t="s">
        <v>32</v>
      </c>
      <c r="B4" s="116">
        <f>'Data Sheet'!B82</f>
        <v>5615.74</v>
      </c>
      <c r="C4" s="116">
        <f>'Data Sheet'!C82</f>
        <v>6685.86</v>
      </c>
      <c r="D4" s="116">
        <f>'Data Sheet'!D82</f>
        <v>7082.21</v>
      </c>
      <c r="E4" s="116">
        <f>'Data Sheet'!E82</f>
        <v>3907.15</v>
      </c>
      <c r="F4" s="116">
        <f>'Data Sheet'!F82</f>
        <v>2196.4499999999998</v>
      </c>
      <c r="G4" s="116">
        <f>'Data Sheet'!G82</f>
        <v>6554.77</v>
      </c>
      <c r="H4" s="116">
        <f>'Data Sheet'!H82</f>
        <v>6170.37</v>
      </c>
      <c r="I4" s="116">
        <f>'Data Sheet'!I82</f>
        <v>8984.5400000000009</v>
      </c>
      <c r="J4" s="116">
        <f>'Data Sheet'!J82</f>
        <v>4959.33</v>
      </c>
      <c r="K4" s="116">
        <f>'Data Sheet'!K82</f>
        <v>12134.98</v>
      </c>
    </row>
    <row r="5" spans="1:11" x14ac:dyDescent="0.45">
      <c r="A5" t="s">
        <v>33</v>
      </c>
      <c r="B5" s="119">
        <f>'Data Sheet'!B83</f>
        <v>-1502.35</v>
      </c>
      <c r="C5" s="119">
        <f>'Data Sheet'!C83</f>
        <v>-3949.13</v>
      </c>
      <c r="D5" s="119">
        <f>'Data Sheet'!D83</f>
        <v>-4186.1499999999996</v>
      </c>
      <c r="E5" s="119">
        <f>'Data Sheet'!E83</f>
        <v>-3103.8</v>
      </c>
      <c r="F5" s="119">
        <f>'Data Sheet'!F83</f>
        <v>-310.08</v>
      </c>
      <c r="G5" s="119">
        <f>'Data Sheet'!G83</f>
        <v>-2225.3200000000002</v>
      </c>
      <c r="H5" s="119">
        <f>'Data Sheet'!H83</f>
        <v>406.53</v>
      </c>
      <c r="I5" s="119">
        <f>'Data Sheet'!I83</f>
        <v>-5555.86</v>
      </c>
      <c r="J5" s="119">
        <f>'Data Sheet'!J83</f>
        <v>-7219.92</v>
      </c>
      <c r="K5" s="119">
        <f>'Data Sheet'!K83</f>
        <v>-762.9</v>
      </c>
    </row>
    <row r="6" spans="1:11" x14ac:dyDescent="0.45">
      <c r="A6" t="s">
        <v>34</v>
      </c>
      <c r="B6" s="119">
        <f>'Data Sheet'!B84</f>
        <v>-1186.53</v>
      </c>
      <c r="C6" s="119">
        <f>'Data Sheet'!C84</f>
        <v>-1888.53</v>
      </c>
      <c r="D6" s="119">
        <f>'Data Sheet'!D84</f>
        <v>-2285.39</v>
      </c>
      <c r="E6" s="119">
        <f>'Data Sheet'!E84</f>
        <v>-1539.26</v>
      </c>
      <c r="F6" s="119">
        <f>'Data Sheet'!F84</f>
        <v>-2730.52</v>
      </c>
      <c r="G6" s="119">
        <f>'Data Sheet'!G84</f>
        <v>-5715.14</v>
      </c>
      <c r="H6" s="119">
        <f>'Data Sheet'!H84</f>
        <v>-5980.48</v>
      </c>
      <c r="I6" s="119">
        <f>'Data Sheet'!I84</f>
        <v>-5193.46</v>
      </c>
      <c r="J6" s="119">
        <f>'Data Sheet'!J84</f>
        <v>2376.0700000000002</v>
      </c>
      <c r="K6" s="119">
        <f>'Data Sheet'!K84</f>
        <v>-6710.16</v>
      </c>
    </row>
    <row r="7" spans="1:11" s="2" customFormat="1" x14ac:dyDescent="0.45">
      <c r="A7" s="2" t="s">
        <v>35</v>
      </c>
      <c r="B7" s="116">
        <f>'Data Sheet'!B85</f>
        <v>2926.86</v>
      </c>
      <c r="C7" s="116">
        <f>'Data Sheet'!C85</f>
        <v>848.2</v>
      </c>
      <c r="D7" s="116">
        <f>'Data Sheet'!D85</f>
        <v>610.66999999999996</v>
      </c>
      <c r="E7" s="116">
        <f>'Data Sheet'!E85</f>
        <v>-735.91</v>
      </c>
      <c r="F7" s="116">
        <f>'Data Sheet'!F85</f>
        <v>-844.15</v>
      </c>
      <c r="G7" s="116">
        <f>'Data Sheet'!G85</f>
        <v>-1385.69</v>
      </c>
      <c r="H7" s="116">
        <f>'Data Sheet'!H85</f>
        <v>596.41999999999996</v>
      </c>
      <c r="I7" s="116">
        <f>'Data Sheet'!I85</f>
        <v>-1764.78</v>
      </c>
      <c r="J7" s="116">
        <f>'Data Sheet'!J85</f>
        <v>115.48</v>
      </c>
      <c r="K7" s="116">
        <f>'Data Sheet'!K85</f>
        <v>4661.92</v>
      </c>
    </row>
    <row r="8" spans="1:11" x14ac:dyDescent="0.45">
      <c r="B8" s="6"/>
      <c r="C8" s="6"/>
      <c r="D8" s="6"/>
      <c r="E8" s="6"/>
      <c r="F8" s="6"/>
      <c r="G8" s="6"/>
      <c r="H8" s="6"/>
      <c r="I8" s="6"/>
      <c r="J8" s="6"/>
      <c r="K8" s="6"/>
    </row>
  </sheetData>
  <hyperlinks>
    <hyperlink ref="J1" r:id="rId1" xr:uid="{00000000-0004-0000-0300-000000000000}"/>
  </hyperlinks>
  <printOptions gridLines="1"/>
  <pageMargins left="0.7" right="0.7" top="0.75" bottom="0.75" header="0.3" footer="0.3"/>
  <pageSetup paperSize="9" orientation="landscape" horizontalDpi="0" verticalDpi="0" r:id="rId2"/>
  <customProperties>
    <customPr name="Smart" r:id="rId3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2"/>
  <sheetViews>
    <sheetView zoomScale="120" zoomScaleNormal="120" zoomScalePageLayoutView="120" workbookViewId="0">
      <pane xSplit="1" ySplit="1" topLeftCell="B69" activePane="bottomRight" state="frozen"/>
      <selection activeCell="C4" sqref="C4"/>
      <selection pane="topRight" activeCell="C4" sqref="C4"/>
      <selection pane="bottomLeft" activeCell="C4" sqref="C4"/>
      <selection pane="bottomRight" activeCell="D6" sqref="D6"/>
    </sheetView>
  </sheetViews>
  <sheetFormatPr defaultColWidth="8.796875" defaultRowHeight="14.25" x14ac:dyDescent="0.45"/>
  <cols>
    <col min="1" max="1" width="27.6640625" style="4" bestFit="1" customWidth="1"/>
    <col min="2" max="11" width="13.46484375" style="4" bestFit="1" customWidth="1"/>
    <col min="12" max="16384" width="8.796875" style="4"/>
  </cols>
  <sheetData>
    <row r="1" spans="1:11" s="1" customFormat="1" x14ac:dyDescent="0.45">
      <c r="A1" s="1" t="s">
        <v>0</v>
      </c>
      <c r="B1" s="1" t="s">
        <v>54</v>
      </c>
      <c r="E1" s="282" t="str">
        <f>IF(B2&lt;&gt;B3, "A NEW VERSION OF THE WORKSHEET IS AVAILABLE", "")</f>
        <v/>
      </c>
      <c r="F1" s="282"/>
      <c r="G1" s="282"/>
      <c r="H1" s="282"/>
      <c r="I1" s="282"/>
      <c r="J1" s="282"/>
      <c r="K1" s="282"/>
    </row>
    <row r="2" spans="1:11" x14ac:dyDescent="0.45">
      <c r="A2" s="1" t="s">
        <v>52</v>
      </c>
      <c r="B2" s="120">
        <v>2.1</v>
      </c>
      <c r="E2" s="283" t="s">
        <v>36</v>
      </c>
      <c r="F2" s="283"/>
      <c r="G2" s="283"/>
      <c r="H2" s="283"/>
      <c r="I2" s="283"/>
      <c r="J2" s="283"/>
      <c r="K2" s="283"/>
    </row>
    <row r="3" spans="1:11" x14ac:dyDescent="0.45">
      <c r="A3" s="1" t="s">
        <v>53</v>
      </c>
      <c r="B3" s="120">
        <v>2.1</v>
      </c>
    </row>
    <row r="4" spans="1:11" x14ac:dyDescent="0.45">
      <c r="A4" s="1"/>
    </row>
    <row r="5" spans="1:11" x14ac:dyDescent="0.45">
      <c r="A5" s="1" t="s">
        <v>55</v>
      </c>
    </row>
    <row r="6" spans="1:11" x14ac:dyDescent="0.45">
      <c r="A6" s="4" t="s">
        <v>42</v>
      </c>
      <c r="B6" s="120">
        <f>IF(B9&gt;0, B9/B8, 0)</f>
        <v>239.9334959305034</v>
      </c>
    </row>
    <row r="7" spans="1:11" x14ac:dyDescent="0.45">
      <c r="A7" s="4" t="s">
        <v>31</v>
      </c>
      <c r="B7" s="133">
        <v>1</v>
      </c>
    </row>
    <row r="8" spans="1:11" x14ac:dyDescent="0.45">
      <c r="A8" s="4" t="s">
        <v>43</v>
      </c>
      <c r="B8" s="133">
        <v>1824.55</v>
      </c>
    </row>
    <row r="9" spans="1:11" x14ac:dyDescent="0.45">
      <c r="A9" s="4" t="s">
        <v>70</v>
      </c>
      <c r="B9" s="133">
        <v>437770.66</v>
      </c>
    </row>
    <row r="15" spans="1:11" x14ac:dyDescent="0.45">
      <c r="A15" s="1" t="s">
        <v>37</v>
      </c>
    </row>
    <row r="16" spans="1:11" s="13" customFormat="1" x14ac:dyDescent="0.45">
      <c r="A16" s="12" t="s">
        <v>38</v>
      </c>
      <c r="B16" s="9">
        <v>42094</v>
      </c>
      <c r="C16" s="9">
        <v>42460</v>
      </c>
      <c r="D16" s="9">
        <v>42825</v>
      </c>
      <c r="E16" s="9">
        <v>43190</v>
      </c>
      <c r="F16" s="9">
        <v>43555</v>
      </c>
      <c r="G16" s="9">
        <v>43921</v>
      </c>
      <c r="H16" s="9">
        <v>44286</v>
      </c>
      <c r="I16" s="9">
        <v>44651</v>
      </c>
      <c r="J16" s="9">
        <v>45016</v>
      </c>
      <c r="K16" s="9">
        <v>45382</v>
      </c>
    </row>
    <row r="17" spans="1:11" s="6" customFormat="1" x14ac:dyDescent="0.45">
      <c r="A17" s="6" t="s">
        <v>6</v>
      </c>
      <c r="B17" s="133">
        <v>27392.01</v>
      </c>
      <c r="C17" s="133">
        <v>28487.03</v>
      </c>
      <c r="D17" s="133">
        <v>31578.44</v>
      </c>
      <c r="E17" s="133">
        <v>26489.46</v>
      </c>
      <c r="F17" s="133">
        <v>29065.91</v>
      </c>
      <c r="G17" s="133">
        <v>32837.5</v>
      </c>
      <c r="H17" s="133">
        <v>33498.14</v>
      </c>
      <c r="I17" s="133">
        <v>38654.49</v>
      </c>
      <c r="J17" s="133">
        <v>43885.68</v>
      </c>
      <c r="K17" s="133">
        <v>48496.85</v>
      </c>
    </row>
    <row r="18" spans="1:11" s="6" customFormat="1" x14ac:dyDescent="0.45">
      <c r="A18" s="4" t="s">
        <v>71</v>
      </c>
      <c r="B18" s="133">
        <v>6624.68</v>
      </c>
      <c r="C18" s="133">
        <v>6724.15</v>
      </c>
      <c r="D18" s="133">
        <v>8402.3700000000008</v>
      </c>
      <c r="E18" s="133">
        <v>7193.98</v>
      </c>
      <c r="F18" s="133">
        <v>8302.08</v>
      </c>
      <c r="G18" s="133">
        <v>8929.6</v>
      </c>
      <c r="H18" s="133">
        <v>9328.2999999999993</v>
      </c>
      <c r="I18" s="133">
        <v>10459.15</v>
      </c>
      <c r="J18" s="133">
        <v>11349.07</v>
      </c>
      <c r="K18" s="133">
        <v>10370.48</v>
      </c>
    </row>
    <row r="19" spans="1:11" s="6" customFormat="1" x14ac:dyDescent="0.45">
      <c r="A19" s="4" t="s">
        <v>72</v>
      </c>
      <c r="B19" s="133">
        <v>-114.49</v>
      </c>
      <c r="C19" s="133">
        <v>393.77</v>
      </c>
      <c r="D19" s="133">
        <v>271.63</v>
      </c>
      <c r="E19" s="133">
        <v>-230.7</v>
      </c>
      <c r="F19" s="133">
        <v>433.11</v>
      </c>
      <c r="G19" s="133">
        <v>-300.85000000000002</v>
      </c>
      <c r="H19" s="133">
        <v>638.22</v>
      </c>
      <c r="I19" s="133">
        <v>107.61</v>
      </c>
      <c r="J19" s="133">
        <v>686.91</v>
      </c>
      <c r="K19" s="133">
        <v>-292.13</v>
      </c>
    </row>
    <row r="20" spans="1:11" s="6" customFormat="1" x14ac:dyDescent="0.45">
      <c r="A20" s="4" t="s">
        <v>73</v>
      </c>
      <c r="B20" s="133">
        <v>560.77</v>
      </c>
      <c r="C20" s="133">
        <v>545.44000000000005</v>
      </c>
      <c r="D20" s="133">
        <v>525.09</v>
      </c>
      <c r="E20" s="133">
        <v>559.97</v>
      </c>
      <c r="F20" s="133">
        <v>613.6</v>
      </c>
      <c r="G20" s="133">
        <v>621.89</v>
      </c>
      <c r="H20" s="133">
        <v>627.09</v>
      </c>
      <c r="I20" s="133">
        <v>702.78</v>
      </c>
      <c r="J20" s="133">
        <v>830.05</v>
      </c>
      <c r="K20" s="133">
        <v>760.78</v>
      </c>
    </row>
    <row r="21" spans="1:11" s="6" customFormat="1" x14ac:dyDescent="0.45">
      <c r="A21" s="4" t="s">
        <v>74</v>
      </c>
      <c r="B21" s="133">
        <v>1427.56</v>
      </c>
      <c r="C21" s="133">
        <v>1808.55</v>
      </c>
      <c r="D21" s="133">
        <v>1973.46</v>
      </c>
      <c r="E21" s="133">
        <v>1828.35</v>
      </c>
      <c r="F21" s="133">
        <v>1884.71</v>
      </c>
      <c r="G21" s="133">
        <v>1690</v>
      </c>
      <c r="H21" s="133">
        <v>1723.78</v>
      </c>
      <c r="I21" s="133">
        <v>1880.71</v>
      </c>
      <c r="J21" s="133">
        <v>1936.77</v>
      </c>
      <c r="K21" s="133">
        <v>2186.62</v>
      </c>
    </row>
    <row r="22" spans="1:11" s="6" customFormat="1" x14ac:dyDescent="0.45">
      <c r="A22" s="4" t="s">
        <v>75</v>
      </c>
      <c r="B22" s="133">
        <v>4502.6400000000003</v>
      </c>
      <c r="C22" s="133">
        <v>4772.3100000000004</v>
      </c>
      <c r="D22" s="133">
        <v>4902.3</v>
      </c>
      <c r="E22" s="133">
        <v>5367.05</v>
      </c>
      <c r="F22" s="133">
        <v>5967.09</v>
      </c>
      <c r="G22" s="133">
        <v>6362.35</v>
      </c>
      <c r="H22" s="133">
        <v>6862.23</v>
      </c>
      <c r="I22" s="133">
        <v>7300.83</v>
      </c>
      <c r="J22" s="133">
        <v>8296.0300000000007</v>
      </c>
      <c r="K22" s="133">
        <v>9429.06</v>
      </c>
    </row>
    <row r="23" spans="1:11" s="6" customFormat="1" x14ac:dyDescent="0.45">
      <c r="A23" s="4" t="s">
        <v>76</v>
      </c>
      <c r="B23" s="133">
        <v>5131.37</v>
      </c>
      <c r="C23" s="133">
        <v>5219.2</v>
      </c>
      <c r="D23" s="133">
        <v>5224.6099999999997</v>
      </c>
      <c r="E23" s="133">
        <v>4727</v>
      </c>
      <c r="F23" s="133">
        <v>5350.33</v>
      </c>
      <c r="G23" s="133">
        <v>6995.37</v>
      </c>
      <c r="H23" s="133">
        <v>6283.41</v>
      </c>
      <c r="I23" s="133">
        <v>7366.88</v>
      </c>
      <c r="J23" s="133">
        <v>9482.36</v>
      </c>
      <c r="K23" s="133">
        <v>11033.19</v>
      </c>
    </row>
    <row r="24" spans="1:11" s="6" customFormat="1" x14ac:dyDescent="0.45">
      <c r="A24" s="4" t="s">
        <v>77</v>
      </c>
      <c r="B24" s="133">
        <v>1136.68</v>
      </c>
      <c r="C24" s="133">
        <v>1637.25</v>
      </c>
      <c r="D24" s="133">
        <v>720.22</v>
      </c>
      <c r="E24" s="133">
        <v>950.99</v>
      </c>
      <c r="F24" s="133">
        <v>1004.23</v>
      </c>
      <c r="G24" s="133">
        <v>954.6</v>
      </c>
      <c r="H24" s="133">
        <v>841.59</v>
      </c>
      <c r="I24" s="133">
        <v>794.18</v>
      </c>
      <c r="J24" s="133">
        <v>1027.8699999999999</v>
      </c>
      <c r="K24" s="133">
        <v>1406.82</v>
      </c>
    </row>
    <row r="25" spans="1:11" s="6" customFormat="1" x14ac:dyDescent="0.45">
      <c r="A25" s="6" t="s">
        <v>9</v>
      </c>
      <c r="B25" s="133">
        <v>282.79000000000002</v>
      </c>
      <c r="C25" s="133">
        <v>-42.5</v>
      </c>
      <c r="D25" s="133">
        <v>610.4</v>
      </c>
      <c r="E25" s="133">
        <v>-135.03</v>
      </c>
      <c r="F25" s="133">
        <v>-258.27999999999997</v>
      </c>
      <c r="G25" s="133">
        <v>382.26</v>
      </c>
      <c r="H25" s="133">
        <v>-3449.21</v>
      </c>
      <c r="I25" s="133">
        <v>-3505.16</v>
      </c>
      <c r="J25" s="133">
        <v>459.42</v>
      </c>
      <c r="K25" s="133">
        <v>865.23</v>
      </c>
    </row>
    <row r="26" spans="1:11" s="6" customFormat="1" x14ac:dyDescent="0.45">
      <c r="A26" s="6" t="s">
        <v>10</v>
      </c>
      <c r="B26" s="133">
        <v>1194.72</v>
      </c>
      <c r="C26" s="133">
        <v>1037.53</v>
      </c>
      <c r="D26" s="133">
        <v>1264.75</v>
      </c>
      <c r="E26" s="133">
        <v>1499.84</v>
      </c>
      <c r="F26" s="133">
        <v>1753.25</v>
      </c>
      <c r="G26" s="133">
        <v>2052.7800000000002</v>
      </c>
      <c r="H26" s="133">
        <v>2079.9499999999998</v>
      </c>
      <c r="I26" s="133">
        <v>2143.7399999999998</v>
      </c>
      <c r="J26" s="133">
        <v>2529.4299999999998</v>
      </c>
      <c r="K26" s="133">
        <v>2556.64</v>
      </c>
    </row>
    <row r="27" spans="1:11" s="6" customFormat="1" x14ac:dyDescent="0.45">
      <c r="A27" s="6" t="s">
        <v>11</v>
      </c>
      <c r="B27" s="133">
        <v>578.99</v>
      </c>
      <c r="C27" s="133">
        <v>523.24</v>
      </c>
      <c r="D27" s="133">
        <v>399.8</v>
      </c>
      <c r="E27" s="133">
        <v>517.57000000000005</v>
      </c>
      <c r="F27" s="133">
        <v>555.25</v>
      </c>
      <c r="G27" s="133">
        <v>302.73</v>
      </c>
      <c r="H27" s="133">
        <v>141.43</v>
      </c>
      <c r="I27" s="133">
        <v>127.35</v>
      </c>
      <c r="J27" s="133">
        <v>172</v>
      </c>
      <c r="K27" s="133">
        <v>238.47</v>
      </c>
    </row>
    <row r="28" spans="1:11" s="6" customFormat="1" x14ac:dyDescent="0.45">
      <c r="A28" s="6" t="s">
        <v>12</v>
      </c>
      <c r="B28" s="133">
        <v>6402.9</v>
      </c>
      <c r="C28" s="133">
        <v>6570.63</v>
      </c>
      <c r="D28" s="133">
        <v>9047.8700000000008</v>
      </c>
      <c r="E28" s="133">
        <v>3478.98</v>
      </c>
      <c r="F28" s="133">
        <v>3810.2</v>
      </c>
      <c r="G28" s="133">
        <v>5009.59</v>
      </c>
      <c r="H28" s="133">
        <v>2799.37</v>
      </c>
      <c r="I28" s="133">
        <v>4481.32</v>
      </c>
      <c r="J28" s="133">
        <v>9408.43</v>
      </c>
      <c r="K28" s="133">
        <v>11087.89</v>
      </c>
    </row>
    <row r="29" spans="1:11" s="6" customFormat="1" x14ac:dyDescent="0.45">
      <c r="A29" s="6" t="s">
        <v>13</v>
      </c>
      <c r="B29" s="133">
        <v>914.69</v>
      </c>
      <c r="C29" s="133">
        <v>913.77</v>
      </c>
      <c r="D29" s="133">
        <v>1211.57</v>
      </c>
      <c r="E29" s="133">
        <v>911.04</v>
      </c>
      <c r="F29" s="133">
        <v>600.88</v>
      </c>
      <c r="G29" s="133">
        <v>822.8</v>
      </c>
      <c r="H29" s="133">
        <v>514.69000000000005</v>
      </c>
      <c r="I29" s="133">
        <v>1075.5</v>
      </c>
      <c r="J29" s="133">
        <v>847.59</v>
      </c>
      <c r="K29" s="133">
        <v>1439.45</v>
      </c>
    </row>
    <row r="30" spans="1:11" s="6" customFormat="1" x14ac:dyDescent="0.45">
      <c r="A30" s="6" t="s">
        <v>14</v>
      </c>
      <c r="B30" s="133">
        <v>4539.38</v>
      </c>
      <c r="C30" s="133">
        <v>4545.71</v>
      </c>
      <c r="D30" s="133">
        <v>6964.37</v>
      </c>
      <c r="E30" s="133">
        <v>2095.6999999999998</v>
      </c>
      <c r="F30" s="133">
        <v>2665.42</v>
      </c>
      <c r="G30" s="133">
        <v>3764.93</v>
      </c>
      <c r="H30" s="133">
        <v>2903.82</v>
      </c>
      <c r="I30" s="133">
        <v>3272.73</v>
      </c>
      <c r="J30" s="133">
        <v>8473.58</v>
      </c>
      <c r="K30" s="133">
        <v>9576.3799999999992</v>
      </c>
    </row>
    <row r="31" spans="1:11" s="6" customFormat="1" x14ac:dyDescent="0.45">
      <c r="A31" s="6" t="s">
        <v>61</v>
      </c>
      <c r="B31" s="133">
        <v>621.36</v>
      </c>
      <c r="C31" s="133">
        <v>240.66</v>
      </c>
      <c r="D31" s="133">
        <v>839.76</v>
      </c>
      <c r="E31" s="133">
        <v>479.86</v>
      </c>
      <c r="F31" s="133">
        <v>659.81</v>
      </c>
      <c r="G31" s="133">
        <v>959.72</v>
      </c>
      <c r="H31" s="133">
        <v>1799.48</v>
      </c>
      <c r="I31" s="133">
        <v>2399.3000000000002</v>
      </c>
      <c r="J31" s="133">
        <v>2759.2</v>
      </c>
      <c r="K31" s="133">
        <v>3239.06</v>
      </c>
    </row>
    <row r="32" spans="1:11" s="6" customFormat="1" x14ac:dyDescent="0.45"/>
    <row r="33" spans="1:11" x14ac:dyDescent="0.45">
      <c r="A33" s="6"/>
    </row>
    <row r="34" spans="1:11" x14ac:dyDescent="0.45">
      <c r="A34" s="6"/>
    </row>
    <row r="35" spans="1:11" x14ac:dyDescent="0.45">
      <c r="A35" s="6"/>
    </row>
    <row r="36" spans="1:11" x14ac:dyDescent="0.45">
      <c r="A36" s="6"/>
    </row>
    <row r="37" spans="1:11" x14ac:dyDescent="0.45">
      <c r="A37" s="6"/>
    </row>
    <row r="38" spans="1:11" x14ac:dyDescent="0.45">
      <c r="A38" s="6"/>
    </row>
    <row r="39" spans="1:11" x14ac:dyDescent="0.45">
      <c r="A39" s="6"/>
    </row>
    <row r="40" spans="1:11" x14ac:dyDescent="0.45">
      <c r="A40" s="1" t="s">
        <v>39</v>
      </c>
    </row>
    <row r="41" spans="1:11" s="13" customFormat="1" x14ac:dyDescent="0.45">
      <c r="A41" s="12" t="s">
        <v>38</v>
      </c>
      <c r="B41" s="9">
        <v>44651</v>
      </c>
      <c r="C41" s="9">
        <v>44742</v>
      </c>
      <c r="D41" s="9">
        <v>44834</v>
      </c>
      <c r="E41" s="9">
        <v>44926</v>
      </c>
      <c r="F41" s="9">
        <v>45016</v>
      </c>
      <c r="G41" s="9">
        <v>45107</v>
      </c>
      <c r="H41" s="9">
        <v>45199</v>
      </c>
      <c r="I41" s="9">
        <v>45291</v>
      </c>
      <c r="J41" s="9">
        <v>45382</v>
      </c>
      <c r="K41" s="9">
        <v>45473</v>
      </c>
    </row>
    <row r="42" spans="1:11" s="6" customFormat="1" x14ac:dyDescent="0.45">
      <c r="A42" s="6" t="s">
        <v>6</v>
      </c>
      <c r="B42" s="133">
        <v>9446.76</v>
      </c>
      <c r="C42" s="133">
        <v>10761.76</v>
      </c>
      <c r="D42" s="133">
        <v>10952.28</v>
      </c>
      <c r="E42" s="133">
        <v>11240.97</v>
      </c>
      <c r="F42" s="133">
        <v>10930.67</v>
      </c>
      <c r="G42" s="133">
        <v>11940.84</v>
      </c>
      <c r="H42" s="133">
        <v>12192.41</v>
      </c>
      <c r="I42" s="133">
        <v>12380.7</v>
      </c>
      <c r="J42" s="133">
        <v>11982.9</v>
      </c>
      <c r="K42" s="133">
        <v>12652.75</v>
      </c>
    </row>
    <row r="43" spans="1:11" s="6" customFormat="1" x14ac:dyDescent="0.45">
      <c r="A43" s="6" t="s">
        <v>7</v>
      </c>
      <c r="B43" s="133">
        <v>7106.39</v>
      </c>
      <c r="C43" s="133">
        <v>7877.37</v>
      </c>
      <c r="D43" s="133">
        <v>7995.73</v>
      </c>
      <c r="E43" s="133">
        <v>8237.25</v>
      </c>
      <c r="F43" s="133">
        <v>8128.54</v>
      </c>
      <c r="G43" s="133">
        <v>8609.07</v>
      </c>
      <c r="H43" s="133">
        <v>9013.0300000000007</v>
      </c>
      <c r="I43" s="133">
        <v>8903.8700000000008</v>
      </c>
      <c r="J43" s="133">
        <v>8947.75</v>
      </c>
      <c r="K43" s="133">
        <v>9045.1299999999992</v>
      </c>
    </row>
    <row r="44" spans="1:11" s="6" customFormat="1" x14ac:dyDescent="0.45">
      <c r="A44" s="6" t="s">
        <v>9</v>
      </c>
      <c r="B44" s="133">
        <v>-3822.16</v>
      </c>
      <c r="C44" s="133">
        <v>2.14</v>
      </c>
      <c r="D44" s="133">
        <v>85.22</v>
      </c>
      <c r="E44" s="133">
        <v>173.88</v>
      </c>
      <c r="F44" s="133">
        <v>201.83</v>
      </c>
      <c r="G44" s="133">
        <v>-118.43</v>
      </c>
      <c r="H44" s="133">
        <v>293.61</v>
      </c>
      <c r="I44" s="133">
        <v>180.39</v>
      </c>
      <c r="J44" s="133">
        <v>504.3</v>
      </c>
      <c r="K44" s="133">
        <v>532.54999999999995</v>
      </c>
    </row>
    <row r="45" spans="1:11" s="6" customFormat="1" x14ac:dyDescent="0.45">
      <c r="A45" s="6" t="s">
        <v>10</v>
      </c>
      <c r="B45" s="133">
        <v>556.47</v>
      </c>
      <c r="C45" s="133">
        <v>588</v>
      </c>
      <c r="D45" s="133">
        <v>609.95000000000005</v>
      </c>
      <c r="E45" s="133">
        <v>659.95</v>
      </c>
      <c r="F45" s="133">
        <v>671.53</v>
      </c>
      <c r="G45" s="133">
        <v>651.32000000000005</v>
      </c>
      <c r="H45" s="133">
        <v>632.82000000000005</v>
      </c>
      <c r="I45" s="133">
        <v>622.14</v>
      </c>
      <c r="J45" s="133">
        <v>650.36</v>
      </c>
      <c r="K45" s="133">
        <v>655.13</v>
      </c>
    </row>
    <row r="46" spans="1:11" s="6" customFormat="1" x14ac:dyDescent="0.45">
      <c r="A46" s="6" t="s">
        <v>11</v>
      </c>
      <c r="B46" s="133">
        <v>37.340000000000003</v>
      </c>
      <c r="C46" s="133">
        <v>13.69</v>
      </c>
      <c r="D46" s="133">
        <v>19.39</v>
      </c>
      <c r="E46" s="133">
        <v>46.18</v>
      </c>
      <c r="F46" s="133">
        <v>92.74</v>
      </c>
      <c r="G46" s="133">
        <v>80.88</v>
      </c>
      <c r="H46" s="133">
        <v>49.29</v>
      </c>
      <c r="I46" s="133">
        <v>34.729999999999997</v>
      </c>
      <c r="J46" s="133">
        <v>73.569999999999993</v>
      </c>
      <c r="K46" s="133">
        <v>61.54</v>
      </c>
    </row>
    <row r="47" spans="1:11" s="6" customFormat="1" x14ac:dyDescent="0.45">
      <c r="A47" s="6" t="s">
        <v>12</v>
      </c>
      <c r="B47" s="133">
        <v>-2075.6</v>
      </c>
      <c r="C47" s="133">
        <v>2284.84</v>
      </c>
      <c r="D47" s="133">
        <v>2412.4299999999998</v>
      </c>
      <c r="E47" s="133">
        <v>2471.4699999999998</v>
      </c>
      <c r="F47" s="133">
        <v>2239.69</v>
      </c>
      <c r="G47" s="133">
        <v>2481.14</v>
      </c>
      <c r="H47" s="133">
        <v>2790.88</v>
      </c>
      <c r="I47" s="133">
        <v>3000.35</v>
      </c>
      <c r="J47" s="133">
        <v>2815.52</v>
      </c>
      <c r="K47" s="133">
        <v>3423.5</v>
      </c>
    </row>
    <row r="48" spans="1:11" s="6" customFormat="1" x14ac:dyDescent="0.45">
      <c r="A48" s="6" t="s">
        <v>13</v>
      </c>
      <c r="B48" s="133">
        <v>146.76</v>
      </c>
      <c r="C48" s="133">
        <v>188.99</v>
      </c>
      <c r="D48" s="133">
        <v>152.26</v>
      </c>
      <c r="E48" s="133">
        <v>283.43</v>
      </c>
      <c r="F48" s="133">
        <v>222.91</v>
      </c>
      <c r="G48" s="133">
        <v>468.1</v>
      </c>
      <c r="H48" s="133">
        <v>390.1</v>
      </c>
      <c r="I48" s="133">
        <v>432.32</v>
      </c>
      <c r="J48" s="133">
        <v>148.93</v>
      </c>
      <c r="K48" s="133">
        <v>552.25</v>
      </c>
    </row>
    <row r="49" spans="1:11" s="6" customFormat="1" x14ac:dyDescent="0.45">
      <c r="A49" s="6" t="s">
        <v>14</v>
      </c>
      <c r="B49" s="133">
        <v>-2277.25</v>
      </c>
      <c r="C49" s="133">
        <v>2060.88</v>
      </c>
      <c r="D49" s="133">
        <v>2262.2199999999998</v>
      </c>
      <c r="E49" s="133">
        <v>2166.0100000000002</v>
      </c>
      <c r="F49" s="133">
        <v>1984.47</v>
      </c>
      <c r="G49" s="133">
        <v>2022.54</v>
      </c>
      <c r="H49" s="133">
        <v>2375.5100000000002</v>
      </c>
      <c r="I49" s="133">
        <v>2523.75</v>
      </c>
      <c r="J49" s="133">
        <v>2654.58</v>
      </c>
      <c r="K49" s="133">
        <v>2835.62</v>
      </c>
    </row>
    <row r="50" spans="1:11" x14ac:dyDescent="0.45">
      <c r="A50" s="6" t="s">
        <v>8</v>
      </c>
      <c r="B50" s="133">
        <v>2340.37</v>
      </c>
      <c r="C50" s="133">
        <v>2884.39</v>
      </c>
      <c r="D50" s="133">
        <v>2956.55</v>
      </c>
      <c r="E50" s="133">
        <v>3003.72</v>
      </c>
      <c r="F50" s="133">
        <v>2802.13</v>
      </c>
      <c r="G50" s="133">
        <v>3331.77</v>
      </c>
      <c r="H50" s="133">
        <v>3179.38</v>
      </c>
      <c r="I50" s="133">
        <v>3476.83</v>
      </c>
      <c r="J50" s="133">
        <v>3035.15</v>
      </c>
      <c r="K50" s="133">
        <v>3607.62</v>
      </c>
    </row>
    <row r="51" spans="1:11" x14ac:dyDescent="0.45">
      <c r="A51" s="6"/>
    </row>
    <row r="52" spans="1:11" x14ac:dyDescent="0.45">
      <c r="A52" s="6"/>
    </row>
    <row r="53" spans="1:11" x14ac:dyDescent="0.45">
      <c r="A53" s="6"/>
    </row>
    <row r="54" spans="1:11" x14ac:dyDescent="0.45">
      <c r="A54" s="6"/>
    </row>
    <row r="55" spans="1:11" x14ac:dyDescent="0.45">
      <c r="A55" s="1" t="s">
        <v>40</v>
      </c>
    </row>
    <row r="56" spans="1:11" s="13" customFormat="1" x14ac:dyDescent="0.45">
      <c r="A56" s="12" t="s">
        <v>38</v>
      </c>
      <c r="B56" s="9">
        <v>42094</v>
      </c>
      <c r="C56" s="9">
        <v>42460</v>
      </c>
      <c r="D56" s="9">
        <v>42825</v>
      </c>
      <c r="E56" s="9">
        <v>43190</v>
      </c>
      <c r="F56" s="9">
        <v>43555</v>
      </c>
      <c r="G56" s="9">
        <v>43921</v>
      </c>
      <c r="H56" s="9">
        <v>44286</v>
      </c>
      <c r="I56" s="9">
        <v>44651</v>
      </c>
      <c r="J56" s="9">
        <v>45016</v>
      </c>
      <c r="K56" s="9">
        <v>45382</v>
      </c>
    </row>
    <row r="57" spans="1:11" x14ac:dyDescent="0.45">
      <c r="A57" s="6" t="s">
        <v>24</v>
      </c>
      <c r="B57" s="133">
        <v>207.12</v>
      </c>
      <c r="C57" s="133">
        <v>240.66</v>
      </c>
      <c r="D57" s="133">
        <v>239.93</v>
      </c>
      <c r="E57" s="133">
        <v>239.93</v>
      </c>
      <c r="F57" s="133">
        <v>239.93</v>
      </c>
      <c r="G57" s="133">
        <v>239.93</v>
      </c>
      <c r="H57" s="133">
        <v>239.93</v>
      </c>
      <c r="I57" s="133">
        <v>239.93</v>
      </c>
      <c r="J57" s="133">
        <v>239.93</v>
      </c>
      <c r="K57" s="133">
        <v>239.93</v>
      </c>
    </row>
    <row r="58" spans="1:11" x14ac:dyDescent="0.45">
      <c r="A58" s="6" t="s">
        <v>25</v>
      </c>
      <c r="B58" s="133">
        <v>25430.97</v>
      </c>
      <c r="C58" s="133">
        <v>32741.82</v>
      </c>
      <c r="D58" s="133">
        <v>36399.74</v>
      </c>
      <c r="E58" s="133">
        <v>38074.18</v>
      </c>
      <c r="F58" s="133">
        <v>41169.129999999997</v>
      </c>
      <c r="G58" s="133">
        <v>45024.52</v>
      </c>
      <c r="H58" s="133">
        <v>46222.85</v>
      </c>
      <c r="I58" s="133">
        <v>47771.29</v>
      </c>
      <c r="J58" s="133">
        <v>55755.45</v>
      </c>
      <c r="K58" s="133">
        <v>63426.82</v>
      </c>
    </row>
    <row r="59" spans="1:11" x14ac:dyDescent="0.45">
      <c r="A59" s="6" t="s">
        <v>62</v>
      </c>
      <c r="B59" s="133">
        <v>8996.11</v>
      </c>
      <c r="C59" s="133">
        <v>8496.76</v>
      </c>
      <c r="D59" s="133">
        <v>9831.77</v>
      </c>
      <c r="E59" s="133">
        <v>10385.27</v>
      </c>
      <c r="F59" s="133">
        <v>10514.36</v>
      </c>
      <c r="G59" s="133">
        <v>8314.8799999999992</v>
      </c>
      <c r="H59" s="133">
        <v>3868.58</v>
      </c>
      <c r="I59" s="133">
        <v>1290.3</v>
      </c>
      <c r="J59" s="133">
        <v>6885.87</v>
      </c>
      <c r="K59" s="133">
        <v>3273.67</v>
      </c>
    </row>
    <row r="60" spans="1:11" x14ac:dyDescent="0.45">
      <c r="A60" s="6" t="s">
        <v>63</v>
      </c>
      <c r="B60" s="133">
        <v>14088.99</v>
      </c>
      <c r="C60" s="133">
        <v>13948.26</v>
      </c>
      <c r="D60" s="133">
        <v>14624.01</v>
      </c>
      <c r="E60" s="133">
        <v>15598.01</v>
      </c>
      <c r="F60" s="133">
        <v>12666.11</v>
      </c>
      <c r="G60" s="133">
        <v>14614.99</v>
      </c>
      <c r="H60" s="133">
        <v>17290.86</v>
      </c>
      <c r="I60" s="133">
        <v>20474.39</v>
      </c>
      <c r="J60" s="133">
        <v>17830.650000000001</v>
      </c>
      <c r="K60" s="133">
        <v>18367.400000000001</v>
      </c>
    </row>
    <row r="61" spans="1:11" s="1" customFormat="1" x14ac:dyDescent="0.45">
      <c r="A61" s="1" t="s">
        <v>26</v>
      </c>
      <c r="B61" s="133">
        <v>48723.19</v>
      </c>
      <c r="C61" s="133">
        <v>55427.5</v>
      </c>
      <c r="D61" s="133">
        <v>61095.45</v>
      </c>
      <c r="E61" s="133">
        <v>64297.39</v>
      </c>
      <c r="F61" s="133">
        <v>64589.53</v>
      </c>
      <c r="G61" s="133">
        <v>68194.320000000007</v>
      </c>
      <c r="H61" s="133">
        <v>67622.22</v>
      </c>
      <c r="I61" s="133">
        <v>69775.91</v>
      </c>
      <c r="J61" s="133">
        <v>80711.899999999994</v>
      </c>
      <c r="K61" s="133">
        <v>85307.82</v>
      </c>
    </row>
    <row r="62" spans="1:11" x14ac:dyDescent="0.45">
      <c r="A62" s="6" t="s">
        <v>27</v>
      </c>
      <c r="B62" s="133">
        <v>12682.47</v>
      </c>
      <c r="C62" s="133">
        <v>15872.25</v>
      </c>
      <c r="D62" s="133">
        <v>17675.169999999998</v>
      </c>
      <c r="E62" s="133">
        <v>18852.650000000001</v>
      </c>
      <c r="F62" s="133">
        <v>21836.54</v>
      </c>
      <c r="G62" s="133">
        <v>22846.91</v>
      </c>
      <c r="H62" s="133">
        <v>21552.98</v>
      </c>
      <c r="I62" s="133">
        <v>22665.16</v>
      </c>
      <c r="J62" s="133">
        <v>24065.439999999999</v>
      </c>
      <c r="K62" s="133">
        <v>23211.38</v>
      </c>
    </row>
    <row r="63" spans="1:11" x14ac:dyDescent="0.45">
      <c r="A63" s="6" t="s">
        <v>28</v>
      </c>
      <c r="B63" s="133">
        <v>2038.61</v>
      </c>
      <c r="C63" s="133">
        <v>2175.4499999999998</v>
      </c>
      <c r="D63" s="133">
        <v>2801.38</v>
      </c>
      <c r="E63" s="133">
        <v>2465.16</v>
      </c>
      <c r="F63" s="133">
        <v>1411.15</v>
      </c>
      <c r="G63" s="133">
        <v>1220.3399999999999</v>
      </c>
      <c r="H63" s="133">
        <v>1566.83</v>
      </c>
      <c r="I63" s="133">
        <v>1286.8</v>
      </c>
      <c r="J63" s="133">
        <v>4973.16</v>
      </c>
      <c r="K63" s="133">
        <v>5353.88</v>
      </c>
    </row>
    <row r="64" spans="1:11" x14ac:dyDescent="0.45">
      <c r="A64" s="6" t="s">
        <v>29</v>
      </c>
      <c r="B64" s="133">
        <v>2716.3</v>
      </c>
      <c r="C64" s="133">
        <v>1829.88</v>
      </c>
      <c r="D64" s="133">
        <v>1191.8800000000001</v>
      </c>
      <c r="E64" s="133">
        <v>7142.87</v>
      </c>
      <c r="F64" s="133">
        <v>7902.53</v>
      </c>
      <c r="G64" s="133">
        <v>10143.11</v>
      </c>
      <c r="H64" s="133">
        <v>9612.4500000000007</v>
      </c>
      <c r="I64" s="133">
        <v>12848.59</v>
      </c>
      <c r="J64" s="133">
        <v>14824.34</v>
      </c>
      <c r="K64" s="133">
        <v>15025.77</v>
      </c>
    </row>
    <row r="65" spans="1:11" x14ac:dyDescent="0.45">
      <c r="A65" s="6" t="s">
        <v>64</v>
      </c>
      <c r="B65" s="133">
        <v>31285.81</v>
      </c>
      <c r="C65" s="133">
        <v>35549.919999999998</v>
      </c>
      <c r="D65" s="133">
        <v>39427.019999999997</v>
      </c>
      <c r="E65" s="133">
        <v>35836.71</v>
      </c>
      <c r="F65" s="133">
        <v>33439.31</v>
      </c>
      <c r="G65" s="133">
        <v>33983.96</v>
      </c>
      <c r="H65" s="133">
        <v>34889.96</v>
      </c>
      <c r="I65" s="133">
        <v>32975.360000000001</v>
      </c>
      <c r="J65" s="133">
        <v>36848.959999999999</v>
      </c>
      <c r="K65" s="133">
        <v>41716.79</v>
      </c>
    </row>
    <row r="66" spans="1:11" s="1" customFormat="1" x14ac:dyDescent="0.45">
      <c r="A66" s="1" t="s">
        <v>26</v>
      </c>
      <c r="B66" s="133">
        <v>48723.19</v>
      </c>
      <c r="C66" s="133">
        <v>55427.5</v>
      </c>
      <c r="D66" s="133">
        <v>61095.45</v>
      </c>
      <c r="E66" s="133">
        <v>64297.39</v>
      </c>
      <c r="F66" s="133">
        <v>64589.53</v>
      </c>
      <c r="G66" s="133">
        <v>68194.320000000007</v>
      </c>
      <c r="H66" s="133">
        <v>67622.22</v>
      </c>
      <c r="I66" s="133">
        <v>69775.91</v>
      </c>
      <c r="J66" s="133">
        <v>80711.899999999994</v>
      </c>
      <c r="K66" s="133">
        <v>85307.82</v>
      </c>
    </row>
    <row r="67" spans="1:11" s="6" customFormat="1" x14ac:dyDescent="0.45">
      <c r="A67" s="6" t="s">
        <v>69</v>
      </c>
      <c r="B67" s="133">
        <v>5106.13</v>
      </c>
      <c r="C67" s="133">
        <v>6775.66</v>
      </c>
      <c r="D67" s="133">
        <v>7202.61</v>
      </c>
      <c r="E67" s="133">
        <v>7815.28</v>
      </c>
      <c r="F67" s="133">
        <v>8884.2000000000007</v>
      </c>
      <c r="G67" s="133">
        <v>9421.24</v>
      </c>
      <c r="H67" s="133">
        <v>9061.4</v>
      </c>
      <c r="I67" s="133">
        <v>10484.59</v>
      </c>
      <c r="J67" s="133">
        <v>11438.51</v>
      </c>
      <c r="K67" s="133">
        <v>11249.37</v>
      </c>
    </row>
    <row r="68" spans="1:11" x14ac:dyDescent="0.45">
      <c r="A68" s="6" t="s">
        <v>45</v>
      </c>
      <c r="B68" s="133">
        <v>5667.99</v>
      </c>
      <c r="C68" s="133">
        <v>6422.54</v>
      </c>
      <c r="D68" s="133">
        <v>6832.81</v>
      </c>
      <c r="E68" s="133">
        <v>6880.69</v>
      </c>
      <c r="F68" s="133">
        <v>7885.98</v>
      </c>
      <c r="G68" s="133">
        <v>7874.99</v>
      </c>
      <c r="H68" s="133">
        <v>8997.02</v>
      </c>
      <c r="I68" s="133">
        <v>8925.1299999999992</v>
      </c>
      <c r="J68" s="133">
        <v>10513.05</v>
      </c>
      <c r="K68" s="133">
        <v>9868.2900000000009</v>
      </c>
    </row>
    <row r="69" spans="1:11" x14ac:dyDescent="0.45">
      <c r="A69" s="4" t="s">
        <v>78</v>
      </c>
      <c r="B69" s="133">
        <v>10998.04</v>
      </c>
      <c r="C69" s="133">
        <v>13181.65</v>
      </c>
      <c r="D69" s="133">
        <v>15140.84</v>
      </c>
      <c r="E69" s="133">
        <v>9929.3799999999992</v>
      </c>
      <c r="F69" s="133">
        <v>7275.6</v>
      </c>
      <c r="G69" s="133">
        <v>6487.55</v>
      </c>
      <c r="H69" s="133">
        <v>6445.51</v>
      </c>
      <c r="I69" s="133">
        <v>5033.3500000000004</v>
      </c>
      <c r="J69" s="133">
        <v>5770.29</v>
      </c>
      <c r="K69" s="133">
        <v>10520.68</v>
      </c>
    </row>
    <row r="70" spans="1:11" x14ac:dyDescent="0.45">
      <c r="A70" s="4" t="s">
        <v>65</v>
      </c>
      <c r="B70" s="133">
        <v>2071163910</v>
      </c>
      <c r="C70" s="133">
        <v>2406605118</v>
      </c>
      <c r="D70" s="133">
        <v>2399260815</v>
      </c>
      <c r="E70" s="133">
        <v>2399260815</v>
      </c>
      <c r="F70" s="133">
        <v>2399334970</v>
      </c>
      <c r="G70" s="133">
        <v>2399334970</v>
      </c>
      <c r="H70" s="133">
        <v>2399334970</v>
      </c>
      <c r="I70" s="133">
        <v>2399334970</v>
      </c>
      <c r="J70" s="133">
        <v>2399334970</v>
      </c>
      <c r="K70" s="133">
        <v>2399334970</v>
      </c>
    </row>
    <row r="71" spans="1:11" x14ac:dyDescent="0.45">
      <c r="A71" s="4" t="s">
        <v>66</v>
      </c>
    </row>
    <row r="72" spans="1:11" x14ac:dyDescent="0.45">
      <c r="A72" s="4" t="s">
        <v>79</v>
      </c>
      <c r="B72" s="133">
        <v>1</v>
      </c>
      <c r="C72" s="133">
        <v>1</v>
      </c>
      <c r="D72" s="133">
        <v>1</v>
      </c>
      <c r="E72" s="133">
        <v>1</v>
      </c>
      <c r="F72" s="133">
        <v>1</v>
      </c>
      <c r="G72" s="133">
        <v>1</v>
      </c>
      <c r="H72" s="133">
        <v>1</v>
      </c>
      <c r="I72" s="133">
        <v>1</v>
      </c>
      <c r="J72" s="133">
        <v>1</v>
      </c>
      <c r="K72" s="133">
        <v>1</v>
      </c>
    </row>
    <row r="74" spans="1:11" x14ac:dyDescent="0.45">
      <c r="A74" s="6"/>
    </row>
    <row r="75" spans="1:11" x14ac:dyDescent="0.45">
      <c r="A75" s="6"/>
    </row>
    <row r="76" spans="1:11" x14ac:dyDescent="0.45">
      <c r="A76" s="6"/>
    </row>
    <row r="77" spans="1:11" x14ac:dyDescent="0.45">
      <c r="A77" s="6"/>
    </row>
    <row r="78" spans="1:11" x14ac:dyDescent="0.45">
      <c r="A78" s="6"/>
    </row>
    <row r="79" spans="1:11" x14ac:dyDescent="0.45">
      <c r="A79" s="6"/>
    </row>
    <row r="80" spans="1:11" x14ac:dyDescent="0.45">
      <c r="A80" s="1" t="s">
        <v>41</v>
      </c>
    </row>
    <row r="81" spans="1:11" s="13" customFormat="1" x14ac:dyDescent="0.45">
      <c r="A81" s="12" t="s">
        <v>38</v>
      </c>
      <c r="B81" s="9">
        <v>42094</v>
      </c>
      <c r="C81" s="9">
        <v>42460</v>
      </c>
      <c r="D81" s="9">
        <v>42825</v>
      </c>
      <c r="E81" s="9">
        <v>43190</v>
      </c>
      <c r="F81" s="9">
        <v>43555</v>
      </c>
      <c r="G81" s="9">
        <v>43921</v>
      </c>
      <c r="H81" s="9">
        <v>44286</v>
      </c>
      <c r="I81" s="9">
        <v>44651</v>
      </c>
      <c r="J81" s="9">
        <v>45016</v>
      </c>
      <c r="K81" s="9">
        <v>45382</v>
      </c>
    </row>
    <row r="82" spans="1:11" s="1" customFormat="1" x14ac:dyDescent="0.45">
      <c r="A82" s="6" t="s">
        <v>32</v>
      </c>
      <c r="B82" s="133">
        <v>5615.74</v>
      </c>
      <c r="C82" s="133">
        <v>6685.86</v>
      </c>
      <c r="D82" s="133">
        <v>7082.21</v>
      </c>
      <c r="E82" s="133">
        <v>3907.15</v>
      </c>
      <c r="F82" s="133">
        <v>2196.4499999999998</v>
      </c>
      <c r="G82" s="133">
        <v>6554.77</v>
      </c>
      <c r="H82" s="133">
        <v>6170.37</v>
      </c>
      <c r="I82" s="133">
        <v>8984.5400000000009</v>
      </c>
      <c r="J82" s="133">
        <v>4959.33</v>
      </c>
      <c r="K82" s="133">
        <v>12134.98</v>
      </c>
    </row>
    <row r="83" spans="1:11" s="6" customFormat="1" x14ac:dyDescent="0.45">
      <c r="A83" s="6" t="s">
        <v>33</v>
      </c>
      <c r="B83" s="133">
        <v>-1502.35</v>
      </c>
      <c r="C83" s="133">
        <v>-3949.13</v>
      </c>
      <c r="D83" s="133">
        <v>-4186.1499999999996</v>
      </c>
      <c r="E83" s="133">
        <v>-3103.8</v>
      </c>
      <c r="F83" s="133">
        <v>-310.08</v>
      </c>
      <c r="G83" s="133">
        <v>-2225.3200000000002</v>
      </c>
      <c r="H83" s="133">
        <v>406.53</v>
      </c>
      <c r="I83" s="133">
        <v>-5555.86</v>
      </c>
      <c r="J83" s="133">
        <v>-7219.92</v>
      </c>
      <c r="K83" s="133">
        <v>-762.9</v>
      </c>
    </row>
    <row r="84" spans="1:11" s="6" customFormat="1" x14ac:dyDescent="0.45">
      <c r="A84" s="6" t="s">
        <v>34</v>
      </c>
      <c r="B84" s="133">
        <v>-1186.53</v>
      </c>
      <c r="C84" s="133">
        <v>-1888.53</v>
      </c>
      <c r="D84" s="133">
        <v>-2285.39</v>
      </c>
      <c r="E84" s="133">
        <v>-1539.26</v>
      </c>
      <c r="F84" s="133">
        <v>-2730.52</v>
      </c>
      <c r="G84" s="133">
        <v>-5715.14</v>
      </c>
      <c r="H84" s="133">
        <v>-5980.48</v>
      </c>
      <c r="I84" s="133">
        <v>-5193.46</v>
      </c>
      <c r="J84" s="133">
        <v>2376.0700000000002</v>
      </c>
      <c r="K84" s="133">
        <v>-6710.16</v>
      </c>
    </row>
    <row r="85" spans="1:11" s="1" customFormat="1" x14ac:dyDescent="0.45">
      <c r="A85" s="6" t="s">
        <v>35</v>
      </c>
      <c r="B85" s="133">
        <v>2926.86</v>
      </c>
      <c r="C85" s="133">
        <v>848.2</v>
      </c>
      <c r="D85" s="133">
        <v>610.66999999999996</v>
      </c>
      <c r="E85" s="133">
        <v>-735.91</v>
      </c>
      <c r="F85" s="133">
        <v>-844.15</v>
      </c>
      <c r="G85" s="133">
        <v>-1385.69</v>
      </c>
      <c r="H85" s="133">
        <v>596.41999999999996</v>
      </c>
      <c r="I85" s="133">
        <v>-1764.78</v>
      </c>
      <c r="J85" s="133">
        <v>115.48</v>
      </c>
      <c r="K85" s="133">
        <v>4661.92</v>
      </c>
    </row>
    <row r="86" spans="1:11" x14ac:dyDescent="0.45">
      <c r="A86" s="6"/>
    </row>
    <row r="87" spans="1:11" x14ac:dyDescent="0.45">
      <c r="A87" s="6"/>
    </row>
    <row r="88" spans="1:11" x14ac:dyDescent="0.45">
      <c r="A88" s="6"/>
    </row>
    <row r="89" spans="1:11" x14ac:dyDescent="0.45">
      <c r="A89" s="6"/>
    </row>
    <row r="90" spans="1:11" s="1" customFormat="1" x14ac:dyDescent="0.45">
      <c r="A90" s="1" t="s">
        <v>68</v>
      </c>
      <c r="B90" s="133">
        <v>1023.9</v>
      </c>
      <c r="C90" s="133">
        <v>820</v>
      </c>
      <c r="D90" s="133">
        <v>688.15</v>
      </c>
      <c r="E90" s="133">
        <v>495.1</v>
      </c>
      <c r="F90" s="133">
        <v>478.85</v>
      </c>
      <c r="G90" s="133">
        <v>352.3</v>
      </c>
      <c r="H90" s="133">
        <v>597.79999999999995</v>
      </c>
      <c r="I90" s="133">
        <v>914.75</v>
      </c>
      <c r="J90" s="133">
        <v>983.1</v>
      </c>
      <c r="K90" s="133">
        <v>1620.55</v>
      </c>
    </row>
    <row r="92" spans="1:11" s="1" customFormat="1" x14ac:dyDescent="0.45">
      <c r="A92" s="1" t="s">
        <v>67</v>
      </c>
    </row>
    <row r="93" spans="1:11" x14ac:dyDescent="0.45">
      <c r="A93" s="4" t="s">
        <v>80</v>
      </c>
      <c r="B93" s="134">
        <v>207.12</v>
      </c>
      <c r="C93" s="134">
        <v>240.67</v>
      </c>
      <c r="D93" s="134">
        <v>239.93</v>
      </c>
      <c r="E93" s="134">
        <v>239.93</v>
      </c>
      <c r="F93" s="134">
        <v>239.93</v>
      </c>
      <c r="G93" s="134">
        <v>239.93</v>
      </c>
      <c r="H93" s="134">
        <v>239.93</v>
      </c>
      <c r="I93" s="134">
        <v>239.93</v>
      </c>
      <c r="J93" s="134">
        <v>239.93</v>
      </c>
      <c r="K93" s="134">
        <v>239.93</v>
      </c>
    </row>
    <row r="98" spans="1:5" x14ac:dyDescent="0.45">
      <c r="A98" s="4" t="s">
        <v>227</v>
      </c>
      <c r="B98" s="4" t="s">
        <v>228</v>
      </c>
      <c r="C98" s="120">
        <v>3274</v>
      </c>
      <c r="D98" s="120">
        <v>636670</v>
      </c>
      <c r="E98" s="124">
        <v>0.22</v>
      </c>
    </row>
    <row r="99" spans="1:5" x14ac:dyDescent="0.45">
      <c r="A99" s="4" t="s">
        <v>229</v>
      </c>
      <c r="B99" s="4" t="s">
        <v>228</v>
      </c>
      <c r="C99" s="120">
        <v>6708</v>
      </c>
      <c r="D99" s="120">
        <v>267060</v>
      </c>
      <c r="E99" s="124">
        <v>0.22</v>
      </c>
    </row>
    <row r="100" spans="1:5" x14ac:dyDescent="0.45">
      <c r="A100" s="4" t="s">
        <v>230</v>
      </c>
      <c r="B100" s="4" t="s">
        <v>228</v>
      </c>
      <c r="C100" s="120">
        <v>3068</v>
      </c>
      <c r="D100" s="120">
        <v>294630</v>
      </c>
      <c r="E100" s="124">
        <v>0.22</v>
      </c>
    </row>
    <row r="101" spans="1:5" x14ac:dyDescent="0.45">
      <c r="A101" s="4" t="s">
        <v>231</v>
      </c>
      <c r="B101" s="4" t="s">
        <v>228</v>
      </c>
      <c r="C101" s="120">
        <v>804</v>
      </c>
      <c r="D101" s="120">
        <v>19830</v>
      </c>
      <c r="E101" s="124">
        <v>0.22</v>
      </c>
    </row>
    <row r="102" spans="1:5" x14ac:dyDescent="0.45">
      <c r="A102" s="4" t="s">
        <v>232</v>
      </c>
      <c r="B102" s="4" t="s">
        <v>228</v>
      </c>
      <c r="C102" s="120">
        <v>207</v>
      </c>
      <c r="D102" s="120">
        <v>9580</v>
      </c>
      <c r="E102" s="124">
        <v>0.22</v>
      </c>
    </row>
  </sheetData>
  <mergeCells count="2">
    <mergeCell ref="E1:K1"/>
    <mergeCell ref="E2:K2"/>
  </mergeCells>
  <conditionalFormatting sqref="E1:K1">
    <cfRule type="cellIs" dxfId="0" priority="1" operator="notEqual">
      <formula>""</formula>
    </cfRule>
  </conditionalFormatting>
  <hyperlinks>
    <hyperlink ref="E1:K1" r:id="rId1" display="https://www.screener.in/excel/" xr:uid="{00000000-0004-0000-0500-000000000000}"/>
  </hyperlinks>
  <pageMargins left="0.7" right="0.7" top="0.75" bottom="0.75" header="0.3" footer="0.3"/>
  <pageSetup paperSize="9" orientation="portrait" r:id="rId2"/>
  <customProperties>
    <customPr name="Smart" r:id="rId3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D9895-4D2E-4BAB-8DCF-80D78B9D9B8C}">
  <sheetPr>
    <tabColor rgb="FF0070C0"/>
  </sheetPr>
  <dimension ref="B2:N47"/>
  <sheetViews>
    <sheetView workbookViewId="0">
      <selection activeCell="J13" sqref="J13:J14"/>
    </sheetView>
  </sheetViews>
  <sheetFormatPr defaultRowHeight="14.25" x14ac:dyDescent="0.45"/>
  <cols>
    <col min="2" max="2" width="31.86328125" customWidth="1"/>
  </cols>
  <sheetData>
    <row r="2" spans="2:14" x14ac:dyDescent="0.45">
      <c r="B2" s="15"/>
      <c r="C2" s="15">
        <v>41334</v>
      </c>
      <c r="D2" s="15">
        <v>41699</v>
      </c>
      <c r="E2" s="15">
        <v>42064</v>
      </c>
      <c r="F2" s="15">
        <v>42430</v>
      </c>
      <c r="G2" s="15">
        <v>42795</v>
      </c>
      <c r="H2" s="15">
        <v>43160</v>
      </c>
      <c r="I2" s="15">
        <v>43525</v>
      </c>
      <c r="J2" s="15">
        <v>43891</v>
      </c>
      <c r="K2" s="15">
        <v>44256</v>
      </c>
      <c r="L2" s="15">
        <v>44621</v>
      </c>
      <c r="M2" s="15">
        <v>44986</v>
      </c>
      <c r="N2" s="15">
        <v>45352</v>
      </c>
    </row>
    <row r="3" spans="2:14" x14ac:dyDescent="0.45">
      <c r="B3" t="s">
        <v>114</v>
      </c>
      <c r="C3" s="135">
        <v>3357</v>
      </c>
      <c r="D3" s="135">
        <v>3959</v>
      </c>
      <c r="E3" s="135">
        <v>5616</v>
      </c>
      <c r="F3" s="135">
        <v>6686</v>
      </c>
      <c r="G3" s="135">
        <v>7082</v>
      </c>
      <c r="H3" s="135">
        <v>3907</v>
      </c>
      <c r="I3" s="135">
        <v>2196</v>
      </c>
      <c r="J3" s="135">
        <v>6555</v>
      </c>
      <c r="K3" s="135">
        <v>6170</v>
      </c>
      <c r="L3" s="135">
        <v>8985</v>
      </c>
      <c r="M3" s="135">
        <v>4959</v>
      </c>
      <c r="N3" s="135">
        <v>12135</v>
      </c>
    </row>
    <row r="4" spans="2:14" x14ac:dyDescent="0.45">
      <c r="B4" t="s">
        <v>115</v>
      </c>
      <c r="C4" s="135">
        <v>4475</v>
      </c>
      <c r="D4" s="135">
        <v>4541</v>
      </c>
      <c r="E4" s="135">
        <v>7177</v>
      </c>
      <c r="F4" s="135">
        <v>8428</v>
      </c>
      <c r="G4" s="135">
        <v>9549</v>
      </c>
      <c r="H4" s="135">
        <v>4861</v>
      </c>
      <c r="I4" s="135">
        <v>5779</v>
      </c>
      <c r="J4" s="135">
        <v>7002</v>
      </c>
      <c r="K4" s="135">
        <v>4609</v>
      </c>
      <c r="L4" s="135">
        <v>6456</v>
      </c>
      <c r="M4" s="135">
        <v>12131</v>
      </c>
      <c r="N4" s="135">
        <v>12642</v>
      </c>
    </row>
    <row r="5" spans="2:14" x14ac:dyDescent="0.45">
      <c r="B5" t="s">
        <v>69</v>
      </c>
      <c r="C5" s="133">
        <v>-502</v>
      </c>
      <c r="D5" s="133">
        <v>222</v>
      </c>
      <c r="E5" s="135">
        <v>-1046</v>
      </c>
      <c r="F5" s="135">
        <v>-1810</v>
      </c>
      <c r="G5" s="133">
        <v>-293</v>
      </c>
      <c r="H5" s="133">
        <v>-773</v>
      </c>
      <c r="I5" s="133">
        <v>-858</v>
      </c>
      <c r="J5" s="133">
        <v>-374</v>
      </c>
      <c r="K5" s="133">
        <v>94</v>
      </c>
      <c r="L5" s="135">
        <v>-1342</v>
      </c>
      <c r="M5" s="133">
        <v>-953</v>
      </c>
      <c r="N5" s="133">
        <v>353</v>
      </c>
    </row>
    <row r="6" spans="2:14" x14ac:dyDescent="0.45">
      <c r="B6" t="s">
        <v>45</v>
      </c>
      <c r="C6" s="133">
        <v>-390</v>
      </c>
      <c r="D6" s="133">
        <v>-545</v>
      </c>
      <c r="E6" s="133">
        <v>190</v>
      </c>
      <c r="F6" s="133">
        <v>-167</v>
      </c>
      <c r="G6" s="133">
        <v>-345</v>
      </c>
      <c r="H6" s="133">
        <v>-4</v>
      </c>
      <c r="I6" s="133">
        <v>-709</v>
      </c>
      <c r="J6" s="133">
        <v>257</v>
      </c>
      <c r="K6" s="135">
        <v>-1080</v>
      </c>
      <c r="L6" s="133">
        <v>307</v>
      </c>
      <c r="M6" s="135">
        <v>-1202</v>
      </c>
      <c r="N6" s="133">
        <v>599</v>
      </c>
    </row>
    <row r="7" spans="2:14" x14ac:dyDescent="0.45">
      <c r="B7" t="s">
        <v>116</v>
      </c>
      <c r="C7" s="133">
        <v>68</v>
      </c>
      <c r="D7" s="133">
        <v>272</v>
      </c>
      <c r="E7" s="133">
        <v>341</v>
      </c>
      <c r="F7" s="133">
        <v>362</v>
      </c>
      <c r="G7" s="133">
        <v>735</v>
      </c>
      <c r="H7" s="133">
        <v>383</v>
      </c>
      <c r="I7" s="133">
        <v>-854</v>
      </c>
      <c r="J7" s="133">
        <v>-210</v>
      </c>
      <c r="K7" s="133">
        <v>381</v>
      </c>
      <c r="L7" s="133">
        <v>370</v>
      </c>
      <c r="M7" s="135">
        <v>1182</v>
      </c>
      <c r="N7" s="133">
        <v>250</v>
      </c>
    </row>
    <row r="8" spans="2:14" x14ac:dyDescent="0.45">
      <c r="B8" t="s">
        <v>117</v>
      </c>
      <c r="C8" s="133">
        <v>-67</v>
      </c>
      <c r="D8" s="133">
        <v>339</v>
      </c>
      <c r="E8" s="133">
        <v>28</v>
      </c>
      <c r="F8" s="133">
        <v>0</v>
      </c>
      <c r="G8" s="133">
        <v>0</v>
      </c>
      <c r="H8" s="133">
        <v>0</v>
      </c>
      <c r="I8" s="133">
        <v>0</v>
      </c>
      <c r="J8" s="133">
        <v>0</v>
      </c>
      <c r="K8" s="133">
        <v>0</v>
      </c>
      <c r="L8" s="133">
        <v>0</v>
      </c>
      <c r="M8" s="133">
        <v>0</v>
      </c>
      <c r="N8" s="133">
        <v>0</v>
      </c>
    </row>
    <row r="9" spans="2:14" x14ac:dyDescent="0.45">
      <c r="B9" t="s">
        <v>118</v>
      </c>
      <c r="C9" s="133">
        <v>846</v>
      </c>
      <c r="D9" s="133">
        <v>-81</v>
      </c>
      <c r="E9" s="133">
        <v>667</v>
      </c>
      <c r="F9" s="135">
        <v>1861</v>
      </c>
      <c r="G9" s="133">
        <v>-506</v>
      </c>
      <c r="H9" s="133">
        <v>182</v>
      </c>
      <c r="I9" s="133">
        <v>-275</v>
      </c>
      <c r="J9" s="135">
        <v>1226</v>
      </c>
      <c r="K9" s="135">
        <v>3169</v>
      </c>
      <c r="L9" s="135">
        <v>2224</v>
      </c>
      <c r="M9" s="135">
        <v>-4689</v>
      </c>
      <c r="N9" s="133">
        <v>-139</v>
      </c>
    </row>
    <row r="10" spans="2:14" x14ac:dyDescent="0.45">
      <c r="B10" t="s">
        <v>119</v>
      </c>
      <c r="C10" s="133">
        <v>-45</v>
      </c>
      <c r="D10" s="133">
        <v>207</v>
      </c>
      <c r="E10" s="133">
        <v>180</v>
      </c>
      <c r="F10" s="133">
        <v>247</v>
      </c>
      <c r="G10" s="133">
        <v>-409</v>
      </c>
      <c r="H10" s="133">
        <v>-212</v>
      </c>
      <c r="I10" s="135">
        <v>-2696</v>
      </c>
      <c r="J10" s="133">
        <v>899</v>
      </c>
      <c r="K10" s="135">
        <v>2564</v>
      </c>
      <c r="L10" s="135">
        <v>1559</v>
      </c>
      <c r="M10" s="135">
        <v>-5662</v>
      </c>
      <c r="N10" s="135">
        <v>1062</v>
      </c>
    </row>
    <row r="11" spans="2:14" x14ac:dyDescent="0.45">
      <c r="B11" t="s">
        <v>120</v>
      </c>
      <c r="C11" s="135">
        <v>-1073</v>
      </c>
      <c r="D11" s="133">
        <v>-789</v>
      </c>
      <c r="E11" s="135">
        <v>-1740</v>
      </c>
      <c r="F11" s="135">
        <v>-1988</v>
      </c>
      <c r="G11" s="135">
        <v>-2057</v>
      </c>
      <c r="H11" s="133">
        <v>-742</v>
      </c>
      <c r="I11" s="133">
        <v>-886</v>
      </c>
      <c r="J11" s="135">
        <v>-1346</v>
      </c>
      <c r="K11" s="135">
        <v>-1003</v>
      </c>
      <c r="L11" s="133">
        <v>969</v>
      </c>
      <c r="M11" s="135">
        <v>-1510</v>
      </c>
      <c r="N11" s="135">
        <v>-1569</v>
      </c>
    </row>
    <row r="12" spans="2:14" x14ac:dyDescent="0.45">
      <c r="B12" t="s">
        <v>121</v>
      </c>
      <c r="C12" s="135">
        <v>-2375</v>
      </c>
      <c r="D12" s="135">
        <v>-2176</v>
      </c>
      <c r="E12" s="135">
        <v>-1502</v>
      </c>
      <c r="F12" s="135">
        <v>-3949</v>
      </c>
      <c r="G12" s="135">
        <v>-4186</v>
      </c>
      <c r="H12" s="135">
        <v>-3104</v>
      </c>
      <c r="I12" s="133">
        <v>-310</v>
      </c>
      <c r="J12" s="135">
        <v>-2225</v>
      </c>
      <c r="K12" s="133">
        <v>407</v>
      </c>
      <c r="L12" s="135">
        <v>-5556</v>
      </c>
      <c r="M12" s="135">
        <v>-7220</v>
      </c>
      <c r="N12" s="133">
        <v>-763</v>
      </c>
    </row>
    <row r="13" spans="2:14" x14ac:dyDescent="0.45">
      <c r="B13" t="s">
        <v>122</v>
      </c>
      <c r="C13" s="133">
        <v>-879</v>
      </c>
      <c r="D13" s="133">
        <v>-906</v>
      </c>
      <c r="E13" s="135">
        <v>-2350</v>
      </c>
      <c r="F13" s="135">
        <v>-3404</v>
      </c>
      <c r="G13" s="135">
        <v>-3693</v>
      </c>
      <c r="H13" s="135">
        <v>-1961</v>
      </c>
      <c r="I13" s="135">
        <v>-3213</v>
      </c>
      <c r="J13" s="135">
        <v>-1542</v>
      </c>
      <c r="K13" s="135">
        <v>-1170</v>
      </c>
      <c r="L13" s="135">
        <v>-1495</v>
      </c>
      <c r="M13" s="135">
        <v>-2086</v>
      </c>
      <c r="N13" s="135">
        <v>-2202</v>
      </c>
    </row>
    <row r="14" spans="2:14" x14ac:dyDescent="0.45">
      <c r="B14" t="s">
        <v>123</v>
      </c>
      <c r="C14" s="133">
        <v>14</v>
      </c>
      <c r="D14" s="133">
        <v>9</v>
      </c>
      <c r="E14" s="133">
        <v>50</v>
      </c>
      <c r="F14" s="133">
        <v>71</v>
      </c>
      <c r="G14" s="133">
        <v>102</v>
      </c>
      <c r="H14" s="133">
        <v>66</v>
      </c>
      <c r="I14" s="133">
        <v>50</v>
      </c>
      <c r="J14" s="133">
        <v>92</v>
      </c>
      <c r="K14" s="133">
        <v>97</v>
      </c>
      <c r="L14" s="133">
        <v>61</v>
      </c>
      <c r="M14" s="133">
        <v>21</v>
      </c>
      <c r="N14" s="133">
        <v>31</v>
      </c>
    </row>
    <row r="15" spans="2:14" x14ac:dyDescent="0.45">
      <c r="B15" t="s">
        <v>124</v>
      </c>
      <c r="C15" s="135">
        <v>-15672</v>
      </c>
      <c r="D15" s="135">
        <v>-28265</v>
      </c>
      <c r="E15" s="135">
        <v>-28802</v>
      </c>
      <c r="F15" s="135">
        <v>-40122</v>
      </c>
      <c r="G15" s="135">
        <v>-38831</v>
      </c>
      <c r="H15" s="135">
        <v>-40587</v>
      </c>
      <c r="I15" s="135">
        <v>-35396</v>
      </c>
      <c r="J15" s="135">
        <v>-33445</v>
      </c>
      <c r="K15" s="135">
        <v>-18542</v>
      </c>
      <c r="L15" s="135">
        <v>-24135</v>
      </c>
      <c r="M15" s="135">
        <v>-21809</v>
      </c>
      <c r="N15" s="135">
        <v>-29004</v>
      </c>
    </row>
    <row r="16" spans="2:14" x14ac:dyDescent="0.45">
      <c r="B16" t="s">
        <v>125</v>
      </c>
      <c r="C16" s="135">
        <v>15625</v>
      </c>
      <c r="D16" s="135">
        <v>28186</v>
      </c>
      <c r="E16" s="135">
        <v>28841</v>
      </c>
      <c r="F16" s="135">
        <v>41641</v>
      </c>
      <c r="G16" s="135">
        <v>39194</v>
      </c>
      <c r="H16" s="135">
        <v>34992</v>
      </c>
      <c r="I16" s="135">
        <v>35207</v>
      </c>
      <c r="J16" s="135">
        <v>31894</v>
      </c>
      <c r="K16" s="135">
        <v>19709</v>
      </c>
      <c r="L16" s="135">
        <v>20702</v>
      </c>
      <c r="M16" s="135">
        <v>20897</v>
      </c>
      <c r="N16" s="135">
        <v>30094</v>
      </c>
    </row>
    <row r="17" spans="2:14" x14ac:dyDescent="0.45">
      <c r="B17" t="s">
        <v>126</v>
      </c>
      <c r="C17" s="133">
        <v>257</v>
      </c>
      <c r="D17" s="133">
        <v>194</v>
      </c>
      <c r="E17" s="133">
        <v>289</v>
      </c>
      <c r="F17" s="133">
        <v>338</v>
      </c>
      <c r="G17" s="133">
        <v>337</v>
      </c>
      <c r="H17" s="133">
        <v>510</v>
      </c>
      <c r="I17" s="133">
        <v>684</v>
      </c>
      <c r="J17" s="133">
        <v>338</v>
      </c>
      <c r="K17" s="133">
        <v>72</v>
      </c>
      <c r="L17" s="133">
        <v>76</v>
      </c>
      <c r="M17" s="133">
        <v>318</v>
      </c>
      <c r="N17" s="133">
        <v>613</v>
      </c>
    </row>
    <row r="18" spans="2:14" x14ac:dyDescent="0.45">
      <c r="B18" t="s">
        <v>127</v>
      </c>
      <c r="C18" s="133">
        <v>2</v>
      </c>
      <c r="D18" s="133">
        <v>4</v>
      </c>
      <c r="E18" s="133">
        <v>0</v>
      </c>
      <c r="F18" s="133">
        <v>50</v>
      </c>
      <c r="G18" s="133">
        <v>42</v>
      </c>
      <c r="H18" s="133">
        <v>37</v>
      </c>
      <c r="I18" s="133">
        <v>22</v>
      </c>
      <c r="J18" s="133">
        <v>56</v>
      </c>
      <c r="K18" s="133">
        <v>138</v>
      </c>
      <c r="L18" s="133">
        <v>134</v>
      </c>
      <c r="M18" s="133">
        <v>132</v>
      </c>
      <c r="N18" s="133">
        <v>99</v>
      </c>
    </row>
    <row r="19" spans="2:14" x14ac:dyDescent="0.45">
      <c r="B19" t="s">
        <v>128</v>
      </c>
      <c r="C19" s="133">
        <v>0</v>
      </c>
      <c r="D19" s="133">
        <v>0</v>
      </c>
      <c r="E19" s="133">
        <v>0</v>
      </c>
      <c r="F19" s="133">
        <v>0</v>
      </c>
      <c r="G19" s="133">
        <v>0</v>
      </c>
      <c r="H19" s="133">
        <v>0</v>
      </c>
      <c r="I19" s="133">
        <v>0</v>
      </c>
      <c r="J19" s="133">
        <v>0</v>
      </c>
      <c r="K19" s="133">
        <v>0</v>
      </c>
      <c r="L19" s="133">
        <v>-15</v>
      </c>
      <c r="M19" s="133">
        <v>-155</v>
      </c>
      <c r="N19" s="133">
        <v>-87</v>
      </c>
    </row>
    <row r="20" spans="2:14" x14ac:dyDescent="0.45">
      <c r="B20" t="s">
        <v>129</v>
      </c>
      <c r="C20" s="133">
        <v>0</v>
      </c>
      <c r="D20" s="133">
        <v>0</v>
      </c>
      <c r="E20" s="133">
        <v>0</v>
      </c>
      <c r="F20" s="133">
        <v>0</v>
      </c>
      <c r="G20" s="133">
        <v>0</v>
      </c>
      <c r="H20" s="133">
        <v>0</v>
      </c>
      <c r="I20" s="133">
        <v>0</v>
      </c>
      <c r="J20" s="133">
        <v>0</v>
      </c>
      <c r="K20" s="133">
        <v>0</v>
      </c>
      <c r="L20" s="133">
        <v>24</v>
      </c>
      <c r="M20" s="133">
        <v>0</v>
      </c>
      <c r="N20" s="133">
        <v>0</v>
      </c>
    </row>
    <row r="21" spans="2:14" x14ac:dyDescent="0.45">
      <c r="B21" t="s">
        <v>130</v>
      </c>
      <c r="C21" s="135">
        <v>-1641</v>
      </c>
      <c r="D21" s="133">
        <v>0</v>
      </c>
      <c r="E21" s="133">
        <v>0</v>
      </c>
      <c r="F21" s="135">
        <v>-1026</v>
      </c>
      <c r="G21" s="133">
        <v>-167</v>
      </c>
      <c r="H21" s="133">
        <v>-86</v>
      </c>
      <c r="I21" s="133">
        <v>-23</v>
      </c>
      <c r="J21" s="133">
        <v>0</v>
      </c>
      <c r="K21" s="133">
        <v>-62</v>
      </c>
      <c r="L21" s="133">
        <v>-740</v>
      </c>
      <c r="M21" s="135">
        <v>-4686</v>
      </c>
      <c r="N21" s="133">
        <v>-143</v>
      </c>
    </row>
    <row r="22" spans="2:14" x14ac:dyDescent="0.45">
      <c r="B22" t="s">
        <v>131</v>
      </c>
      <c r="C22" s="133">
        <v>-81</v>
      </c>
      <c r="D22" s="135">
        <v>-1397</v>
      </c>
      <c r="E22" s="133">
        <v>470</v>
      </c>
      <c r="F22" s="135">
        <v>-1499</v>
      </c>
      <c r="G22" s="135">
        <v>-1170</v>
      </c>
      <c r="H22" s="135">
        <v>3923</v>
      </c>
      <c r="I22" s="135">
        <v>2357</v>
      </c>
      <c r="J22" s="133">
        <v>382</v>
      </c>
      <c r="K22" s="133">
        <v>165</v>
      </c>
      <c r="L22" s="133">
        <v>-167</v>
      </c>
      <c r="M22" s="133">
        <v>148</v>
      </c>
      <c r="N22" s="133">
        <v>-164</v>
      </c>
    </row>
    <row r="23" spans="2:14" x14ac:dyDescent="0.45">
      <c r="B23" t="s">
        <v>132</v>
      </c>
      <c r="C23" s="133">
        <v>-665</v>
      </c>
      <c r="D23" s="133">
        <v>507</v>
      </c>
      <c r="E23" s="135">
        <v>-1187</v>
      </c>
      <c r="F23" s="135">
        <v>-1889</v>
      </c>
      <c r="G23" s="135">
        <v>-2285</v>
      </c>
      <c r="H23" s="135">
        <v>-1539</v>
      </c>
      <c r="I23" s="135">
        <v>-2731</v>
      </c>
      <c r="J23" s="135">
        <v>-5715</v>
      </c>
      <c r="K23" s="135">
        <v>-5980</v>
      </c>
      <c r="L23" s="135">
        <v>-5193</v>
      </c>
      <c r="M23" s="135">
        <v>2376</v>
      </c>
      <c r="N23" s="135">
        <v>-6710</v>
      </c>
    </row>
    <row r="24" spans="2:14" x14ac:dyDescent="0.45">
      <c r="B24" t="s">
        <v>133</v>
      </c>
      <c r="C24" s="133">
        <v>36</v>
      </c>
      <c r="D24" s="133">
        <v>18</v>
      </c>
      <c r="E24" s="133">
        <v>0</v>
      </c>
      <c r="F24" s="133">
        <v>9</v>
      </c>
      <c r="G24" s="133">
        <v>2</v>
      </c>
      <c r="H24" s="133">
        <v>1</v>
      </c>
      <c r="I24" s="133">
        <v>0</v>
      </c>
      <c r="J24" s="133">
        <v>0</v>
      </c>
      <c r="K24" s="133">
        <v>425</v>
      </c>
      <c r="L24" s="133">
        <v>0</v>
      </c>
      <c r="M24" s="133">
        <v>0</v>
      </c>
      <c r="N24" s="133">
        <v>0</v>
      </c>
    </row>
    <row r="25" spans="2:14" x14ac:dyDescent="0.45">
      <c r="B25" t="s">
        <v>134</v>
      </c>
      <c r="C25" s="133">
        <v>14</v>
      </c>
      <c r="D25" s="133">
        <v>-40</v>
      </c>
      <c r="E25" s="135">
        <v>1198</v>
      </c>
      <c r="F25" s="133">
        <v>0</v>
      </c>
      <c r="G25" s="133">
        <v>0</v>
      </c>
      <c r="H25" s="133">
        <v>0</v>
      </c>
      <c r="I25" s="135">
        <v>17698</v>
      </c>
      <c r="J25" s="135">
        <v>10552</v>
      </c>
      <c r="K25" s="135">
        <v>6603</v>
      </c>
      <c r="L25" s="135">
        <v>1763</v>
      </c>
      <c r="M25" s="135">
        <v>8160</v>
      </c>
      <c r="N25" s="135">
        <v>4573</v>
      </c>
    </row>
    <row r="26" spans="2:14" x14ac:dyDescent="0.45">
      <c r="B26" t="s">
        <v>135</v>
      </c>
      <c r="C26" s="133">
        <v>-89</v>
      </c>
      <c r="D26" s="133">
        <v>0</v>
      </c>
      <c r="E26" s="133">
        <v>0</v>
      </c>
      <c r="F26" s="133">
        <v>0</v>
      </c>
      <c r="G26" s="133">
        <v>0</v>
      </c>
      <c r="H26" s="133">
        <v>0</v>
      </c>
      <c r="I26" s="135">
        <v>-16807</v>
      </c>
      <c r="J26" s="135">
        <v>-13893</v>
      </c>
      <c r="K26" s="135">
        <v>-10802</v>
      </c>
      <c r="L26" s="135">
        <v>-4400</v>
      </c>
      <c r="M26" s="135">
        <v>-3030</v>
      </c>
      <c r="N26" s="135">
        <v>-7963</v>
      </c>
    </row>
    <row r="27" spans="2:14" x14ac:dyDescent="0.45">
      <c r="B27" t="s">
        <v>136</v>
      </c>
      <c r="C27" s="133">
        <v>-38</v>
      </c>
      <c r="D27" s="133">
        <v>-23</v>
      </c>
      <c r="E27" s="133">
        <v>-350</v>
      </c>
      <c r="F27" s="133">
        <v>-301</v>
      </c>
      <c r="G27" s="133">
        <v>-334</v>
      </c>
      <c r="H27" s="133">
        <v>-477</v>
      </c>
      <c r="I27" s="133">
        <v>-461</v>
      </c>
      <c r="J27" s="133">
        <v>-272</v>
      </c>
      <c r="K27" s="133">
        <v>-144</v>
      </c>
      <c r="L27" s="133">
        <v>-73</v>
      </c>
      <c r="M27" s="133">
        <v>-132</v>
      </c>
      <c r="N27" s="133">
        <v>-219</v>
      </c>
    </row>
    <row r="28" spans="2:14" x14ac:dyDescent="0.45">
      <c r="B28" t="s">
        <v>137</v>
      </c>
      <c r="C28" s="133">
        <v>-440</v>
      </c>
      <c r="D28" s="133">
        <v>-518</v>
      </c>
      <c r="E28" s="133">
        <v>-310</v>
      </c>
      <c r="F28" s="133">
        <v>-724</v>
      </c>
      <c r="G28" s="133">
        <v>-243</v>
      </c>
      <c r="H28" s="133">
        <v>-813</v>
      </c>
      <c r="I28" s="135">
        <v>-1326</v>
      </c>
      <c r="J28" s="135">
        <v>-1399</v>
      </c>
      <c r="K28" s="135">
        <v>-1586</v>
      </c>
      <c r="L28" s="135">
        <v>-2169</v>
      </c>
      <c r="M28" s="135">
        <v>-2520</v>
      </c>
      <c r="N28" s="135">
        <v>-2901</v>
      </c>
    </row>
    <row r="29" spans="2:14" x14ac:dyDescent="0.45">
      <c r="B29" t="s">
        <v>138</v>
      </c>
      <c r="C29" s="133">
        <v>0</v>
      </c>
      <c r="D29" s="133">
        <v>0</v>
      </c>
      <c r="E29" s="133">
        <v>0</v>
      </c>
      <c r="F29" s="133">
        <v>0</v>
      </c>
      <c r="G29" s="133">
        <v>0</v>
      </c>
      <c r="H29" s="133">
        <v>0</v>
      </c>
      <c r="I29" s="133">
        <v>0</v>
      </c>
      <c r="J29" s="133">
        <v>0</v>
      </c>
      <c r="K29" s="133">
        <v>-118</v>
      </c>
      <c r="L29" s="133">
        <v>-129</v>
      </c>
      <c r="M29" s="133">
        <v>-101</v>
      </c>
      <c r="N29" s="133">
        <v>-123</v>
      </c>
    </row>
    <row r="30" spans="2:14" x14ac:dyDescent="0.45">
      <c r="B30" t="s">
        <v>139</v>
      </c>
      <c r="C30" s="133">
        <v>-148</v>
      </c>
      <c r="D30" s="135">
        <v>1069</v>
      </c>
      <c r="E30" s="135">
        <v>-1724</v>
      </c>
      <c r="F30" s="133">
        <v>-872</v>
      </c>
      <c r="G30" s="135">
        <v>-1711</v>
      </c>
      <c r="H30" s="133">
        <v>-250</v>
      </c>
      <c r="I30" s="135">
        <v>-1835</v>
      </c>
      <c r="J30" s="133">
        <v>-702</v>
      </c>
      <c r="K30" s="133">
        <v>-358</v>
      </c>
      <c r="L30" s="133">
        <v>-186</v>
      </c>
      <c r="M30" s="133">
        <v>0</v>
      </c>
      <c r="N30" s="133">
        <v>-77</v>
      </c>
    </row>
    <row r="31" spans="2:14" x14ac:dyDescent="0.45">
      <c r="B31" t="s">
        <v>35</v>
      </c>
      <c r="C31" s="133">
        <v>316</v>
      </c>
      <c r="D31" s="135">
        <v>2290</v>
      </c>
      <c r="E31" s="135">
        <v>2927</v>
      </c>
      <c r="F31" s="133">
        <v>848</v>
      </c>
      <c r="G31" s="133">
        <v>611</v>
      </c>
      <c r="H31" s="133">
        <v>-736</v>
      </c>
      <c r="I31" s="133">
        <v>-844</v>
      </c>
      <c r="J31" s="135">
        <v>-1386</v>
      </c>
      <c r="K31" s="133">
        <v>596</v>
      </c>
      <c r="L31" s="135">
        <v>-1765</v>
      </c>
      <c r="M31" s="133">
        <v>115</v>
      </c>
      <c r="N31" s="135">
        <v>4662</v>
      </c>
    </row>
    <row r="33" spans="2:13" x14ac:dyDescent="0.45">
      <c r="C33" s="35" t="s">
        <v>207</v>
      </c>
    </row>
    <row r="34" spans="2:13" x14ac:dyDescent="0.45">
      <c r="B34" s="133">
        <v>2024</v>
      </c>
      <c r="C34" t="s">
        <v>204</v>
      </c>
      <c r="D34" s="121">
        <v>-2.0000000000000001E-4</v>
      </c>
    </row>
    <row r="35" spans="2:13" x14ac:dyDescent="0.45">
      <c r="B35" s="133">
        <v>2023</v>
      </c>
      <c r="C35" t="s">
        <v>204</v>
      </c>
      <c r="D35" s="121">
        <v>-1.2999999999999999E-3</v>
      </c>
    </row>
    <row r="36" spans="2:13" x14ac:dyDescent="0.45">
      <c r="B36" s="133">
        <v>2022</v>
      </c>
      <c r="C36" t="s">
        <v>204</v>
      </c>
      <c r="D36" s="121">
        <v>5.3E-3</v>
      </c>
    </row>
    <row r="37" spans="2:13" x14ac:dyDescent="0.45">
      <c r="B37" s="133">
        <v>2021</v>
      </c>
      <c r="C37" t="s">
        <v>205</v>
      </c>
      <c r="D37" s="121">
        <v>-4.8999999999999998E-3</v>
      </c>
    </row>
    <row r="38" spans="2:13" x14ac:dyDescent="0.45">
      <c r="B38" s="133">
        <v>2020</v>
      </c>
      <c r="C38" t="s">
        <v>204</v>
      </c>
      <c r="D38" s="121">
        <v>3.3999999999999998E-3</v>
      </c>
    </row>
    <row r="39" spans="2:13" x14ac:dyDescent="0.45">
      <c r="B39" s="133">
        <v>2019</v>
      </c>
      <c r="C39" t="s">
        <v>205</v>
      </c>
      <c r="D39" s="121">
        <v>1E-4</v>
      </c>
    </row>
    <row r="40" spans="2:13" x14ac:dyDescent="0.45">
      <c r="B40" s="133">
        <v>2018</v>
      </c>
      <c r="C40" t="s">
        <v>205</v>
      </c>
      <c r="D40" s="121">
        <v>-1E-3</v>
      </c>
    </row>
    <row r="41" spans="2:13" x14ac:dyDescent="0.45">
      <c r="B41" s="133">
        <v>2017</v>
      </c>
      <c r="C41" t="s">
        <v>205</v>
      </c>
      <c r="D41" s="121">
        <v>-5.4000000000000003E-3</v>
      </c>
    </row>
    <row r="42" spans="2:13" x14ac:dyDescent="0.45">
      <c r="B42" s="133">
        <v>2016</v>
      </c>
      <c r="C42" t="s">
        <v>206</v>
      </c>
      <c r="D42" s="121">
        <v>-4.0000000000000002E-4</v>
      </c>
    </row>
    <row r="43" spans="2:13" x14ac:dyDescent="0.45">
      <c r="B43" s="133">
        <v>2015</v>
      </c>
      <c r="C43" t="s">
        <v>206</v>
      </c>
    </row>
    <row r="46" spans="2:13" x14ac:dyDescent="0.45">
      <c r="D46" s="133">
        <v>2015</v>
      </c>
      <c r="E46" s="133">
        <f>D46+1</f>
        <v>2016</v>
      </c>
      <c r="F46" s="133">
        <f t="shared" ref="F46:M46" si="0">E46+1</f>
        <v>2017</v>
      </c>
      <c r="G46" s="133">
        <f t="shared" si="0"/>
        <v>2018</v>
      </c>
      <c r="H46" s="133">
        <f t="shared" si="0"/>
        <v>2019</v>
      </c>
      <c r="I46" s="133">
        <f t="shared" si="0"/>
        <v>2020</v>
      </c>
      <c r="J46" s="133">
        <f t="shared" si="0"/>
        <v>2021</v>
      </c>
      <c r="K46" s="133">
        <f t="shared" si="0"/>
        <v>2022</v>
      </c>
      <c r="L46" s="133">
        <f t="shared" si="0"/>
        <v>2023</v>
      </c>
      <c r="M46" s="133">
        <f t="shared" si="0"/>
        <v>2024</v>
      </c>
    </row>
    <row r="47" spans="2:13" x14ac:dyDescent="0.45">
      <c r="D47" s="133">
        <v>2.41</v>
      </c>
      <c r="E47" s="133">
        <v>2.41</v>
      </c>
      <c r="F47" s="133">
        <v>2.39</v>
      </c>
      <c r="G47" s="133">
        <v>2.39</v>
      </c>
      <c r="H47" s="133">
        <v>2.39</v>
      </c>
      <c r="I47" s="133">
        <v>2.4</v>
      </c>
      <c r="J47" s="133">
        <v>2.39</v>
      </c>
      <c r="K47" s="133">
        <v>2.4</v>
      </c>
      <c r="L47" s="133">
        <v>2.4</v>
      </c>
      <c r="M47" s="133">
        <v>2.4</v>
      </c>
    </row>
  </sheetData>
  <pageMargins left="0.7" right="0.7" top="0.75" bottom="0.75" header="0.3" footer="0.3"/>
  <customProperties>
    <customPr name="Smart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5FC8A-D9CA-45B7-BCC1-EB8DEBD2A056}">
  <sheetPr>
    <tabColor theme="5" tint="-0.249977111117893"/>
    <pageSetUpPr fitToPage="1"/>
  </sheetPr>
  <dimension ref="A2:M103"/>
  <sheetViews>
    <sheetView showGridLines="0" workbookViewId="0">
      <pane ySplit="3" topLeftCell="A86" activePane="bottomLeft" state="frozen"/>
      <selection pane="bottomLeft" activeCell="D97" sqref="D97"/>
    </sheetView>
  </sheetViews>
  <sheetFormatPr defaultRowHeight="14.25" x14ac:dyDescent="0.45"/>
  <cols>
    <col min="1" max="1" width="1.73046875" customWidth="1"/>
    <col min="2" max="2" width="25.59765625" customWidth="1"/>
    <col min="3" max="13" width="13.59765625" customWidth="1"/>
  </cols>
  <sheetData>
    <row r="2" spans="1:13" x14ac:dyDescent="0.45">
      <c r="B2" s="284" t="str">
        <f>"Historical Financial Statement - "&amp;'Data Sheet'!B1</f>
        <v>Historical Financial Statement - SUN PHARMACEUTICALS INDUSTRIES LTD</v>
      </c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</row>
    <row r="3" spans="1:13" x14ac:dyDescent="0.45">
      <c r="B3" s="61" t="s">
        <v>81</v>
      </c>
      <c r="C3" s="62">
        <f>'Data Sheet'!B16</f>
        <v>42094</v>
      </c>
      <c r="D3" s="62">
        <f>'Data Sheet'!C16</f>
        <v>42460</v>
      </c>
      <c r="E3" s="62">
        <f>'Data Sheet'!D16</f>
        <v>42825</v>
      </c>
      <c r="F3" s="62">
        <f>'Data Sheet'!E16</f>
        <v>43190</v>
      </c>
      <c r="G3" s="62">
        <f>'Data Sheet'!F16</f>
        <v>43555</v>
      </c>
      <c r="H3" s="62">
        <f>'Data Sheet'!G16</f>
        <v>43921</v>
      </c>
      <c r="I3" s="62">
        <f>'Data Sheet'!H16</f>
        <v>44286</v>
      </c>
      <c r="J3" s="62">
        <f>'Data Sheet'!I16</f>
        <v>44651</v>
      </c>
      <c r="K3" s="62">
        <f>'Data Sheet'!J16</f>
        <v>45016</v>
      </c>
      <c r="L3" s="62">
        <f>'Data Sheet'!K16</f>
        <v>45382</v>
      </c>
      <c r="M3" s="84" t="s">
        <v>82</v>
      </c>
    </row>
    <row r="4" spans="1:13" x14ac:dyDescent="0.45"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8"/>
    </row>
    <row r="5" spans="1:13" x14ac:dyDescent="0.45">
      <c r="A5" t="s">
        <v>83</v>
      </c>
      <c r="B5" s="22" t="s">
        <v>84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</row>
    <row r="6" spans="1:13" x14ac:dyDescent="0.45">
      <c r="B6" t="s">
        <v>6</v>
      </c>
      <c r="C6" s="210">
        <f>IFERROR('Data Sheet'!B17,0)</f>
        <v>27392.01</v>
      </c>
      <c r="D6" s="210">
        <f>IFERROR('Data Sheet'!C17,0)</f>
        <v>28487.03</v>
      </c>
      <c r="E6" s="210">
        <f>IFERROR('Data Sheet'!D17,0)</f>
        <v>31578.44</v>
      </c>
      <c r="F6" s="210">
        <f>IFERROR('Data Sheet'!E17,0)</f>
        <v>26489.46</v>
      </c>
      <c r="G6" s="210">
        <f>IFERROR('Data Sheet'!F17,0)</f>
        <v>29065.91</v>
      </c>
      <c r="H6" s="210">
        <f>IFERROR('Data Sheet'!G17,0)</f>
        <v>32837.5</v>
      </c>
      <c r="I6" s="210">
        <f>IFERROR('Data Sheet'!H17,0)</f>
        <v>33498.14</v>
      </c>
      <c r="J6" s="210">
        <f>IFERROR('Data Sheet'!I17,0)</f>
        <v>38654.49</v>
      </c>
      <c r="K6" s="210">
        <f>IFERROR('Data Sheet'!J17,0)</f>
        <v>43885.68</v>
      </c>
      <c r="L6" s="210">
        <f>IFERROR('Data Sheet'!K17,0)</f>
        <v>48496.85</v>
      </c>
      <c r="M6" s="210">
        <f>IFERROR(SUM('Data Sheet'!H42:K42),0)</f>
        <v>49208.76</v>
      </c>
    </row>
    <row r="7" spans="1:13" s="21" customFormat="1" x14ac:dyDescent="0.45">
      <c r="B7" s="21" t="s">
        <v>22</v>
      </c>
      <c r="C7" s="211" t="s">
        <v>85</v>
      </c>
      <c r="D7" s="207">
        <f>D6/C6-1</f>
        <v>3.9975890779829548E-2</v>
      </c>
      <c r="E7" s="207">
        <f t="shared" ref="E7:M7" si="0">E6/D6-1</f>
        <v>0.10851991239521985</v>
      </c>
      <c r="F7" s="207">
        <f t="shared" si="0"/>
        <v>-0.16115362253486876</v>
      </c>
      <c r="G7" s="207">
        <f t="shared" si="0"/>
        <v>9.7263213368637969E-2</v>
      </c>
      <c r="H7" s="207">
        <f t="shared" si="0"/>
        <v>0.12975991462163061</v>
      </c>
      <c r="I7" s="207">
        <f t="shared" si="0"/>
        <v>2.0118462124095959E-2</v>
      </c>
      <c r="J7" s="207">
        <f t="shared" si="0"/>
        <v>0.15392944205260339</v>
      </c>
      <c r="K7" s="207">
        <f t="shared" si="0"/>
        <v>0.1353320144697292</v>
      </c>
      <c r="L7" s="207">
        <f t="shared" si="0"/>
        <v>0.10507231516066295</v>
      </c>
      <c r="M7" s="207">
        <f t="shared" si="0"/>
        <v>1.4679510112512562E-2</v>
      </c>
    </row>
    <row r="8" spans="1:13" x14ac:dyDescent="0.45"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x14ac:dyDescent="0.45">
      <c r="B9" t="s">
        <v>86</v>
      </c>
      <c r="C9" s="210">
        <f>IFERROR(SUM('Data Sheet'!B18,'Data Sheet'!B20:B22)-1*'Data Sheet'!B19,0)</f>
        <v>13230.140000000001</v>
      </c>
      <c r="D9" s="210">
        <f>IFERROR(SUM('Data Sheet'!C18,'Data Sheet'!C20:C22)-1*'Data Sheet'!C19,0)</f>
        <v>13456.68</v>
      </c>
      <c r="E9" s="210">
        <f>IFERROR(SUM('Data Sheet'!D18,'Data Sheet'!D20:D22)-1*'Data Sheet'!D19,0)</f>
        <v>15531.590000000002</v>
      </c>
      <c r="F9" s="210">
        <f>IFERROR(SUM('Data Sheet'!E18,'Data Sheet'!E20:E22)-1*'Data Sheet'!E19,0)</f>
        <v>15180.05</v>
      </c>
      <c r="G9" s="210">
        <f>IFERROR(SUM('Data Sheet'!F18,'Data Sheet'!F20:F22)-1*'Data Sheet'!F19,0)</f>
        <v>16334.369999999999</v>
      </c>
      <c r="H9" s="210">
        <f>IFERROR(SUM('Data Sheet'!G18,'Data Sheet'!G20:G22)-1*'Data Sheet'!G19,0)</f>
        <v>17904.689999999999</v>
      </c>
      <c r="I9" s="210">
        <f>IFERROR(SUM('Data Sheet'!H18,'Data Sheet'!H20:H22)-1*'Data Sheet'!H19,0)</f>
        <v>17903.18</v>
      </c>
      <c r="J9" s="210">
        <f>IFERROR(SUM('Data Sheet'!I18,'Data Sheet'!I20:I22)-1*'Data Sheet'!I19,0)</f>
        <v>20235.86</v>
      </c>
      <c r="K9" s="210">
        <f>IFERROR(SUM('Data Sheet'!J18,'Data Sheet'!J20:J22)-1*'Data Sheet'!J19,0)</f>
        <v>21725.01</v>
      </c>
      <c r="L9" s="210">
        <f>IFERROR(SUM('Data Sheet'!K18,'Data Sheet'!K20:K22)-1*'Data Sheet'!K19,0)</f>
        <v>23039.070000000003</v>
      </c>
      <c r="M9" s="210">
        <f>IFERROR(SUM('Data Sheet'!H43:K43),0)</f>
        <v>35909.78</v>
      </c>
    </row>
    <row r="10" spans="1:13" s="21" customFormat="1" x14ac:dyDescent="0.45">
      <c r="B10" s="21" t="s">
        <v>87</v>
      </c>
      <c r="C10" s="207">
        <f>C9/C6</f>
        <v>0.48299266829998977</v>
      </c>
      <c r="D10" s="207">
        <f t="shared" ref="D10:M10" si="1">D9/D6</f>
        <v>0.47237918449203026</v>
      </c>
      <c r="E10" s="207">
        <f t="shared" si="1"/>
        <v>0.49184158558814184</v>
      </c>
      <c r="F10" s="207">
        <f t="shared" si="1"/>
        <v>0.57306000197814522</v>
      </c>
      <c r="G10" s="207">
        <f t="shared" si="1"/>
        <v>0.56197690008673384</v>
      </c>
      <c r="H10" s="207">
        <f t="shared" si="1"/>
        <v>0.54525131328511611</v>
      </c>
      <c r="I10" s="207">
        <f t="shared" si="1"/>
        <v>0.53445295768660595</v>
      </c>
      <c r="J10" s="207">
        <f t="shared" si="1"/>
        <v>0.52350606617756446</v>
      </c>
      <c r="K10" s="207">
        <f t="shared" si="1"/>
        <v>0.49503642190345459</v>
      </c>
      <c r="L10" s="207">
        <f t="shared" si="1"/>
        <v>0.47506322575589971</v>
      </c>
      <c r="M10" s="207">
        <f t="shared" si="1"/>
        <v>0.72974364726930729</v>
      </c>
    </row>
    <row r="11" spans="1:13" x14ac:dyDescent="0.45"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</row>
    <row r="12" spans="1:13" s="2" customFormat="1" x14ac:dyDescent="0.45">
      <c r="B12" s="26" t="s">
        <v>88</v>
      </c>
      <c r="C12" s="206">
        <f>C9+C6</f>
        <v>40622.15</v>
      </c>
      <c r="D12" s="206">
        <f t="shared" ref="D12:M12" si="2">D9+D6</f>
        <v>41943.71</v>
      </c>
      <c r="E12" s="206">
        <f t="shared" si="2"/>
        <v>47110.03</v>
      </c>
      <c r="F12" s="206">
        <f t="shared" si="2"/>
        <v>41669.509999999995</v>
      </c>
      <c r="G12" s="206">
        <f t="shared" si="2"/>
        <v>45400.28</v>
      </c>
      <c r="H12" s="206">
        <f t="shared" si="2"/>
        <v>50742.19</v>
      </c>
      <c r="I12" s="206">
        <f t="shared" si="2"/>
        <v>51401.32</v>
      </c>
      <c r="J12" s="206">
        <f t="shared" si="2"/>
        <v>58890.35</v>
      </c>
      <c r="K12" s="206">
        <f t="shared" si="2"/>
        <v>65610.69</v>
      </c>
      <c r="L12" s="206">
        <f t="shared" si="2"/>
        <v>71535.92</v>
      </c>
      <c r="M12" s="206">
        <f t="shared" si="2"/>
        <v>85118.540000000008</v>
      </c>
    </row>
    <row r="13" spans="1:13" s="21" customFormat="1" x14ac:dyDescent="0.45">
      <c r="B13" s="21" t="s">
        <v>95</v>
      </c>
      <c r="C13" s="207">
        <f>C12/C6</f>
        <v>1.4829926682999899</v>
      </c>
      <c r="D13" s="207">
        <f t="shared" ref="D13:M13" si="3">D12/D6</f>
        <v>1.4723791844920302</v>
      </c>
      <c r="E13" s="207">
        <f t="shared" si="3"/>
        <v>1.4918415855881417</v>
      </c>
      <c r="F13" s="207">
        <f t="shared" si="3"/>
        <v>1.5730600019781451</v>
      </c>
      <c r="G13" s="207">
        <f t="shared" si="3"/>
        <v>1.5619769000867338</v>
      </c>
      <c r="H13" s="207">
        <f t="shared" si="3"/>
        <v>1.5452513132851162</v>
      </c>
      <c r="I13" s="207">
        <f t="shared" si="3"/>
        <v>1.5344529576866059</v>
      </c>
      <c r="J13" s="207">
        <f t="shared" si="3"/>
        <v>1.5235060661775643</v>
      </c>
      <c r="K13" s="207">
        <f t="shared" si="3"/>
        <v>1.4950364219034546</v>
      </c>
      <c r="L13" s="207">
        <f t="shared" si="3"/>
        <v>1.4750632257558995</v>
      </c>
      <c r="M13" s="207">
        <f t="shared" si="3"/>
        <v>1.7297436472693075</v>
      </c>
    </row>
    <row r="14" spans="1:13" x14ac:dyDescent="0.45"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</row>
    <row r="15" spans="1:13" x14ac:dyDescent="0.45">
      <c r="B15" t="s">
        <v>89</v>
      </c>
      <c r="C15" s="205">
        <f>IFERROR(SUM('Data Sheet'!B23:B24),0)</f>
        <v>6268.05</v>
      </c>
      <c r="D15" s="205">
        <f>IFERROR(SUM('Data Sheet'!C23:C24),0)</f>
        <v>6856.45</v>
      </c>
      <c r="E15" s="205">
        <f>IFERROR(SUM('Data Sheet'!D23:D24),0)</f>
        <v>5944.83</v>
      </c>
      <c r="F15" s="205">
        <f>IFERROR(SUM('Data Sheet'!E23:E24),0)</f>
        <v>5677.99</v>
      </c>
      <c r="G15" s="205">
        <f>IFERROR(SUM('Data Sheet'!F23:F24),0)</f>
        <v>6354.5599999999995</v>
      </c>
      <c r="H15" s="205">
        <f>IFERROR(SUM('Data Sheet'!G23:G24),0)</f>
        <v>7949.97</v>
      </c>
      <c r="I15" s="205">
        <f>IFERROR(SUM('Data Sheet'!H23:H24),0)</f>
        <v>7125</v>
      </c>
      <c r="J15" s="205">
        <f>IFERROR(SUM('Data Sheet'!I23:I24),0)</f>
        <v>8161.06</v>
      </c>
      <c r="K15" s="205">
        <f>IFERROR(SUM('Data Sheet'!J23:J24),0)</f>
        <v>10510.23</v>
      </c>
      <c r="L15" s="205">
        <f>IFERROR(SUM('Data Sheet'!K23:K24),0)</f>
        <v>12440.01</v>
      </c>
      <c r="M15" s="205">
        <f>IFERROR(SUM('Data Sheet'!L23:L24),0)</f>
        <v>0</v>
      </c>
    </row>
    <row r="16" spans="1:13" s="21" customFormat="1" x14ac:dyDescent="0.45">
      <c r="B16" s="21" t="s">
        <v>90</v>
      </c>
      <c r="C16" s="207">
        <f>C15/C6</f>
        <v>0.22882767639176535</v>
      </c>
      <c r="D16" s="207">
        <f t="shared" ref="D16:M16" si="4">D15/D6</f>
        <v>0.24068672655590984</v>
      </c>
      <c r="E16" s="207">
        <f t="shared" si="4"/>
        <v>0.18825597464599264</v>
      </c>
      <c r="F16" s="207">
        <f t="shared" si="4"/>
        <v>0.21434902787750298</v>
      </c>
      <c r="G16" s="207">
        <f t="shared" si="4"/>
        <v>0.21862587477907966</v>
      </c>
      <c r="H16" s="207">
        <f t="shared" si="4"/>
        <v>0.24210034259611726</v>
      </c>
      <c r="I16" s="207">
        <f t="shared" si="4"/>
        <v>0.21269837668598915</v>
      </c>
      <c r="J16" s="207">
        <f t="shared" si="4"/>
        <v>0.21112838379189586</v>
      </c>
      <c r="K16" s="207">
        <f t="shared" si="4"/>
        <v>0.23949110507117582</v>
      </c>
      <c r="L16" s="207">
        <f t="shared" si="4"/>
        <v>0.25651171158539166</v>
      </c>
      <c r="M16" s="207">
        <f t="shared" si="4"/>
        <v>0</v>
      </c>
    </row>
    <row r="17" spans="2:13" x14ac:dyDescent="0.45"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</row>
    <row r="18" spans="2:13" x14ac:dyDescent="0.45">
      <c r="B18" s="26" t="s">
        <v>91</v>
      </c>
      <c r="C18" s="206">
        <f t="shared" ref="C18:M18" si="5">C12-C15</f>
        <v>34354.1</v>
      </c>
      <c r="D18" s="206">
        <f t="shared" si="5"/>
        <v>35087.26</v>
      </c>
      <c r="E18" s="206">
        <f t="shared" si="5"/>
        <v>41165.199999999997</v>
      </c>
      <c r="F18" s="206">
        <f t="shared" si="5"/>
        <v>35991.519999999997</v>
      </c>
      <c r="G18" s="206">
        <f t="shared" si="5"/>
        <v>39045.72</v>
      </c>
      <c r="H18" s="206">
        <f t="shared" si="5"/>
        <v>42792.22</v>
      </c>
      <c r="I18" s="206">
        <f t="shared" si="5"/>
        <v>44276.32</v>
      </c>
      <c r="J18" s="206">
        <f t="shared" si="5"/>
        <v>50729.29</v>
      </c>
      <c r="K18" s="206">
        <f t="shared" si="5"/>
        <v>55100.460000000006</v>
      </c>
      <c r="L18" s="206">
        <f t="shared" si="5"/>
        <v>59095.909999999996</v>
      </c>
      <c r="M18" s="206">
        <f t="shared" si="5"/>
        <v>85118.540000000008</v>
      </c>
    </row>
    <row r="19" spans="2:13" s="21" customFormat="1" x14ac:dyDescent="0.45">
      <c r="B19" s="21" t="s">
        <v>92</v>
      </c>
      <c r="C19" s="207">
        <f>C18/C6</f>
        <v>1.2541649919082243</v>
      </c>
      <c r="D19" s="207">
        <f t="shared" ref="D19:M19" si="6">D18/D6</f>
        <v>1.2316924579361206</v>
      </c>
      <c r="E19" s="207">
        <f t="shared" si="6"/>
        <v>1.3035856109421491</v>
      </c>
      <c r="F19" s="207">
        <f t="shared" si="6"/>
        <v>1.3587109741006422</v>
      </c>
      <c r="G19" s="207">
        <f t="shared" si="6"/>
        <v>1.3433510253076544</v>
      </c>
      <c r="H19" s="207">
        <f t="shared" si="6"/>
        <v>1.303150970688999</v>
      </c>
      <c r="I19" s="207">
        <f t="shared" si="6"/>
        <v>1.3217545810006168</v>
      </c>
      <c r="J19" s="207">
        <f t="shared" si="6"/>
        <v>1.3123776823856685</v>
      </c>
      <c r="K19" s="207">
        <f t="shared" si="6"/>
        <v>1.255545316832279</v>
      </c>
      <c r="L19" s="207">
        <f t="shared" si="6"/>
        <v>1.2185515141705079</v>
      </c>
      <c r="M19" s="207">
        <f t="shared" si="6"/>
        <v>1.7297436472693075</v>
      </c>
    </row>
    <row r="20" spans="2:13" x14ac:dyDescent="0.45"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</row>
    <row r="21" spans="2:13" x14ac:dyDescent="0.45">
      <c r="B21" t="s">
        <v>11</v>
      </c>
      <c r="C21" s="205">
        <f>IFERROR('Data Sheet'!B27,0)</f>
        <v>578.99</v>
      </c>
      <c r="D21" s="205">
        <f>IFERROR('Data Sheet'!C27,0)</f>
        <v>523.24</v>
      </c>
      <c r="E21" s="205">
        <f>IFERROR('Data Sheet'!D27,0)</f>
        <v>399.8</v>
      </c>
      <c r="F21" s="205">
        <f>IFERROR('Data Sheet'!E27,0)</f>
        <v>517.57000000000005</v>
      </c>
      <c r="G21" s="205">
        <f>IFERROR('Data Sheet'!F27,0)</f>
        <v>555.25</v>
      </c>
      <c r="H21" s="205">
        <f>IFERROR('Data Sheet'!G27,0)</f>
        <v>302.73</v>
      </c>
      <c r="I21" s="205">
        <f>IFERROR('Data Sheet'!H27,0)</f>
        <v>141.43</v>
      </c>
      <c r="J21" s="205">
        <f>IFERROR('Data Sheet'!I27,0)</f>
        <v>127.35</v>
      </c>
      <c r="K21" s="205">
        <f>IFERROR('Data Sheet'!J27,0)</f>
        <v>172</v>
      </c>
      <c r="L21" s="205">
        <f>IFERROR('Data Sheet'!K27,0)</f>
        <v>238.47</v>
      </c>
      <c r="M21" s="205">
        <f>IFERROR(SUM('Data Sheet'!H46:K46),0)</f>
        <v>219.12999999999997</v>
      </c>
    </row>
    <row r="22" spans="2:13" s="21" customFormat="1" x14ac:dyDescent="0.45">
      <c r="B22" s="21" t="s">
        <v>93</v>
      </c>
      <c r="C22" s="207">
        <f>C21/C6</f>
        <v>2.1137185624567165E-2</v>
      </c>
      <c r="D22" s="207">
        <f t="shared" ref="D22:M22" si="7">D21/D6</f>
        <v>1.8367657140811101E-2</v>
      </c>
      <c r="E22" s="207">
        <f t="shared" si="7"/>
        <v>1.2660536745957053E-2</v>
      </c>
      <c r="F22" s="207">
        <f t="shared" si="7"/>
        <v>1.9538714643484618E-2</v>
      </c>
      <c r="G22" s="207">
        <f t="shared" si="7"/>
        <v>1.9103134909589963E-2</v>
      </c>
      <c r="H22" s="207">
        <f t="shared" si="7"/>
        <v>9.2190331176246667E-3</v>
      </c>
      <c r="I22" s="207">
        <f t="shared" si="7"/>
        <v>4.2220254617122031E-3</v>
      </c>
      <c r="J22" s="207">
        <f t="shared" si="7"/>
        <v>3.2945719889203042E-3</v>
      </c>
      <c r="K22" s="207">
        <f t="shared" si="7"/>
        <v>3.9192738952660636E-3</v>
      </c>
      <c r="L22" s="207">
        <f t="shared" si="7"/>
        <v>4.9172265827574372E-3</v>
      </c>
      <c r="M22" s="207">
        <f t="shared" si="7"/>
        <v>4.4530689251263385E-3</v>
      </c>
    </row>
    <row r="23" spans="2:13" x14ac:dyDescent="0.45"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</row>
    <row r="24" spans="2:13" x14ac:dyDescent="0.45">
      <c r="B24" t="s">
        <v>10</v>
      </c>
      <c r="C24" s="205">
        <f>IFERROR('Data Sheet'!B26,0)</f>
        <v>1194.72</v>
      </c>
      <c r="D24" s="205">
        <f>IFERROR('Data Sheet'!C26,0)</f>
        <v>1037.53</v>
      </c>
      <c r="E24" s="205">
        <f>IFERROR('Data Sheet'!D26,0)</f>
        <v>1264.75</v>
      </c>
      <c r="F24" s="205">
        <f>IFERROR('Data Sheet'!E26,0)</f>
        <v>1499.84</v>
      </c>
      <c r="G24" s="205">
        <f>IFERROR('Data Sheet'!F26,0)</f>
        <v>1753.25</v>
      </c>
      <c r="H24" s="205">
        <f>IFERROR('Data Sheet'!G26,0)</f>
        <v>2052.7800000000002</v>
      </c>
      <c r="I24" s="205">
        <f>IFERROR('Data Sheet'!H26,0)</f>
        <v>2079.9499999999998</v>
      </c>
      <c r="J24" s="205">
        <f>IFERROR('Data Sheet'!I26,0)</f>
        <v>2143.7399999999998</v>
      </c>
      <c r="K24" s="205">
        <f>IFERROR('Data Sheet'!J26,0)</f>
        <v>2529.4299999999998</v>
      </c>
      <c r="L24" s="205">
        <f>IFERROR('Data Sheet'!K26,0)</f>
        <v>2556.64</v>
      </c>
      <c r="M24" s="205">
        <f>IFERROR('Data Sheet'!L26,0)</f>
        <v>0</v>
      </c>
    </row>
    <row r="25" spans="2:13" s="21" customFormat="1" x14ac:dyDescent="0.45">
      <c r="B25" s="21" t="s">
        <v>94</v>
      </c>
      <c r="C25" s="207">
        <f>C24/C6</f>
        <v>4.3615638282842338E-2</v>
      </c>
      <c r="D25" s="207">
        <f t="shared" ref="D25:M25" si="8">D24/D6</f>
        <v>3.6421136215323252E-2</v>
      </c>
      <c r="E25" s="207">
        <f t="shared" si="8"/>
        <v>4.0051060153699802E-2</v>
      </c>
      <c r="F25" s="207">
        <f t="shared" si="8"/>
        <v>5.6620255754552942E-2</v>
      </c>
      <c r="G25" s="207">
        <f t="shared" si="8"/>
        <v>6.0319804196737693E-2</v>
      </c>
      <c r="H25" s="207">
        <f t="shared" si="8"/>
        <v>6.2513285116102019E-2</v>
      </c>
      <c r="I25" s="207">
        <f t="shared" si="8"/>
        <v>6.2091507170248854E-2</v>
      </c>
      <c r="J25" s="207">
        <f t="shared" si="8"/>
        <v>5.5459016533396244E-2</v>
      </c>
      <c r="K25" s="207">
        <f t="shared" si="8"/>
        <v>5.7636796330830464E-2</v>
      </c>
      <c r="L25" s="207">
        <f t="shared" si="8"/>
        <v>5.2717650734016741E-2</v>
      </c>
      <c r="M25" s="207">
        <f t="shared" si="8"/>
        <v>0</v>
      </c>
    </row>
    <row r="26" spans="2:13" x14ac:dyDescent="0.45"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</row>
    <row r="27" spans="2:13" x14ac:dyDescent="0.45">
      <c r="B27" s="26" t="s">
        <v>96</v>
      </c>
      <c r="C27" s="206">
        <f>IFERROR(C18-SUM(C24,C21),0)</f>
        <v>32580.39</v>
      </c>
      <c r="D27" s="206">
        <f t="shared" ref="D27:M27" si="9">IFERROR(D18-SUM(D24,D21),0)</f>
        <v>33526.490000000005</v>
      </c>
      <c r="E27" s="206">
        <f t="shared" si="9"/>
        <v>39500.649999999994</v>
      </c>
      <c r="F27" s="206">
        <f t="shared" si="9"/>
        <v>33974.11</v>
      </c>
      <c r="G27" s="206">
        <f t="shared" si="9"/>
        <v>36737.22</v>
      </c>
      <c r="H27" s="206">
        <f t="shared" si="9"/>
        <v>40436.71</v>
      </c>
      <c r="I27" s="206">
        <f t="shared" si="9"/>
        <v>42054.94</v>
      </c>
      <c r="J27" s="206">
        <f t="shared" si="9"/>
        <v>48458.200000000004</v>
      </c>
      <c r="K27" s="206">
        <f t="shared" si="9"/>
        <v>52399.030000000006</v>
      </c>
      <c r="L27" s="206">
        <f t="shared" si="9"/>
        <v>56300.799999999996</v>
      </c>
      <c r="M27" s="206">
        <f t="shared" si="9"/>
        <v>84899.41</v>
      </c>
    </row>
    <row r="28" spans="2:13" s="21" customFormat="1" x14ac:dyDescent="0.45">
      <c r="B28" s="21" t="s">
        <v>97</v>
      </c>
      <c r="C28" s="207">
        <f>C27/C6</f>
        <v>1.189412168000815</v>
      </c>
      <c r="D28" s="207">
        <f t="shared" ref="D28:M28" si="10">D27/D6</f>
        <v>1.1769036645799862</v>
      </c>
      <c r="E28" s="207">
        <f t="shared" si="10"/>
        <v>1.2508740140424921</v>
      </c>
      <c r="F28" s="207">
        <f t="shared" si="10"/>
        <v>1.2825520037026048</v>
      </c>
      <c r="G28" s="207">
        <f t="shared" si="10"/>
        <v>1.2639280862013267</v>
      </c>
      <c r="H28" s="207">
        <f t="shared" si="10"/>
        <v>1.2314186524552722</v>
      </c>
      <c r="I28" s="207">
        <f t="shared" si="10"/>
        <v>1.2554410483686558</v>
      </c>
      <c r="J28" s="207">
        <f t="shared" si="10"/>
        <v>1.2536240938633521</v>
      </c>
      <c r="K28" s="207">
        <f t="shared" si="10"/>
        <v>1.1939892466061823</v>
      </c>
      <c r="L28" s="207">
        <f t="shared" si="10"/>
        <v>1.1609166368537338</v>
      </c>
      <c r="M28" s="207">
        <f t="shared" si="10"/>
        <v>1.725290578344181</v>
      </c>
    </row>
    <row r="29" spans="2:13" x14ac:dyDescent="0.45"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</row>
    <row r="30" spans="2:13" x14ac:dyDescent="0.45">
      <c r="B30" t="s">
        <v>13</v>
      </c>
      <c r="C30" s="205">
        <f>IFERROR('Data Sheet'!B29,0)</f>
        <v>914.69</v>
      </c>
      <c r="D30" s="205">
        <f>IFERROR('Data Sheet'!C29,0)</f>
        <v>913.77</v>
      </c>
      <c r="E30" s="205">
        <f>IFERROR('Data Sheet'!D29,0)</f>
        <v>1211.57</v>
      </c>
      <c r="F30" s="205">
        <f>IFERROR('Data Sheet'!E29,0)</f>
        <v>911.04</v>
      </c>
      <c r="G30" s="205">
        <f>IFERROR('Data Sheet'!F29,0)</f>
        <v>600.88</v>
      </c>
      <c r="H30" s="205">
        <f>IFERROR('Data Sheet'!G29,0)</f>
        <v>822.8</v>
      </c>
      <c r="I30" s="205">
        <f>IFERROR('Data Sheet'!H29,0)</f>
        <v>514.69000000000005</v>
      </c>
      <c r="J30" s="205">
        <f>IFERROR('Data Sheet'!I29,0)</f>
        <v>1075.5</v>
      </c>
      <c r="K30" s="205">
        <f>IFERROR('Data Sheet'!J29,0)</f>
        <v>847.59</v>
      </c>
      <c r="L30" s="205">
        <f>IFERROR('Data Sheet'!K29,0)</f>
        <v>1439.45</v>
      </c>
      <c r="M30" s="205">
        <f>IFERROR(SUM('Data Sheet'!H48:K48),0)</f>
        <v>1523.6000000000001</v>
      </c>
    </row>
    <row r="31" spans="2:13" s="21" customFormat="1" x14ac:dyDescent="0.45">
      <c r="B31" s="21" t="s">
        <v>98</v>
      </c>
      <c r="C31" s="207">
        <f>C30/C27</f>
        <v>2.8074863437791878E-2</v>
      </c>
      <c r="D31" s="207">
        <f t="shared" ref="D31:M31" si="11">D30/D27</f>
        <v>2.7255164498281803E-2</v>
      </c>
      <c r="E31" s="207">
        <f t="shared" si="11"/>
        <v>3.0672153496208294E-2</v>
      </c>
      <c r="F31" s="207">
        <f t="shared" si="11"/>
        <v>2.6815713494775874E-2</v>
      </c>
      <c r="G31" s="207">
        <f t="shared" si="11"/>
        <v>1.6356164130002217E-2</v>
      </c>
      <c r="H31" s="207">
        <f t="shared" si="11"/>
        <v>2.0347847290246905E-2</v>
      </c>
      <c r="I31" s="207">
        <f t="shared" si="11"/>
        <v>1.2238514666766854E-2</v>
      </c>
      <c r="J31" s="207">
        <f t="shared" si="11"/>
        <v>2.2194386089454416E-2</v>
      </c>
      <c r="K31" s="207">
        <f t="shared" si="11"/>
        <v>1.6175681114707657E-2</v>
      </c>
      <c r="L31" s="207">
        <f t="shared" si="11"/>
        <v>2.556713226099807E-2</v>
      </c>
      <c r="M31" s="207">
        <f t="shared" si="11"/>
        <v>1.7945943322809899E-2</v>
      </c>
    </row>
    <row r="32" spans="2:13" x14ac:dyDescent="0.45"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</row>
    <row r="33" spans="1:13" x14ac:dyDescent="0.45">
      <c r="B33" s="26" t="s">
        <v>99</v>
      </c>
      <c r="C33" s="206">
        <f>IFERROR(SUM(C27-C30),0)</f>
        <v>31665.7</v>
      </c>
      <c r="D33" s="206">
        <f t="shared" ref="D33:M33" si="12">IFERROR(SUM(D27-D30),0)</f>
        <v>32612.720000000005</v>
      </c>
      <c r="E33" s="206">
        <f t="shared" si="12"/>
        <v>38289.079999999994</v>
      </c>
      <c r="F33" s="206">
        <f t="shared" si="12"/>
        <v>33063.07</v>
      </c>
      <c r="G33" s="206">
        <f t="shared" si="12"/>
        <v>36136.340000000004</v>
      </c>
      <c r="H33" s="206">
        <f t="shared" si="12"/>
        <v>39613.909999999996</v>
      </c>
      <c r="I33" s="206">
        <f t="shared" si="12"/>
        <v>41540.25</v>
      </c>
      <c r="J33" s="206">
        <f t="shared" si="12"/>
        <v>47382.700000000004</v>
      </c>
      <c r="K33" s="206">
        <f t="shared" si="12"/>
        <v>51551.44000000001</v>
      </c>
      <c r="L33" s="206">
        <f t="shared" si="12"/>
        <v>54861.35</v>
      </c>
      <c r="M33" s="206">
        <f t="shared" si="12"/>
        <v>83375.81</v>
      </c>
    </row>
    <row r="34" spans="1:13" s="21" customFormat="1" x14ac:dyDescent="0.45">
      <c r="B34" s="21" t="s">
        <v>100</v>
      </c>
      <c r="C34" s="207">
        <f>C33/C6</f>
        <v>1.1560195838129441</v>
      </c>
      <c r="D34" s="207">
        <f t="shared" ref="D34:M34" si="13">D33/D6</f>
        <v>1.1448269616032281</v>
      </c>
      <c r="E34" s="207">
        <f t="shared" si="13"/>
        <v>1.2125070142793626</v>
      </c>
      <c r="F34" s="207">
        <f t="shared" si="13"/>
        <v>1.2481594566291649</v>
      </c>
      <c r="G34" s="207">
        <f t="shared" si="13"/>
        <v>1.2432550709748982</v>
      </c>
      <c r="H34" s="207">
        <f t="shared" si="13"/>
        <v>1.2063619337647506</v>
      </c>
      <c r="I34" s="207">
        <f t="shared" si="13"/>
        <v>1.2400763146849347</v>
      </c>
      <c r="J34" s="207">
        <f t="shared" si="13"/>
        <v>1.2258006767131064</v>
      </c>
      <c r="K34" s="207">
        <f t="shared" si="13"/>
        <v>1.1746756572986907</v>
      </c>
      <c r="L34" s="207">
        <f t="shared" si="13"/>
        <v>1.1312353276553013</v>
      </c>
      <c r="M34" s="207">
        <f t="shared" si="13"/>
        <v>1.6943286114098384</v>
      </c>
    </row>
    <row r="35" spans="1:13" x14ac:dyDescent="0.45"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spans="1:13" x14ac:dyDescent="0.45">
      <c r="B36" t="s">
        <v>101</v>
      </c>
      <c r="C36" s="14">
        <f>IFERROR('Data Sheet'!B93,0)</f>
        <v>207.12</v>
      </c>
      <c r="D36" s="14">
        <f>IFERROR('Data Sheet'!C93,0)</f>
        <v>240.67</v>
      </c>
      <c r="E36" s="14">
        <f>IFERROR('Data Sheet'!D93,0)</f>
        <v>239.93</v>
      </c>
      <c r="F36" s="14">
        <f>IFERROR('Data Sheet'!E93,0)</f>
        <v>239.93</v>
      </c>
      <c r="G36" s="14">
        <f>IFERROR('Data Sheet'!F93,0)</f>
        <v>239.93</v>
      </c>
      <c r="H36" s="14">
        <f>IFERROR('Data Sheet'!G93,0)</f>
        <v>239.93</v>
      </c>
      <c r="I36" s="14">
        <f>IFERROR('Data Sheet'!H93,0)</f>
        <v>239.93</v>
      </c>
      <c r="J36" s="14">
        <f>IFERROR('Data Sheet'!I93,0)</f>
        <v>239.93</v>
      </c>
      <c r="K36" s="14">
        <f>IFERROR('Data Sheet'!J93,0)</f>
        <v>239.93</v>
      </c>
      <c r="L36" s="14">
        <f>IFERROR('Data Sheet'!K93,0)</f>
        <v>239.93</v>
      </c>
      <c r="M36" s="14">
        <f>IFERROR('Data Sheet'!L93,0)</f>
        <v>0</v>
      </c>
    </row>
    <row r="37" spans="1:13" x14ac:dyDescent="0.45"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</row>
    <row r="38" spans="1:13" x14ac:dyDescent="0.45">
      <c r="B38" t="s">
        <v>102</v>
      </c>
      <c r="C38" s="205">
        <f>IFERROR(C33/C36,0)</f>
        <v>152.88576670529162</v>
      </c>
      <c r="D38" s="205">
        <f t="shared" ref="D38:M38" si="14">IFERROR(D33/D36,0)</f>
        <v>135.5080400548469</v>
      </c>
      <c r="E38" s="205">
        <f t="shared" si="14"/>
        <v>159.58437877714331</v>
      </c>
      <c r="F38" s="205">
        <f t="shared" si="14"/>
        <v>137.80298420372608</v>
      </c>
      <c r="G38" s="205">
        <f t="shared" si="14"/>
        <v>150.61201183678574</v>
      </c>
      <c r="H38" s="205">
        <f t="shared" si="14"/>
        <v>165.10611428333263</v>
      </c>
      <c r="I38" s="205">
        <f t="shared" si="14"/>
        <v>173.13487267119575</v>
      </c>
      <c r="J38" s="205">
        <f t="shared" si="14"/>
        <v>197.48551660901097</v>
      </c>
      <c r="K38" s="205">
        <f t="shared" si="14"/>
        <v>214.8603342641604</v>
      </c>
      <c r="L38" s="205">
        <f t="shared" si="14"/>
        <v>228.6556495644563</v>
      </c>
      <c r="M38" s="205">
        <f t="shared" si="14"/>
        <v>0</v>
      </c>
    </row>
    <row r="39" spans="1:13" s="21" customFormat="1" x14ac:dyDescent="0.45">
      <c r="B39" s="21" t="s">
        <v>104</v>
      </c>
      <c r="C39" s="207"/>
      <c r="D39" s="208">
        <f>IFERROR(D38/C38-1,0)</f>
        <v>-0.11366477746710513</v>
      </c>
      <c r="E39" s="208">
        <f t="shared" ref="E39:M39" si="15">IFERROR(E38/D38-1,0)</f>
        <v>0.17767461408600926</v>
      </c>
      <c r="F39" s="208">
        <f t="shared" si="15"/>
        <v>-0.13648826244976364</v>
      </c>
      <c r="G39" s="208">
        <f t="shared" si="15"/>
        <v>9.2951743440642387E-2</v>
      </c>
      <c r="H39" s="208">
        <f t="shared" si="15"/>
        <v>9.6234704455403941E-2</v>
      </c>
      <c r="I39" s="208">
        <f t="shared" si="15"/>
        <v>4.8627868342206115E-2</v>
      </c>
      <c r="J39" s="208">
        <f t="shared" si="15"/>
        <v>0.14064551850313878</v>
      </c>
      <c r="K39" s="208">
        <f t="shared" si="15"/>
        <v>8.7980212187148465E-2</v>
      </c>
      <c r="L39" s="208">
        <f t="shared" si="15"/>
        <v>6.4205965924521102E-2</v>
      </c>
      <c r="M39" s="208">
        <f t="shared" si="15"/>
        <v>-1</v>
      </c>
    </row>
    <row r="40" spans="1:13" x14ac:dyDescent="0.45"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spans="1:13" x14ac:dyDescent="0.45">
      <c r="B41" t="s">
        <v>103</v>
      </c>
      <c r="C41" s="205">
        <f>IFERROR('Data Sheet'!B31/'Historical Data'!C36,0)</f>
        <v>3</v>
      </c>
      <c r="D41" s="205">
        <f>IFERROR('Data Sheet'!C31/'Historical Data'!D36,0)</f>
        <v>0.99995844932895672</v>
      </c>
      <c r="E41" s="205">
        <f>IFERROR('Data Sheet'!D31/'Historical Data'!E36,0)</f>
        <v>3.5000208394114947</v>
      </c>
      <c r="F41" s="205">
        <f>IFERROR('Data Sheet'!E31/'Historical Data'!F36,0)</f>
        <v>2</v>
      </c>
      <c r="G41" s="205">
        <f>IFERROR('Data Sheet'!F31/'Historical Data'!G36,0)</f>
        <v>2.7500104197057471</v>
      </c>
      <c r="H41" s="205">
        <f>IFERROR('Data Sheet'!G31/'Historical Data'!H36,0)</f>
        <v>4</v>
      </c>
      <c r="I41" s="205">
        <f>IFERROR('Data Sheet'!H31/'Historical Data'!I36,0)</f>
        <v>7.5000208394114951</v>
      </c>
      <c r="J41" s="205">
        <f>IFERROR('Data Sheet'!I31/'Historical Data'!J36,0)</f>
        <v>10</v>
      </c>
      <c r="K41" s="205">
        <f>IFERROR('Data Sheet'!J31/'Historical Data'!K36,0)</f>
        <v>11.500020839411494</v>
      </c>
      <c r="L41" s="205">
        <f>IFERROR('Data Sheet'!K31/'Historical Data'!L36,0)</f>
        <v>13.500020839411494</v>
      </c>
      <c r="M41" s="205">
        <f>IFERROR('Data Sheet'!L31/'Historical Data'!M36,0)</f>
        <v>0</v>
      </c>
    </row>
    <row r="42" spans="1:13" s="21" customFormat="1" x14ac:dyDescent="0.45">
      <c r="B42" s="21" t="s">
        <v>105</v>
      </c>
      <c r="C42" s="207">
        <f>IFERROR(C41/C38,0)</f>
        <v>1.9622493739282567E-2</v>
      </c>
      <c r="D42" s="207">
        <f t="shared" ref="D42:M42" si="16">IFERROR(D41/D38,0)</f>
        <v>7.3793292923742633E-3</v>
      </c>
      <c r="E42" s="207">
        <f t="shared" si="16"/>
        <v>2.1932101789857578E-2</v>
      </c>
      <c r="F42" s="207">
        <f t="shared" si="16"/>
        <v>1.4513473794175799E-2</v>
      </c>
      <c r="G42" s="207">
        <f t="shared" si="16"/>
        <v>1.8258905024692591E-2</v>
      </c>
      <c r="H42" s="207">
        <f t="shared" si="16"/>
        <v>2.4226843550661879E-2</v>
      </c>
      <c r="I42" s="207">
        <f t="shared" si="16"/>
        <v>4.331894969336969E-2</v>
      </c>
      <c r="J42" s="207">
        <f t="shared" si="16"/>
        <v>5.0636624759669666E-2</v>
      </c>
      <c r="K42" s="207">
        <f t="shared" si="16"/>
        <v>5.3523238148148716E-2</v>
      </c>
      <c r="L42" s="207">
        <f t="shared" si="16"/>
        <v>5.9040836581673618E-2</v>
      </c>
      <c r="M42" s="207">
        <f t="shared" si="16"/>
        <v>0</v>
      </c>
    </row>
    <row r="43" spans="1:13" x14ac:dyDescent="0.45"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spans="1:13" x14ac:dyDescent="0.45">
      <c r="B44" t="s">
        <v>106</v>
      </c>
      <c r="C44" s="209">
        <f>IFERROR(IF(C38&gt;C41,1-C42,0),0)</f>
        <v>0.9803775062607174</v>
      </c>
      <c r="D44" s="209">
        <f t="shared" ref="D44:M44" si="17">IFERROR(1-D42,0)</f>
        <v>0.99262067070762572</v>
      </c>
      <c r="E44" s="209">
        <f t="shared" si="17"/>
        <v>0.97806789821014239</v>
      </c>
      <c r="F44" s="209">
        <f t="shared" si="17"/>
        <v>0.98548652620582422</v>
      </c>
      <c r="G44" s="209">
        <f t="shared" si="17"/>
        <v>0.98174109497530737</v>
      </c>
      <c r="H44" s="209">
        <f t="shared" si="17"/>
        <v>0.97577315644933815</v>
      </c>
      <c r="I44" s="209">
        <f t="shared" si="17"/>
        <v>0.95668105030663031</v>
      </c>
      <c r="J44" s="209">
        <f t="shared" si="17"/>
        <v>0.94936337524033032</v>
      </c>
      <c r="K44" s="209">
        <f t="shared" si="17"/>
        <v>0.94647676185185126</v>
      </c>
      <c r="L44" s="209">
        <f t="shared" si="17"/>
        <v>0.94095916341832642</v>
      </c>
      <c r="M44" s="209">
        <f t="shared" si="17"/>
        <v>1</v>
      </c>
    </row>
    <row r="45" spans="1:13" x14ac:dyDescent="0.45"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spans="1:13" x14ac:dyDescent="0.45">
      <c r="A46" t="s">
        <v>83</v>
      </c>
      <c r="B46" s="22" t="s">
        <v>107</v>
      </c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</row>
    <row r="47" spans="1:13" x14ac:dyDescent="0.45">
      <c r="B47" s="6" t="s">
        <v>24</v>
      </c>
      <c r="C47" s="205">
        <f>IFERROR('Data Sheet'!B57,0)</f>
        <v>207.12</v>
      </c>
      <c r="D47" s="205">
        <f>IFERROR('Data Sheet'!C57,0)</f>
        <v>240.66</v>
      </c>
      <c r="E47" s="205">
        <f>IFERROR('Data Sheet'!D57,0)</f>
        <v>239.93</v>
      </c>
      <c r="F47" s="205">
        <f>IFERROR('Data Sheet'!E57,0)</f>
        <v>239.93</v>
      </c>
      <c r="G47" s="205">
        <f>IFERROR('Data Sheet'!F57,0)</f>
        <v>239.93</v>
      </c>
      <c r="H47" s="205">
        <f>IFERROR('Data Sheet'!G57,0)</f>
        <v>239.93</v>
      </c>
      <c r="I47" s="205">
        <f>IFERROR('Data Sheet'!H57,0)</f>
        <v>239.93</v>
      </c>
      <c r="J47" s="205">
        <f>IFERROR('Data Sheet'!I57,0)</f>
        <v>239.93</v>
      </c>
      <c r="K47" s="205">
        <f>IFERROR('Data Sheet'!J57,0)</f>
        <v>239.93</v>
      </c>
      <c r="L47" s="205">
        <f>IFERROR('Data Sheet'!K57,0)</f>
        <v>239.93</v>
      </c>
      <c r="M47" s="205"/>
    </row>
    <row r="48" spans="1:13" x14ac:dyDescent="0.45">
      <c r="B48" s="6" t="s">
        <v>25</v>
      </c>
      <c r="C48" s="205">
        <f>IFERROR('Data Sheet'!B58,0)</f>
        <v>25430.97</v>
      </c>
      <c r="D48" s="205">
        <f>IFERROR('Data Sheet'!C58,0)</f>
        <v>32741.82</v>
      </c>
      <c r="E48" s="205">
        <f>IFERROR('Data Sheet'!D58,0)</f>
        <v>36399.74</v>
      </c>
      <c r="F48" s="205">
        <f>IFERROR('Data Sheet'!E58,0)</f>
        <v>38074.18</v>
      </c>
      <c r="G48" s="205">
        <f>IFERROR('Data Sheet'!F58,0)</f>
        <v>41169.129999999997</v>
      </c>
      <c r="H48" s="205">
        <f>IFERROR('Data Sheet'!G58,0)</f>
        <v>45024.52</v>
      </c>
      <c r="I48" s="205">
        <f>IFERROR('Data Sheet'!H58,0)</f>
        <v>46222.85</v>
      </c>
      <c r="J48" s="205">
        <f>IFERROR('Data Sheet'!I58,0)</f>
        <v>47771.29</v>
      </c>
      <c r="K48" s="205">
        <f>IFERROR('Data Sheet'!J58,0)</f>
        <v>55755.45</v>
      </c>
      <c r="L48" s="205">
        <f>IFERROR('Data Sheet'!K58,0)</f>
        <v>63426.82</v>
      </c>
      <c r="M48" s="19"/>
    </row>
    <row r="49" spans="2:13" x14ac:dyDescent="0.45">
      <c r="B49" s="6" t="s">
        <v>62</v>
      </c>
      <c r="C49" s="205">
        <f>IFERROR('Data Sheet'!B59,0)</f>
        <v>8996.11</v>
      </c>
      <c r="D49" s="205">
        <f>IFERROR('Data Sheet'!C59,0)</f>
        <v>8496.76</v>
      </c>
      <c r="E49" s="205">
        <f>IFERROR('Data Sheet'!D59,0)</f>
        <v>9831.77</v>
      </c>
      <c r="F49" s="205">
        <f>IFERROR('Data Sheet'!E59,0)</f>
        <v>10385.27</v>
      </c>
      <c r="G49" s="205">
        <f>IFERROR('Data Sheet'!F59,0)</f>
        <v>10514.36</v>
      </c>
      <c r="H49" s="205">
        <f>IFERROR('Data Sheet'!G59,0)</f>
        <v>8314.8799999999992</v>
      </c>
      <c r="I49" s="205">
        <f>IFERROR('Data Sheet'!H59,0)</f>
        <v>3868.58</v>
      </c>
      <c r="J49" s="205">
        <f>IFERROR('Data Sheet'!I59,0)</f>
        <v>1290.3</v>
      </c>
      <c r="K49" s="205">
        <f>IFERROR('Data Sheet'!J59,0)</f>
        <v>6885.87</v>
      </c>
      <c r="L49" s="205">
        <f>IFERROR('Data Sheet'!K59,0)</f>
        <v>3273.67</v>
      </c>
      <c r="M49" s="19"/>
    </row>
    <row r="50" spans="2:13" x14ac:dyDescent="0.45">
      <c r="B50" s="6" t="s">
        <v>63</v>
      </c>
      <c r="C50" s="205">
        <f>IFERROR('Data Sheet'!B60,0)</f>
        <v>14088.99</v>
      </c>
      <c r="D50" s="205">
        <f>IFERROR('Data Sheet'!C60,0)</f>
        <v>13948.26</v>
      </c>
      <c r="E50" s="205">
        <f>IFERROR('Data Sheet'!D60,0)</f>
        <v>14624.01</v>
      </c>
      <c r="F50" s="205">
        <f>IFERROR('Data Sheet'!E60,0)</f>
        <v>15598.01</v>
      </c>
      <c r="G50" s="205">
        <f>IFERROR('Data Sheet'!F60,0)</f>
        <v>12666.11</v>
      </c>
      <c r="H50" s="205">
        <f>IFERROR('Data Sheet'!G60,0)</f>
        <v>14614.99</v>
      </c>
      <c r="I50" s="205">
        <f>IFERROR('Data Sheet'!H60,0)</f>
        <v>17290.86</v>
      </c>
      <c r="J50" s="205">
        <f>IFERROR('Data Sheet'!I60,0)</f>
        <v>20474.39</v>
      </c>
      <c r="K50" s="205">
        <f>IFERROR('Data Sheet'!J60,0)</f>
        <v>17830.650000000001</v>
      </c>
      <c r="L50" s="205">
        <f>IFERROR('Data Sheet'!K60,0)</f>
        <v>18367.400000000001</v>
      </c>
      <c r="M50" s="19"/>
    </row>
    <row r="51" spans="2:13" x14ac:dyDescent="0.45">
      <c r="B51" s="27" t="s">
        <v>108</v>
      </c>
      <c r="C51" s="206">
        <f>IFERROR('Data Sheet'!B61,0)</f>
        <v>48723.19</v>
      </c>
      <c r="D51" s="206">
        <f>IFERROR('Data Sheet'!C61,0)</f>
        <v>55427.5</v>
      </c>
      <c r="E51" s="206">
        <f>IFERROR('Data Sheet'!D61,0)</f>
        <v>61095.45</v>
      </c>
      <c r="F51" s="206">
        <f>IFERROR('Data Sheet'!E61,0)</f>
        <v>64297.39</v>
      </c>
      <c r="G51" s="206">
        <f>IFERROR('Data Sheet'!F61,0)</f>
        <v>64589.53</v>
      </c>
      <c r="H51" s="206">
        <f>IFERROR('Data Sheet'!G61,0)</f>
        <v>68194.320000000007</v>
      </c>
      <c r="I51" s="206">
        <f>IFERROR('Data Sheet'!H61,0)</f>
        <v>67622.22</v>
      </c>
      <c r="J51" s="206">
        <f>IFERROR('Data Sheet'!I61,0)</f>
        <v>69775.91</v>
      </c>
      <c r="K51" s="206">
        <f>IFERROR('Data Sheet'!J61,0)</f>
        <v>80711.899999999994</v>
      </c>
      <c r="L51" s="206">
        <f>IFERROR('Data Sheet'!K61,0)</f>
        <v>85307.82</v>
      </c>
      <c r="M51" s="24"/>
    </row>
    <row r="52" spans="2:13" x14ac:dyDescent="0.45">
      <c r="B52" s="1"/>
      <c r="C52" s="14"/>
      <c r="D52" s="14"/>
      <c r="E52" s="14"/>
      <c r="F52" s="14"/>
      <c r="G52" s="14"/>
      <c r="H52" s="14"/>
      <c r="I52" s="14"/>
      <c r="J52" s="14"/>
      <c r="K52" s="14"/>
      <c r="L52" s="14"/>
    </row>
    <row r="53" spans="2:13" x14ac:dyDescent="0.45">
      <c r="B53" s="4" t="s">
        <v>110</v>
      </c>
      <c r="C53" s="205">
        <f>IFERROR('Data Sheet'!B62,0)</f>
        <v>12682.47</v>
      </c>
      <c r="D53" s="205">
        <f>IFERROR('Data Sheet'!C62,0)</f>
        <v>15872.25</v>
      </c>
      <c r="E53" s="205">
        <f>IFERROR('Data Sheet'!D62,0)</f>
        <v>17675.169999999998</v>
      </c>
      <c r="F53" s="205">
        <f>IFERROR('Data Sheet'!E62,0)</f>
        <v>18852.650000000001</v>
      </c>
      <c r="G53" s="205">
        <f>IFERROR('Data Sheet'!F62,0)</f>
        <v>21836.54</v>
      </c>
      <c r="H53" s="205">
        <f>IFERROR('Data Sheet'!G62,0)</f>
        <v>22846.91</v>
      </c>
      <c r="I53" s="205">
        <f>IFERROR('Data Sheet'!H62,0)</f>
        <v>21552.98</v>
      </c>
      <c r="J53" s="205">
        <f>IFERROR('Data Sheet'!I62,0)</f>
        <v>22665.16</v>
      </c>
      <c r="K53" s="205">
        <f>IFERROR('Data Sheet'!J62,0)</f>
        <v>24065.439999999999</v>
      </c>
      <c r="L53" s="205">
        <f>IFERROR('Data Sheet'!K62,0)</f>
        <v>23211.38</v>
      </c>
      <c r="M53" s="19"/>
    </row>
    <row r="54" spans="2:13" x14ac:dyDescent="0.45">
      <c r="B54" s="6" t="s">
        <v>28</v>
      </c>
      <c r="C54" s="205">
        <f>IFERROR('Data Sheet'!B63,0)</f>
        <v>2038.61</v>
      </c>
      <c r="D54" s="205">
        <f>IFERROR('Data Sheet'!C63,0)</f>
        <v>2175.4499999999998</v>
      </c>
      <c r="E54" s="205">
        <f>IFERROR('Data Sheet'!D63,0)</f>
        <v>2801.38</v>
      </c>
      <c r="F54" s="205">
        <f>IFERROR('Data Sheet'!E63,0)</f>
        <v>2465.16</v>
      </c>
      <c r="G54" s="205">
        <f>IFERROR('Data Sheet'!F63,0)</f>
        <v>1411.15</v>
      </c>
      <c r="H54" s="205">
        <f>IFERROR('Data Sheet'!G63,0)</f>
        <v>1220.3399999999999</v>
      </c>
      <c r="I54" s="205">
        <f>IFERROR('Data Sheet'!H63,0)</f>
        <v>1566.83</v>
      </c>
      <c r="J54" s="205">
        <f>IFERROR('Data Sheet'!I63,0)</f>
        <v>1286.8</v>
      </c>
      <c r="K54" s="205">
        <f>IFERROR('Data Sheet'!J63,0)</f>
        <v>4973.16</v>
      </c>
      <c r="L54" s="205">
        <f>IFERROR('Data Sheet'!K63,0)</f>
        <v>5353.88</v>
      </c>
      <c r="M54" s="19"/>
    </row>
    <row r="55" spans="2:13" x14ac:dyDescent="0.45">
      <c r="B55" s="6" t="s">
        <v>29</v>
      </c>
      <c r="C55" s="205">
        <f>IFERROR('Data Sheet'!B64,0)</f>
        <v>2716.3</v>
      </c>
      <c r="D55" s="205">
        <f>IFERROR('Data Sheet'!C64,0)</f>
        <v>1829.88</v>
      </c>
      <c r="E55" s="205">
        <f>IFERROR('Data Sheet'!D64,0)</f>
        <v>1191.8800000000001</v>
      </c>
      <c r="F55" s="205">
        <f>IFERROR('Data Sheet'!E64,0)</f>
        <v>7142.87</v>
      </c>
      <c r="G55" s="205">
        <f>IFERROR('Data Sheet'!F64,0)</f>
        <v>7902.53</v>
      </c>
      <c r="H55" s="205">
        <f>IFERROR('Data Sheet'!G64,0)</f>
        <v>10143.11</v>
      </c>
      <c r="I55" s="205">
        <f>IFERROR('Data Sheet'!H64,0)</f>
        <v>9612.4500000000007</v>
      </c>
      <c r="J55" s="205">
        <f>IFERROR('Data Sheet'!I64,0)</f>
        <v>12848.59</v>
      </c>
      <c r="K55" s="205">
        <f>IFERROR('Data Sheet'!J64,0)</f>
        <v>14824.34</v>
      </c>
      <c r="L55" s="205">
        <f>IFERROR('Data Sheet'!K64,0)</f>
        <v>15025.77</v>
      </c>
      <c r="M55" s="19"/>
    </row>
    <row r="56" spans="2:13" x14ac:dyDescent="0.45">
      <c r="B56" s="6" t="s">
        <v>64</v>
      </c>
      <c r="C56" s="205">
        <f>IFERROR('Data Sheet'!B65-SUM('Data Sheet'!B67:B69),0)</f>
        <v>9513.6500000000015</v>
      </c>
      <c r="D56" s="205">
        <f>IFERROR('Data Sheet'!C65-SUM('Data Sheet'!C67:C69),0)</f>
        <v>9170.07</v>
      </c>
      <c r="E56" s="205">
        <f>IFERROR('Data Sheet'!D65-SUM('Data Sheet'!D67:D69),0)</f>
        <v>10250.759999999995</v>
      </c>
      <c r="F56" s="205">
        <f>IFERROR('Data Sheet'!E65-SUM('Data Sheet'!E67:E69),0)</f>
        <v>11211.36</v>
      </c>
      <c r="G56" s="205">
        <f>IFERROR('Data Sheet'!F65-SUM('Data Sheet'!F67:F69),0)</f>
        <v>9393.5299999999988</v>
      </c>
      <c r="H56" s="205">
        <f>IFERROR('Data Sheet'!G65-SUM('Data Sheet'!G67:G69),0)</f>
        <v>10200.18</v>
      </c>
      <c r="I56" s="205">
        <f>IFERROR('Data Sheet'!H65-SUM('Data Sheet'!H67:H69),0)</f>
        <v>10386.029999999999</v>
      </c>
      <c r="J56" s="205">
        <f>IFERROR('Data Sheet'!I65-SUM('Data Sheet'!I67:I69),0)</f>
        <v>8532.2900000000009</v>
      </c>
      <c r="K56" s="205">
        <f>IFERROR('Data Sheet'!J65-SUM('Data Sheet'!J67:J69),0)</f>
        <v>9127.11</v>
      </c>
      <c r="L56" s="205">
        <f>IFERROR('Data Sheet'!K65-SUM('Data Sheet'!K67:K69),0)</f>
        <v>10078.449999999997</v>
      </c>
      <c r="M56" s="19"/>
    </row>
    <row r="57" spans="2:13" x14ac:dyDescent="0.45">
      <c r="B57" s="27" t="s">
        <v>111</v>
      </c>
      <c r="C57" s="206">
        <f>IFERROR(SUM(C53:C56),0)</f>
        <v>26951.030000000002</v>
      </c>
      <c r="D57" s="206">
        <f t="shared" ref="D57:L57" si="18">IFERROR(SUM(D53:D56),0)</f>
        <v>29047.65</v>
      </c>
      <c r="E57" s="206">
        <f t="shared" si="18"/>
        <v>31919.189999999995</v>
      </c>
      <c r="F57" s="206">
        <f t="shared" si="18"/>
        <v>39672.04</v>
      </c>
      <c r="G57" s="206">
        <f t="shared" si="18"/>
        <v>40543.75</v>
      </c>
      <c r="H57" s="206">
        <f t="shared" si="18"/>
        <v>44410.54</v>
      </c>
      <c r="I57" s="206">
        <f t="shared" si="18"/>
        <v>43118.289999999994</v>
      </c>
      <c r="J57" s="206">
        <f t="shared" si="18"/>
        <v>45332.840000000004</v>
      </c>
      <c r="K57" s="206">
        <f t="shared" si="18"/>
        <v>52990.05</v>
      </c>
      <c r="L57" s="206">
        <f t="shared" si="18"/>
        <v>53669.479999999996</v>
      </c>
      <c r="M57" s="24"/>
    </row>
    <row r="58" spans="2:13" x14ac:dyDescent="0.45">
      <c r="B58" s="1"/>
      <c r="C58" s="14"/>
      <c r="D58" s="14"/>
      <c r="E58" s="14"/>
      <c r="F58" s="14"/>
      <c r="G58" s="14"/>
      <c r="H58" s="14"/>
      <c r="I58" s="14"/>
      <c r="J58" s="14"/>
      <c r="K58" s="14"/>
      <c r="L58" s="14"/>
    </row>
    <row r="59" spans="2:13" x14ac:dyDescent="0.45">
      <c r="B59" s="6" t="s">
        <v>69</v>
      </c>
      <c r="C59" s="205">
        <f>IFERROR('Data Sheet'!B67,0)</f>
        <v>5106.13</v>
      </c>
      <c r="D59" s="205">
        <f>IFERROR('Data Sheet'!C67,0)</f>
        <v>6775.66</v>
      </c>
      <c r="E59" s="205">
        <f>IFERROR('Data Sheet'!D67,0)</f>
        <v>7202.61</v>
      </c>
      <c r="F59" s="205">
        <f>IFERROR('Data Sheet'!E67,0)</f>
        <v>7815.28</v>
      </c>
      <c r="G59" s="205">
        <f>IFERROR('Data Sheet'!F67,0)</f>
        <v>8884.2000000000007</v>
      </c>
      <c r="H59" s="205">
        <f>IFERROR('Data Sheet'!G67,0)</f>
        <v>9421.24</v>
      </c>
      <c r="I59" s="205">
        <f>IFERROR('Data Sheet'!H67,0)</f>
        <v>9061.4</v>
      </c>
      <c r="J59" s="205">
        <f>IFERROR('Data Sheet'!I67,0)</f>
        <v>10484.59</v>
      </c>
      <c r="K59" s="205">
        <f>IFERROR('Data Sheet'!J67,0)</f>
        <v>11438.51</v>
      </c>
      <c r="L59" s="205">
        <f>IFERROR('Data Sheet'!K67,0)</f>
        <v>11249.37</v>
      </c>
      <c r="M59" s="19"/>
    </row>
    <row r="60" spans="2:13" x14ac:dyDescent="0.45">
      <c r="B60" s="6" t="s">
        <v>45</v>
      </c>
      <c r="C60" s="205">
        <f>IFERROR('Data Sheet'!B68,0)</f>
        <v>5667.99</v>
      </c>
      <c r="D60" s="205">
        <f>IFERROR('Data Sheet'!C68,0)</f>
        <v>6422.54</v>
      </c>
      <c r="E60" s="205">
        <f>IFERROR('Data Sheet'!D68,0)</f>
        <v>6832.81</v>
      </c>
      <c r="F60" s="205">
        <f>IFERROR('Data Sheet'!E68,0)</f>
        <v>6880.69</v>
      </c>
      <c r="G60" s="205">
        <f>IFERROR('Data Sheet'!F68,0)</f>
        <v>7885.98</v>
      </c>
      <c r="H60" s="205">
        <f>IFERROR('Data Sheet'!G68,0)</f>
        <v>7874.99</v>
      </c>
      <c r="I60" s="205">
        <f>IFERROR('Data Sheet'!H68,0)</f>
        <v>8997.02</v>
      </c>
      <c r="J60" s="205">
        <f>IFERROR('Data Sheet'!I68,0)</f>
        <v>8925.1299999999992</v>
      </c>
      <c r="K60" s="205">
        <f>IFERROR('Data Sheet'!J68,0)</f>
        <v>10513.05</v>
      </c>
      <c r="L60" s="205">
        <f>IFERROR('Data Sheet'!K68,0)</f>
        <v>9868.2900000000009</v>
      </c>
      <c r="M60" s="19"/>
    </row>
    <row r="61" spans="2:13" x14ac:dyDescent="0.45">
      <c r="B61" s="4" t="s">
        <v>78</v>
      </c>
      <c r="C61" s="205">
        <f>IFERROR('Data Sheet'!B69,0)</f>
        <v>10998.04</v>
      </c>
      <c r="D61" s="205">
        <f>IFERROR('Data Sheet'!C69,0)</f>
        <v>13181.65</v>
      </c>
      <c r="E61" s="205">
        <f>IFERROR('Data Sheet'!D69,0)</f>
        <v>15140.84</v>
      </c>
      <c r="F61" s="205">
        <f>IFERROR('Data Sheet'!E69,0)</f>
        <v>9929.3799999999992</v>
      </c>
      <c r="G61" s="205">
        <f>IFERROR('Data Sheet'!F69,0)</f>
        <v>7275.6</v>
      </c>
      <c r="H61" s="205">
        <f>IFERROR('Data Sheet'!G69,0)</f>
        <v>6487.55</v>
      </c>
      <c r="I61" s="205">
        <f>IFERROR('Data Sheet'!H69,0)</f>
        <v>6445.51</v>
      </c>
      <c r="J61" s="205">
        <f>IFERROR('Data Sheet'!I69,0)</f>
        <v>5033.3500000000004</v>
      </c>
      <c r="K61" s="205">
        <f>IFERROR('Data Sheet'!J69,0)</f>
        <v>5770.29</v>
      </c>
      <c r="L61" s="205">
        <f>IFERROR('Data Sheet'!K69,0)</f>
        <v>10520.68</v>
      </c>
      <c r="M61" s="19"/>
    </row>
    <row r="62" spans="2:13" x14ac:dyDescent="0.45">
      <c r="B62" s="26" t="s">
        <v>112</v>
      </c>
      <c r="C62" s="206">
        <f>IFERROR(SUM(C59:C61),0)</f>
        <v>21772.16</v>
      </c>
      <c r="D62" s="206">
        <f t="shared" ref="D62:L62" si="19">IFERROR(SUM(D59:D61),0)</f>
        <v>26379.85</v>
      </c>
      <c r="E62" s="206">
        <f t="shared" si="19"/>
        <v>29176.260000000002</v>
      </c>
      <c r="F62" s="206">
        <f t="shared" si="19"/>
        <v>24625.35</v>
      </c>
      <c r="G62" s="206">
        <f t="shared" si="19"/>
        <v>24045.78</v>
      </c>
      <c r="H62" s="206">
        <f t="shared" si="19"/>
        <v>23783.78</v>
      </c>
      <c r="I62" s="206">
        <f t="shared" si="19"/>
        <v>24503.93</v>
      </c>
      <c r="J62" s="206">
        <f t="shared" si="19"/>
        <v>24443.07</v>
      </c>
      <c r="K62" s="206">
        <f t="shared" si="19"/>
        <v>27721.85</v>
      </c>
      <c r="L62" s="206">
        <f t="shared" si="19"/>
        <v>31638.340000000004</v>
      </c>
      <c r="M62" s="24"/>
    </row>
    <row r="64" spans="2:13" x14ac:dyDescent="0.45">
      <c r="B64" s="26" t="s">
        <v>109</v>
      </c>
      <c r="C64" s="137">
        <f>IFERROR(SUM(C62+C57),0)</f>
        <v>48723.19</v>
      </c>
      <c r="D64" s="137">
        <f t="shared" ref="D64:L64" si="20">IFERROR(SUM(D62+D57),0)</f>
        <v>55427.5</v>
      </c>
      <c r="E64" s="137">
        <f t="shared" si="20"/>
        <v>61095.45</v>
      </c>
      <c r="F64" s="137">
        <f t="shared" si="20"/>
        <v>64297.39</v>
      </c>
      <c r="G64" s="137">
        <f t="shared" si="20"/>
        <v>64589.53</v>
      </c>
      <c r="H64" s="137">
        <f t="shared" si="20"/>
        <v>68194.320000000007</v>
      </c>
      <c r="I64" s="137">
        <f t="shared" si="20"/>
        <v>67622.22</v>
      </c>
      <c r="J64" s="137">
        <f t="shared" si="20"/>
        <v>69775.91</v>
      </c>
      <c r="K64" s="137">
        <f t="shared" si="20"/>
        <v>80711.899999999994</v>
      </c>
      <c r="L64" s="137">
        <f t="shared" si="20"/>
        <v>85307.82</v>
      </c>
    </row>
    <row r="66" spans="1:13" x14ac:dyDescent="0.45">
      <c r="B66" s="20" t="s">
        <v>113</v>
      </c>
      <c r="C66" s="138" t="b">
        <f>C64=C51</f>
        <v>1</v>
      </c>
      <c r="D66" s="138" t="b">
        <f t="shared" ref="D66:L66" si="21">D64=D51</f>
        <v>1</v>
      </c>
      <c r="E66" s="138" t="b">
        <f t="shared" si="21"/>
        <v>1</v>
      </c>
      <c r="F66" s="138" t="b">
        <f t="shared" si="21"/>
        <v>1</v>
      </c>
      <c r="G66" s="138" t="b">
        <f t="shared" si="21"/>
        <v>1</v>
      </c>
      <c r="H66" s="138" t="b">
        <f t="shared" si="21"/>
        <v>1</v>
      </c>
      <c r="I66" s="138" t="b">
        <f t="shared" si="21"/>
        <v>1</v>
      </c>
      <c r="J66" s="138" t="b">
        <f t="shared" si="21"/>
        <v>1</v>
      </c>
      <c r="K66" s="138" t="b">
        <f t="shared" si="21"/>
        <v>1</v>
      </c>
      <c r="L66" s="138" t="b">
        <f t="shared" si="21"/>
        <v>1</v>
      </c>
    </row>
    <row r="68" spans="1:13" x14ac:dyDescent="0.45">
      <c r="A68" t="s">
        <v>83</v>
      </c>
      <c r="B68" s="22" t="s">
        <v>140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 x14ac:dyDescent="0.45">
      <c r="B69" s="2" t="s">
        <v>142</v>
      </c>
    </row>
    <row r="70" spans="1:13" x14ac:dyDescent="0.45">
      <c r="B70" t="s">
        <v>115</v>
      </c>
      <c r="C70" s="203">
        <f>IFERROR('Cash Flow Data'!E4,0)</f>
        <v>7177</v>
      </c>
      <c r="D70" s="203">
        <f>IFERROR('Cash Flow Data'!F4,0)</f>
        <v>8428</v>
      </c>
      <c r="E70" s="203">
        <f>IFERROR('Cash Flow Data'!G4,0)</f>
        <v>9549</v>
      </c>
      <c r="F70" s="203">
        <f>IFERROR('Cash Flow Data'!H4,0)</f>
        <v>4861</v>
      </c>
      <c r="G70" s="203">
        <f>IFERROR('Cash Flow Data'!I4,0)</f>
        <v>5779</v>
      </c>
      <c r="H70" s="203">
        <f>IFERROR('Cash Flow Data'!J4,0)</f>
        <v>7002</v>
      </c>
      <c r="I70" s="203">
        <f>IFERROR('Cash Flow Data'!K4,0)</f>
        <v>4609</v>
      </c>
      <c r="J70" s="203">
        <f>IFERROR('Cash Flow Data'!L4,0)</f>
        <v>6456</v>
      </c>
      <c r="K70" s="203">
        <f>IFERROR('Cash Flow Data'!M4,0)</f>
        <v>12131</v>
      </c>
      <c r="L70" s="203">
        <f>IFERROR('Cash Flow Data'!N4,0)</f>
        <v>12642</v>
      </c>
    </row>
    <row r="71" spans="1:13" x14ac:dyDescent="0.45">
      <c r="B71" t="s">
        <v>69</v>
      </c>
      <c r="C71" s="203">
        <f>IFERROR('Cash Flow Data'!E5,0)</f>
        <v>-1046</v>
      </c>
      <c r="D71" s="203">
        <f>IFERROR('Cash Flow Data'!F5,0)</f>
        <v>-1810</v>
      </c>
      <c r="E71" s="203">
        <f>IFERROR('Cash Flow Data'!G5,0)</f>
        <v>-293</v>
      </c>
      <c r="F71" s="203">
        <f>IFERROR('Cash Flow Data'!H5,0)</f>
        <v>-773</v>
      </c>
      <c r="G71" s="203">
        <f>IFERROR('Cash Flow Data'!I5,0)</f>
        <v>-858</v>
      </c>
      <c r="H71" s="203">
        <f>IFERROR('Cash Flow Data'!J5,0)</f>
        <v>-374</v>
      </c>
      <c r="I71" s="203">
        <f>IFERROR('Cash Flow Data'!K5,0)</f>
        <v>94</v>
      </c>
      <c r="J71" s="203">
        <f>IFERROR('Cash Flow Data'!L5,0)</f>
        <v>-1342</v>
      </c>
      <c r="K71" s="203">
        <f>IFERROR('Cash Flow Data'!M5,0)</f>
        <v>-953</v>
      </c>
      <c r="L71" s="203">
        <f>IFERROR('Cash Flow Data'!N5,0)</f>
        <v>353</v>
      </c>
    </row>
    <row r="72" spans="1:13" x14ac:dyDescent="0.45">
      <c r="B72" t="s">
        <v>45</v>
      </c>
      <c r="C72" s="203">
        <f>IFERROR('Cash Flow Data'!E6,0)</f>
        <v>190</v>
      </c>
      <c r="D72" s="203">
        <f>IFERROR('Cash Flow Data'!F6,0)</f>
        <v>-167</v>
      </c>
      <c r="E72" s="203">
        <f>IFERROR('Cash Flow Data'!G6,0)</f>
        <v>-345</v>
      </c>
      <c r="F72" s="203">
        <f>IFERROR('Cash Flow Data'!H6,0)</f>
        <v>-4</v>
      </c>
      <c r="G72" s="203">
        <f>IFERROR('Cash Flow Data'!I6,0)</f>
        <v>-709</v>
      </c>
      <c r="H72" s="203">
        <f>IFERROR('Cash Flow Data'!J6,0)</f>
        <v>257</v>
      </c>
      <c r="I72" s="203">
        <f>IFERROR('Cash Flow Data'!K6,0)</f>
        <v>-1080</v>
      </c>
      <c r="J72" s="203">
        <f>IFERROR('Cash Flow Data'!L6,0)</f>
        <v>307</v>
      </c>
      <c r="K72" s="203">
        <f>IFERROR('Cash Flow Data'!M6,0)</f>
        <v>-1202</v>
      </c>
      <c r="L72" s="203">
        <f>IFERROR('Cash Flow Data'!N6,0)</f>
        <v>599</v>
      </c>
    </row>
    <row r="73" spans="1:13" x14ac:dyDescent="0.45">
      <c r="B73" t="s">
        <v>116</v>
      </c>
      <c r="C73" s="203">
        <f>IFERROR('Cash Flow Data'!E7,0)</f>
        <v>341</v>
      </c>
      <c r="D73" s="203">
        <f>IFERROR('Cash Flow Data'!F7,0)</f>
        <v>362</v>
      </c>
      <c r="E73" s="203">
        <f>IFERROR('Cash Flow Data'!G7,0)</f>
        <v>735</v>
      </c>
      <c r="F73" s="203">
        <f>IFERROR('Cash Flow Data'!H7,0)</f>
        <v>383</v>
      </c>
      <c r="G73" s="203">
        <f>IFERROR('Cash Flow Data'!I7,0)</f>
        <v>-854</v>
      </c>
      <c r="H73" s="203">
        <f>IFERROR('Cash Flow Data'!J7,0)</f>
        <v>-210</v>
      </c>
      <c r="I73" s="203">
        <f>IFERROR('Cash Flow Data'!K7,0)</f>
        <v>381</v>
      </c>
      <c r="J73" s="203">
        <f>IFERROR('Cash Flow Data'!L7,0)</f>
        <v>370</v>
      </c>
      <c r="K73" s="203">
        <f>IFERROR('Cash Flow Data'!M7,0)</f>
        <v>1182</v>
      </c>
      <c r="L73" s="203">
        <f>IFERROR('Cash Flow Data'!N7,0)</f>
        <v>250</v>
      </c>
    </row>
    <row r="74" spans="1:13" x14ac:dyDescent="0.45">
      <c r="B74" t="s">
        <v>117</v>
      </c>
      <c r="C74" s="203">
        <f>IFERROR('Cash Flow Data'!E8,0)</f>
        <v>28</v>
      </c>
      <c r="D74" s="203">
        <f>IFERROR('Cash Flow Data'!F8,0)</f>
        <v>0</v>
      </c>
      <c r="E74" s="203">
        <f>IFERROR('Cash Flow Data'!G8,0)</f>
        <v>0</v>
      </c>
      <c r="F74" s="203">
        <f>IFERROR('Cash Flow Data'!H8,0)</f>
        <v>0</v>
      </c>
      <c r="G74" s="203">
        <f>IFERROR('Cash Flow Data'!I8,0)</f>
        <v>0</v>
      </c>
      <c r="H74" s="203">
        <f>IFERROR('Cash Flow Data'!J8,0)</f>
        <v>0</v>
      </c>
      <c r="I74" s="203">
        <f>IFERROR('Cash Flow Data'!K8,0)</f>
        <v>0</v>
      </c>
      <c r="J74" s="203">
        <f>IFERROR('Cash Flow Data'!L8,0)</f>
        <v>0</v>
      </c>
      <c r="K74" s="203">
        <f>IFERROR('Cash Flow Data'!M8,0)</f>
        <v>0</v>
      </c>
      <c r="L74" s="203">
        <f>IFERROR('Cash Flow Data'!N8,0)</f>
        <v>0</v>
      </c>
    </row>
    <row r="75" spans="1:13" x14ac:dyDescent="0.45">
      <c r="B75" t="s">
        <v>118</v>
      </c>
      <c r="C75" s="203">
        <f>IFERROR('Cash Flow Data'!E9,0)</f>
        <v>667</v>
      </c>
      <c r="D75" s="203">
        <f>IFERROR('Cash Flow Data'!F9,0)</f>
        <v>1861</v>
      </c>
      <c r="E75" s="203">
        <f>IFERROR('Cash Flow Data'!G9,0)</f>
        <v>-506</v>
      </c>
      <c r="F75" s="203">
        <f>IFERROR('Cash Flow Data'!H9,0)</f>
        <v>182</v>
      </c>
      <c r="G75" s="203">
        <f>IFERROR('Cash Flow Data'!I9,0)</f>
        <v>-275</v>
      </c>
      <c r="H75" s="203">
        <f>IFERROR('Cash Flow Data'!J9,0)</f>
        <v>1226</v>
      </c>
      <c r="I75" s="203">
        <f>IFERROR('Cash Flow Data'!K9,0)</f>
        <v>3169</v>
      </c>
      <c r="J75" s="203">
        <f>IFERROR('Cash Flow Data'!L9,0)</f>
        <v>2224</v>
      </c>
      <c r="K75" s="203">
        <f>IFERROR('Cash Flow Data'!M9,0)</f>
        <v>-4689</v>
      </c>
      <c r="L75" s="203">
        <f>IFERROR('Cash Flow Data'!N9,0)</f>
        <v>-139</v>
      </c>
    </row>
    <row r="76" spans="1:13" x14ac:dyDescent="0.45">
      <c r="B76" t="s">
        <v>119</v>
      </c>
      <c r="C76" s="203">
        <f>IFERROR('Cash Flow Data'!E10,0)</f>
        <v>180</v>
      </c>
      <c r="D76" s="203">
        <f>IFERROR('Cash Flow Data'!F10,0)</f>
        <v>247</v>
      </c>
      <c r="E76" s="203">
        <f>IFERROR('Cash Flow Data'!G10,0)</f>
        <v>-409</v>
      </c>
      <c r="F76" s="203">
        <f>IFERROR('Cash Flow Data'!H10,0)</f>
        <v>-212</v>
      </c>
      <c r="G76" s="203">
        <f>IFERROR('Cash Flow Data'!I10,0)</f>
        <v>-2696</v>
      </c>
      <c r="H76" s="203">
        <f>IFERROR('Cash Flow Data'!J10,0)</f>
        <v>899</v>
      </c>
      <c r="I76" s="203">
        <f>IFERROR('Cash Flow Data'!K10,0)</f>
        <v>2564</v>
      </c>
      <c r="J76" s="203">
        <f>IFERROR('Cash Flow Data'!L10,0)</f>
        <v>1559</v>
      </c>
      <c r="K76" s="203">
        <f>IFERROR('Cash Flow Data'!M10,0)</f>
        <v>-5662</v>
      </c>
      <c r="L76" s="203">
        <f>IFERROR('Cash Flow Data'!N10,0)</f>
        <v>1062</v>
      </c>
    </row>
    <row r="77" spans="1:13" x14ac:dyDescent="0.45">
      <c r="B77" t="s">
        <v>120</v>
      </c>
      <c r="C77" s="203">
        <f>IFERROR('Cash Flow Data'!E11,0)</f>
        <v>-1740</v>
      </c>
      <c r="D77" s="203">
        <f>IFERROR('Cash Flow Data'!F11,0)</f>
        <v>-1988</v>
      </c>
      <c r="E77" s="203">
        <f>IFERROR('Cash Flow Data'!G11,0)</f>
        <v>-2057</v>
      </c>
      <c r="F77" s="203">
        <f>IFERROR('Cash Flow Data'!H11,0)</f>
        <v>-742</v>
      </c>
      <c r="G77" s="203">
        <f>IFERROR('Cash Flow Data'!I11,0)</f>
        <v>-886</v>
      </c>
      <c r="H77" s="203">
        <f>IFERROR('Cash Flow Data'!J11,0)</f>
        <v>-1346</v>
      </c>
      <c r="I77" s="203">
        <f>IFERROR('Cash Flow Data'!K11,0)</f>
        <v>-1003</v>
      </c>
      <c r="J77" s="203">
        <f>IFERROR('Cash Flow Data'!L11,0)</f>
        <v>969</v>
      </c>
      <c r="K77" s="203">
        <f>IFERROR('Cash Flow Data'!M11,0)</f>
        <v>-1510</v>
      </c>
      <c r="L77" s="203">
        <f>IFERROR('Cash Flow Data'!N11,0)</f>
        <v>-1569</v>
      </c>
    </row>
    <row r="78" spans="1:13" s="2" customFormat="1" x14ac:dyDescent="0.45">
      <c r="B78" s="2" t="s">
        <v>141</v>
      </c>
      <c r="C78" s="204">
        <f>SUM(C70:C77)</f>
        <v>5797</v>
      </c>
      <c r="D78" s="204">
        <f t="shared" ref="D78:L78" si="22">SUM(D70:D77)</f>
        <v>6933</v>
      </c>
      <c r="E78" s="204">
        <f t="shared" si="22"/>
        <v>6674</v>
      </c>
      <c r="F78" s="204">
        <f t="shared" si="22"/>
        <v>3695</v>
      </c>
      <c r="G78" s="204">
        <f t="shared" si="22"/>
        <v>-499</v>
      </c>
      <c r="H78" s="204">
        <f t="shared" si="22"/>
        <v>7454</v>
      </c>
      <c r="I78" s="204">
        <f t="shared" si="22"/>
        <v>8734</v>
      </c>
      <c r="J78" s="204">
        <f t="shared" si="22"/>
        <v>10543</v>
      </c>
      <c r="K78" s="204">
        <f t="shared" si="22"/>
        <v>-703</v>
      </c>
      <c r="L78" s="204">
        <f t="shared" si="22"/>
        <v>13198</v>
      </c>
    </row>
    <row r="80" spans="1:13" x14ac:dyDescent="0.45">
      <c r="B80" s="2" t="s">
        <v>143</v>
      </c>
    </row>
    <row r="81" spans="2:12" x14ac:dyDescent="0.45">
      <c r="B81" t="s">
        <v>122</v>
      </c>
      <c r="C81" s="203">
        <f>IFERROR('Cash Flow Data'!E13,0)</f>
        <v>-2350</v>
      </c>
      <c r="D81" s="203">
        <f>IFERROR('Cash Flow Data'!F13,0)</f>
        <v>-3404</v>
      </c>
      <c r="E81" s="203">
        <f>IFERROR('Cash Flow Data'!G13,0)</f>
        <v>-3693</v>
      </c>
      <c r="F81" s="203">
        <f>IFERROR('Cash Flow Data'!H13,0)</f>
        <v>-1961</v>
      </c>
      <c r="G81" s="203">
        <f>IFERROR('Cash Flow Data'!I13,0)</f>
        <v>-3213</v>
      </c>
      <c r="H81" s="203">
        <f>IFERROR('Cash Flow Data'!J13,0)</f>
        <v>-1542</v>
      </c>
      <c r="I81" s="203">
        <f>IFERROR('Cash Flow Data'!K13,0)</f>
        <v>-1170</v>
      </c>
      <c r="J81" s="203">
        <f>IFERROR('Cash Flow Data'!L13,0)</f>
        <v>-1495</v>
      </c>
      <c r="K81" s="203">
        <f>IFERROR('Cash Flow Data'!M13,0)</f>
        <v>-2086</v>
      </c>
      <c r="L81" s="203">
        <f>IFERROR('Cash Flow Data'!N13,0)</f>
        <v>-2202</v>
      </c>
    </row>
    <row r="82" spans="2:12" x14ac:dyDescent="0.45">
      <c r="B82" t="s">
        <v>123</v>
      </c>
      <c r="C82" s="203">
        <f>IFERROR('Cash Flow Data'!E14,0)</f>
        <v>50</v>
      </c>
      <c r="D82" s="203">
        <f>IFERROR('Cash Flow Data'!F14,0)</f>
        <v>71</v>
      </c>
      <c r="E82" s="203">
        <f>IFERROR('Cash Flow Data'!G14,0)</f>
        <v>102</v>
      </c>
      <c r="F82" s="203">
        <f>IFERROR('Cash Flow Data'!H14,0)</f>
        <v>66</v>
      </c>
      <c r="G82" s="203">
        <f>IFERROR('Cash Flow Data'!I14,0)</f>
        <v>50</v>
      </c>
      <c r="H82" s="203">
        <f>IFERROR('Cash Flow Data'!J14,0)</f>
        <v>92</v>
      </c>
      <c r="I82" s="203">
        <f>IFERROR('Cash Flow Data'!K14,0)</f>
        <v>97</v>
      </c>
      <c r="J82" s="203">
        <f>IFERROR('Cash Flow Data'!L14,0)</f>
        <v>61</v>
      </c>
      <c r="K82" s="203">
        <f>IFERROR('Cash Flow Data'!M14,0)</f>
        <v>21</v>
      </c>
      <c r="L82" s="203">
        <f>IFERROR('Cash Flow Data'!N14,0)</f>
        <v>31</v>
      </c>
    </row>
    <row r="83" spans="2:12" x14ac:dyDescent="0.45">
      <c r="B83" t="s">
        <v>124</v>
      </c>
      <c r="C83" s="203">
        <f>IFERROR('Cash Flow Data'!E15,0)</f>
        <v>-28802</v>
      </c>
      <c r="D83" s="203">
        <f>IFERROR('Cash Flow Data'!F15,0)</f>
        <v>-40122</v>
      </c>
      <c r="E83" s="203">
        <f>IFERROR('Cash Flow Data'!G15,0)</f>
        <v>-38831</v>
      </c>
      <c r="F83" s="203">
        <f>IFERROR('Cash Flow Data'!H15,0)</f>
        <v>-40587</v>
      </c>
      <c r="G83" s="203">
        <f>IFERROR('Cash Flow Data'!I15,0)</f>
        <v>-35396</v>
      </c>
      <c r="H83" s="203">
        <f>IFERROR('Cash Flow Data'!J15,0)</f>
        <v>-33445</v>
      </c>
      <c r="I83" s="203">
        <f>IFERROR('Cash Flow Data'!K15,0)</f>
        <v>-18542</v>
      </c>
      <c r="J83" s="203">
        <f>IFERROR('Cash Flow Data'!L15,0)</f>
        <v>-24135</v>
      </c>
      <c r="K83" s="203">
        <f>IFERROR('Cash Flow Data'!M15,0)</f>
        <v>-21809</v>
      </c>
      <c r="L83" s="203">
        <f>IFERROR('Cash Flow Data'!N15,0)</f>
        <v>-29004</v>
      </c>
    </row>
    <row r="84" spans="2:12" x14ac:dyDescent="0.45">
      <c r="B84" t="s">
        <v>125</v>
      </c>
      <c r="C84" s="203">
        <f>IFERROR('Cash Flow Data'!E16,0)</f>
        <v>28841</v>
      </c>
      <c r="D84" s="203">
        <f>IFERROR('Cash Flow Data'!F16,0)</f>
        <v>41641</v>
      </c>
      <c r="E84" s="203">
        <f>IFERROR('Cash Flow Data'!G16,0)</f>
        <v>39194</v>
      </c>
      <c r="F84" s="203">
        <f>IFERROR('Cash Flow Data'!H16,0)</f>
        <v>34992</v>
      </c>
      <c r="G84" s="203">
        <f>IFERROR('Cash Flow Data'!I16,0)</f>
        <v>35207</v>
      </c>
      <c r="H84" s="203">
        <f>IFERROR('Cash Flow Data'!J16,0)</f>
        <v>31894</v>
      </c>
      <c r="I84" s="203">
        <f>IFERROR('Cash Flow Data'!K16,0)</f>
        <v>19709</v>
      </c>
      <c r="J84" s="203">
        <f>IFERROR('Cash Flow Data'!L16,0)</f>
        <v>20702</v>
      </c>
      <c r="K84" s="203">
        <f>IFERROR('Cash Flow Data'!M16,0)</f>
        <v>20897</v>
      </c>
      <c r="L84" s="203">
        <f>IFERROR('Cash Flow Data'!N16,0)</f>
        <v>30094</v>
      </c>
    </row>
    <row r="85" spans="2:12" x14ac:dyDescent="0.45">
      <c r="B85" t="s">
        <v>126</v>
      </c>
      <c r="C85" s="203">
        <f>IFERROR('Cash Flow Data'!E17,0)</f>
        <v>289</v>
      </c>
      <c r="D85" s="203">
        <f>IFERROR('Cash Flow Data'!F17,0)</f>
        <v>338</v>
      </c>
      <c r="E85" s="203">
        <f>IFERROR('Cash Flow Data'!G17,0)</f>
        <v>337</v>
      </c>
      <c r="F85" s="203">
        <f>IFERROR('Cash Flow Data'!H17,0)</f>
        <v>510</v>
      </c>
      <c r="G85" s="203">
        <f>IFERROR('Cash Flow Data'!I17,0)</f>
        <v>684</v>
      </c>
      <c r="H85" s="203">
        <f>IFERROR('Cash Flow Data'!J17,0)</f>
        <v>338</v>
      </c>
      <c r="I85" s="203">
        <f>IFERROR('Cash Flow Data'!K17,0)</f>
        <v>72</v>
      </c>
      <c r="J85" s="203">
        <f>IFERROR('Cash Flow Data'!L17,0)</f>
        <v>76</v>
      </c>
      <c r="K85" s="203">
        <f>IFERROR('Cash Flow Data'!M17,0)</f>
        <v>318</v>
      </c>
      <c r="L85" s="203">
        <f>IFERROR('Cash Flow Data'!N17,0)</f>
        <v>613</v>
      </c>
    </row>
    <row r="86" spans="2:12" x14ac:dyDescent="0.45">
      <c r="B86" t="s">
        <v>127</v>
      </c>
      <c r="C86" s="203">
        <f>IFERROR('Cash Flow Data'!E18,0)</f>
        <v>0</v>
      </c>
      <c r="D86" s="203">
        <f>IFERROR('Cash Flow Data'!F18,0)</f>
        <v>50</v>
      </c>
      <c r="E86" s="203">
        <f>IFERROR('Cash Flow Data'!G18,0)</f>
        <v>42</v>
      </c>
      <c r="F86" s="203">
        <f>IFERROR('Cash Flow Data'!H18,0)</f>
        <v>37</v>
      </c>
      <c r="G86" s="203">
        <f>IFERROR('Cash Flow Data'!I18,0)</f>
        <v>22</v>
      </c>
      <c r="H86" s="203">
        <f>IFERROR('Cash Flow Data'!J18,0)</f>
        <v>56</v>
      </c>
      <c r="I86" s="203">
        <f>IFERROR('Cash Flow Data'!K18,0)</f>
        <v>138</v>
      </c>
      <c r="J86" s="203">
        <f>IFERROR('Cash Flow Data'!L18,0)</f>
        <v>134</v>
      </c>
      <c r="K86" s="203">
        <f>IFERROR('Cash Flow Data'!M18,0)</f>
        <v>132</v>
      </c>
      <c r="L86" s="203">
        <f>IFERROR('Cash Flow Data'!N18,0)</f>
        <v>99</v>
      </c>
    </row>
    <row r="87" spans="2:12" x14ac:dyDescent="0.45">
      <c r="B87" t="s">
        <v>128</v>
      </c>
      <c r="C87" s="203">
        <f>IFERROR('Cash Flow Data'!E19,0)</f>
        <v>0</v>
      </c>
      <c r="D87" s="203">
        <f>IFERROR('Cash Flow Data'!F19,0)</f>
        <v>0</v>
      </c>
      <c r="E87" s="203">
        <f>IFERROR('Cash Flow Data'!G19,0)</f>
        <v>0</v>
      </c>
      <c r="F87" s="203">
        <f>IFERROR('Cash Flow Data'!H19,0)</f>
        <v>0</v>
      </c>
      <c r="G87" s="203">
        <f>IFERROR('Cash Flow Data'!I19,0)</f>
        <v>0</v>
      </c>
      <c r="H87" s="203">
        <f>IFERROR('Cash Flow Data'!J19,0)</f>
        <v>0</v>
      </c>
      <c r="I87" s="203">
        <f>IFERROR('Cash Flow Data'!K19,0)</f>
        <v>0</v>
      </c>
      <c r="J87" s="203">
        <f>IFERROR('Cash Flow Data'!L19,0)</f>
        <v>-15</v>
      </c>
      <c r="K87" s="203">
        <f>IFERROR('Cash Flow Data'!M19,0)</f>
        <v>-155</v>
      </c>
      <c r="L87" s="203">
        <f>IFERROR('Cash Flow Data'!N19,0)</f>
        <v>-87</v>
      </c>
    </row>
    <row r="88" spans="2:12" x14ac:dyDescent="0.45">
      <c r="B88" t="s">
        <v>129</v>
      </c>
      <c r="C88" s="203">
        <f>IFERROR('Cash Flow Data'!E20,0)</f>
        <v>0</v>
      </c>
      <c r="D88" s="203">
        <f>IFERROR('Cash Flow Data'!F20,0)</f>
        <v>0</v>
      </c>
      <c r="E88" s="203">
        <f>IFERROR('Cash Flow Data'!G20,0)</f>
        <v>0</v>
      </c>
      <c r="F88" s="203">
        <f>IFERROR('Cash Flow Data'!H20,0)</f>
        <v>0</v>
      </c>
      <c r="G88" s="203">
        <f>IFERROR('Cash Flow Data'!I20,0)</f>
        <v>0</v>
      </c>
      <c r="H88" s="203">
        <f>IFERROR('Cash Flow Data'!J20,0)</f>
        <v>0</v>
      </c>
      <c r="I88" s="203">
        <f>IFERROR('Cash Flow Data'!K20,0)</f>
        <v>0</v>
      </c>
      <c r="J88" s="203">
        <f>IFERROR('Cash Flow Data'!L20,0)</f>
        <v>24</v>
      </c>
      <c r="K88" s="203">
        <f>IFERROR('Cash Flow Data'!M20,0)</f>
        <v>0</v>
      </c>
      <c r="L88" s="203">
        <f>IFERROR('Cash Flow Data'!N20,0)</f>
        <v>0</v>
      </c>
    </row>
    <row r="89" spans="2:12" x14ac:dyDescent="0.45">
      <c r="B89" t="s">
        <v>130</v>
      </c>
      <c r="C89" s="203">
        <f>IFERROR('Cash Flow Data'!E21,0)</f>
        <v>0</v>
      </c>
      <c r="D89" s="203">
        <f>IFERROR('Cash Flow Data'!F21,0)</f>
        <v>-1026</v>
      </c>
      <c r="E89" s="203">
        <f>IFERROR('Cash Flow Data'!G21,0)</f>
        <v>-167</v>
      </c>
      <c r="F89" s="203">
        <f>IFERROR('Cash Flow Data'!H21,0)</f>
        <v>-86</v>
      </c>
      <c r="G89" s="203">
        <f>IFERROR('Cash Flow Data'!I21,0)</f>
        <v>-23</v>
      </c>
      <c r="H89" s="203">
        <f>IFERROR('Cash Flow Data'!J21,0)</f>
        <v>0</v>
      </c>
      <c r="I89" s="203">
        <f>IFERROR('Cash Flow Data'!K21,0)</f>
        <v>-62</v>
      </c>
      <c r="J89" s="203">
        <f>IFERROR('Cash Flow Data'!L21,0)</f>
        <v>-740</v>
      </c>
      <c r="K89" s="203">
        <f>IFERROR('Cash Flow Data'!M21,0)</f>
        <v>-4686</v>
      </c>
      <c r="L89" s="203">
        <f>IFERROR('Cash Flow Data'!N21,0)</f>
        <v>-143</v>
      </c>
    </row>
    <row r="90" spans="2:12" x14ac:dyDescent="0.45">
      <c r="B90" t="s">
        <v>131</v>
      </c>
      <c r="C90" s="203">
        <f>IFERROR('Cash Flow Data'!E22,0)</f>
        <v>470</v>
      </c>
      <c r="D90" s="203">
        <f>IFERROR('Cash Flow Data'!F22,0)</f>
        <v>-1499</v>
      </c>
      <c r="E90" s="203">
        <f>IFERROR('Cash Flow Data'!G22,0)</f>
        <v>-1170</v>
      </c>
      <c r="F90" s="203">
        <f>IFERROR('Cash Flow Data'!H22,0)</f>
        <v>3923</v>
      </c>
      <c r="G90" s="203">
        <f>IFERROR('Cash Flow Data'!I22,0)</f>
        <v>2357</v>
      </c>
      <c r="H90" s="203">
        <f>IFERROR('Cash Flow Data'!J22,0)</f>
        <v>382</v>
      </c>
      <c r="I90" s="203">
        <f>IFERROR('Cash Flow Data'!K22,0)</f>
        <v>165</v>
      </c>
      <c r="J90" s="203">
        <f>IFERROR('Cash Flow Data'!L22,0)</f>
        <v>-167</v>
      </c>
      <c r="K90" s="203">
        <f>IFERROR('Cash Flow Data'!M22,0)</f>
        <v>148</v>
      </c>
      <c r="L90" s="203">
        <f>IFERROR('Cash Flow Data'!N22,0)</f>
        <v>-164</v>
      </c>
    </row>
    <row r="91" spans="2:12" s="2" customFormat="1" x14ac:dyDescent="0.45">
      <c r="B91" s="2" t="s">
        <v>144</v>
      </c>
      <c r="C91" s="139">
        <f>IFERROR(SUM(C81:C90),0)</f>
        <v>-1502</v>
      </c>
      <c r="D91" s="139">
        <f t="shared" ref="D91:L91" si="23">IFERROR(SUM(D81:D90),0)</f>
        <v>-3951</v>
      </c>
      <c r="E91" s="139">
        <f t="shared" si="23"/>
        <v>-4186</v>
      </c>
      <c r="F91" s="139">
        <f t="shared" si="23"/>
        <v>-3106</v>
      </c>
      <c r="G91" s="139">
        <f t="shared" si="23"/>
        <v>-312</v>
      </c>
      <c r="H91" s="139">
        <f t="shared" si="23"/>
        <v>-2225</v>
      </c>
      <c r="I91" s="139">
        <f t="shared" si="23"/>
        <v>407</v>
      </c>
      <c r="J91" s="139">
        <f t="shared" si="23"/>
        <v>-5555</v>
      </c>
      <c r="K91" s="139">
        <f t="shared" si="23"/>
        <v>-7220</v>
      </c>
      <c r="L91" s="139">
        <f t="shared" si="23"/>
        <v>-763</v>
      </c>
    </row>
    <row r="93" spans="2:12" x14ac:dyDescent="0.45">
      <c r="B93" s="2" t="s">
        <v>145</v>
      </c>
    </row>
    <row r="94" spans="2:12" x14ac:dyDescent="0.45">
      <c r="B94" t="s">
        <v>133</v>
      </c>
      <c r="C94" s="203">
        <f>IFERROR('Cash Flow Data'!E24,0)</f>
        <v>0</v>
      </c>
      <c r="D94" s="203">
        <f>IFERROR('Cash Flow Data'!F24,0)</f>
        <v>9</v>
      </c>
      <c r="E94" s="203">
        <f>IFERROR('Cash Flow Data'!G24,0)</f>
        <v>2</v>
      </c>
      <c r="F94" s="203">
        <f>IFERROR('Cash Flow Data'!H24,0)</f>
        <v>1</v>
      </c>
      <c r="G94" s="203">
        <f>IFERROR('Cash Flow Data'!I24,0)</f>
        <v>0</v>
      </c>
      <c r="H94" s="203">
        <f>IFERROR('Cash Flow Data'!J24,0)</f>
        <v>0</v>
      </c>
      <c r="I94" s="203">
        <f>IFERROR('Cash Flow Data'!K24,0)</f>
        <v>425</v>
      </c>
      <c r="J94" s="203">
        <f>IFERROR('Cash Flow Data'!L24,0)</f>
        <v>0</v>
      </c>
      <c r="K94" s="203">
        <f>IFERROR('Cash Flow Data'!M24,0)</f>
        <v>0</v>
      </c>
      <c r="L94" s="203">
        <f>IFERROR('Cash Flow Data'!N24,0)</f>
        <v>0</v>
      </c>
    </row>
    <row r="95" spans="2:12" x14ac:dyDescent="0.45">
      <c r="B95" t="s">
        <v>134</v>
      </c>
      <c r="C95" s="203">
        <f>IFERROR('Cash Flow Data'!E25,0)</f>
        <v>1198</v>
      </c>
      <c r="D95" s="203">
        <f>IFERROR('Cash Flow Data'!F25,0)</f>
        <v>0</v>
      </c>
      <c r="E95" s="203">
        <f>IFERROR('Cash Flow Data'!G25,0)</f>
        <v>0</v>
      </c>
      <c r="F95" s="203">
        <f>IFERROR('Cash Flow Data'!H25,0)</f>
        <v>0</v>
      </c>
      <c r="G95" s="203">
        <f>IFERROR('Cash Flow Data'!I25,0)</f>
        <v>17698</v>
      </c>
      <c r="H95" s="203">
        <f>IFERROR('Cash Flow Data'!J25,0)</f>
        <v>10552</v>
      </c>
      <c r="I95" s="203">
        <f>IFERROR('Cash Flow Data'!K25,0)</f>
        <v>6603</v>
      </c>
      <c r="J95" s="203">
        <f>IFERROR('Cash Flow Data'!L25,0)</f>
        <v>1763</v>
      </c>
      <c r="K95" s="203">
        <f>IFERROR('Cash Flow Data'!M25,0)</f>
        <v>8160</v>
      </c>
      <c r="L95" s="203">
        <f>IFERROR('Cash Flow Data'!N25,0)</f>
        <v>4573</v>
      </c>
    </row>
    <row r="96" spans="2:12" x14ac:dyDescent="0.45">
      <c r="B96" t="s">
        <v>135</v>
      </c>
      <c r="C96" s="203">
        <f>IFERROR('Cash Flow Data'!E26,0)</f>
        <v>0</v>
      </c>
      <c r="D96" s="203">
        <f>IFERROR('Cash Flow Data'!F26,0)</f>
        <v>0</v>
      </c>
      <c r="E96" s="203">
        <f>IFERROR('Cash Flow Data'!G26,0)</f>
        <v>0</v>
      </c>
      <c r="F96" s="203">
        <f>IFERROR('Cash Flow Data'!H26,0)</f>
        <v>0</v>
      </c>
      <c r="G96" s="203">
        <f>IFERROR('Cash Flow Data'!I26,0)</f>
        <v>-16807</v>
      </c>
      <c r="H96" s="203">
        <f>IFERROR('Cash Flow Data'!J26,0)</f>
        <v>-13893</v>
      </c>
      <c r="I96" s="203">
        <f>IFERROR('Cash Flow Data'!K26,0)</f>
        <v>-10802</v>
      </c>
      <c r="J96" s="203">
        <f>IFERROR('Cash Flow Data'!L26,0)</f>
        <v>-4400</v>
      </c>
      <c r="K96" s="203">
        <f>IFERROR('Cash Flow Data'!M26,0)</f>
        <v>-3030</v>
      </c>
      <c r="L96" s="203">
        <f>IFERROR('Cash Flow Data'!N26,0)</f>
        <v>-7963</v>
      </c>
    </row>
    <row r="97" spans="2:12" x14ac:dyDescent="0.45">
      <c r="B97" t="s">
        <v>136</v>
      </c>
      <c r="C97" s="203">
        <f>IFERROR('Cash Flow Data'!E27,0)</f>
        <v>-350</v>
      </c>
      <c r="D97" s="203">
        <f>IFERROR('Cash Flow Data'!F27,0)</f>
        <v>-301</v>
      </c>
      <c r="E97" s="203">
        <f>IFERROR('Cash Flow Data'!G27,0)</f>
        <v>-334</v>
      </c>
      <c r="F97" s="203">
        <f>IFERROR('Cash Flow Data'!H27,0)</f>
        <v>-477</v>
      </c>
      <c r="G97" s="203">
        <f>IFERROR('Cash Flow Data'!I27,0)</f>
        <v>-461</v>
      </c>
      <c r="H97" s="203">
        <f>IFERROR('Cash Flow Data'!J27,0)</f>
        <v>-272</v>
      </c>
      <c r="I97" s="203">
        <f>IFERROR('Cash Flow Data'!K27,0)</f>
        <v>-144</v>
      </c>
      <c r="J97" s="203">
        <f>IFERROR('Cash Flow Data'!L27,0)</f>
        <v>-73</v>
      </c>
      <c r="K97" s="203">
        <f>IFERROR('Cash Flow Data'!M27,0)</f>
        <v>-132</v>
      </c>
      <c r="L97" s="203">
        <f>IFERROR('Cash Flow Data'!N27,0)</f>
        <v>-219</v>
      </c>
    </row>
    <row r="98" spans="2:12" x14ac:dyDescent="0.45">
      <c r="B98" t="s">
        <v>137</v>
      </c>
      <c r="C98" s="203">
        <f>IFERROR('Cash Flow Data'!E28,0)</f>
        <v>-310</v>
      </c>
      <c r="D98" s="203">
        <f>IFERROR('Cash Flow Data'!F28,0)</f>
        <v>-724</v>
      </c>
      <c r="E98" s="203">
        <f>IFERROR('Cash Flow Data'!G28,0)</f>
        <v>-243</v>
      </c>
      <c r="F98" s="203">
        <f>IFERROR('Cash Flow Data'!H28,0)</f>
        <v>-813</v>
      </c>
      <c r="G98" s="203">
        <f>IFERROR('Cash Flow Data'!I28,0)</f>
        <v>-1326</v>
      </c>
      <c r="H98" s="203">
        <f>IFERROR('Cash Flow Data'!J28,0)</f>
        <v>-1399</v>
      </c>
      <c r="I98" s="203">
        <f>IFERROR('Cash Flow Data'!K28,0)</f>
        <v>-1586</v>
      </c>
      <c r="J98" s="203">
        <f>IFERROR('Cash Flow Data'!L28,0)</f>
        <v>-2169</v>
      </c>
      <c r="K98" s="203">
        <f>IFERROR('Cash Flow Data'!M28,0)</f>
        <v>-2520</v>
      </c>
      <c r="L98" s="203">
        <f>IFERROR('Cash Flow Data'!N28,0)</f>
        <v>-2901</v>
      </c>
    </row>
    <row r="99" spans="2:12" x14ac:dyDescent="0.45">
      <c r="B99" t="s">
        <v>138</v>
      </c>
      <c r="C99" s="203">
        <f>IFERROR('Cash Flow Data'!E29,0)</f>
        <v>0</v>
      </c>
      <c r="D99" s="203">
        <f>IFERROR('Cash Flow Data'!F29,0)</f>
        <v>0</v>
      </c>
      <c r="E99" s="203">
        <f>IFERROR('Cash Flow Data'!G29,0)</f>
        <v>0</v>
      </c>
      <c r="F99" s="203">
        <f>IFERROR('Cash Flow Data'!H29,0)</f>
        <v>0</v>
      </c>
      <c r="G99" s="203">
        <f>IFERROR('Cash Flow Data'!I29,0)</f>
        <v>0</v>
      </c>
      <c r="H99" s="203">
        <f>IFERROR('Cash Flow Data'!J29,0)</f>
        <v>0</v>
      </c>
      <c r="I99" s="203">
        <f>IFERROR('Cash Flow Data'!K29,0)</f>
        <v>-118</v>
      </c>
      <c r="J99" s="203">
        <f>IFERROR('Cash Flow Data'!L29,0)</f>
        <v>-129</v>
      </c>
      <c r="K99" s="203">
        <f>IFERROR('Cash Flow Data'!M29,0)</f>
        <v>-101</v>
      </c>
      <c r="L99" s="203">
        <f>IFERROR('Cash Flow Data'!N29,0)</f>
        <v>-123</v>
      </c>
    </row>
    <row r="100" spans="2:12" x14ac:dyDescent="0.45">
      <c r="B100" t="s">
        <v>139</v>
      </c>
      <c r="C100" s="203">
        <f>IFERROR('Cash Flow Data'!E30,0)</f>
        <v>-1724</v>
      </c>
      <c r="D100" s="203">
        <f>IFERROR('Cash Flow Data'!F30,0)</f>
        <v>-872</v>
      </c>
      <c r="E100" s="203">
        <f>IFERROR('Cash Flow Data'!G30,0)</f>
        <v>-1711</v>
      </c>
      <c r="F100" s="203">
        <f>IFERROR('Cash Flow Data'!H30,0)</f>
        <v>-250</v>
      </c>
      <c r="G100" s="203">
        <f>IFERROR('Cash Flow Data'!I30,0)</f>
        <v>-1835</v>
      </c>
      <c r="H100" s="203">
        <f>IFERROR('Cash Flow Data'!J30,0)</f>
        <v>-702</v>
      </c>
      <c r="I100" s="203">
        <f>IFERROR('Cash Flow Data'!K30,0)</f>
        <v>-358</v>
      </c>
      <c r="J100" s="203">
        <f>IFERROR('Cash Flow Data'!L30,0)</f>
        <v>-186</v>
      </c>
      <c r="K100" s="203">
        <f>IFERROR('Cash Flow Data'!M30,0)</f>
        <v>0</v>
      </c>
      <c r="L100" s="203">
        <f>IFERROR('Cash Flow Data'!N30,0)</f>
        <v>-77</v>
      </c>
    </row>
    <row r="101" spans="2:12" s="2" customFormat="1" x14ac:dyDescent="0.45">
      <c r="B101" s="2" t="s">
        <v>146</v>
      </c>
      <c r="C101" s="139">
        <f t="shared" ref="C101:L101" si="24">IFERROR(SUM(C94:C100),0)</f>
        <v>-1186</v>
      </c>
      <c r="D101" s="139">
        <f t="shared" si="24"/>
        <v>-1888</v>
      </c>
      <c r="E101" s="139">
        <f t="shared" si="24"/>
        <v>-2286</v>
      </c>
      <c r="F101" s="139">
        <f t="shared" si="24"/>
        <v>-1539</v>
      </c>
      <c r="G101" s="139">
        <f t="shared" si="24"/>
        <v>-2731</v>
      </c>
      <c r="H101" s="139">
        <f t="shared" si="24"/>
        <v>-5714</v>
      </c>
      <c r="I101" s="139">
        <f t="shared" si="24"/>
        <v>-5980</v>
      </c>
      <c r="J101" s="139">
        <f t="shared" si="24"/>
        <v>-5194</v>
      </c>
      <c r="K101" s="139">
        <f t="shared" si="24"/>
        <v>2377</v>
      </c>
      <c r="L101" s="139">
        <f t="shared" si="24"/>
        <v>-6710</v>
      </c>
    </row>
    <row r="103" spans="2:12" s="2" customFormat="1" x14ac:dyDescent="0.45">
      <c r="B103" s="2" t="s">
        <v>147</v>
      </c>
      <c r="C103" s="139">
        <f>IFERROR(C78+C91+C101,0)</f>
        <v>3109</v>
      </c>
      <c r="D103" s="139">
        <f t="shared" ref="D103:L103" si="25">IFERROR(D78+D91+D101,0)</f>
        <v>1094</v>
      </c>
      <c r="E103" s="139">
        <f t="shared" si="25"/>
        <v>202</v>
      </c>
      <c r="F103" s="139">
        <f t="shared" si="25"/>
        <v>-950</v>
      </c>
      <c r="G103" s="139">
        <f t="shared" si="25"/>
        <v>-3542</v>
      </c>
      <c r="H103" s="139">
        <f t="shared" si="25"/>
        <v>-485</v>
      </c>
      <c r="I103" s="139">
        <f t="shared" si="25"/>
        <v>3161</v>
      </c>
      <c r="J103" s="139">
        <f t="shared" si="25"/>
        <v>-206</v>
      </c>
      <c r="K103" s="139">
        <f t="shared" si="25"/>
        <v>-5546</v>
      </c>
      <c r="L103" s="139">
        <f t="shared" si="25"/>
        <v>5725</v>
      </c>
    </row>
  </sheetData>
  <mergeCells count="1">
    <mergeCell ref="B2:M2"/>
  </mergeCells>
  <pageMargins left="0.7" right="0.7" top="0.75" bottom="0.75" header="0.3" footer="0.3"/>
  <pageSetup paperSize="9" scale="74" fitToHeight="0" orientation="landscape" r:id="rId1"/>
  <customProperties>
    <customPr name="Smart" r:id="rId2"/>
  </customProperties>
  <ignoredErrors>
    <ignoredError sqref="M6 M9 C15:M15 M21 M30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EC598-2750-4FFA-96DD-D318E9E522D8}">
  <sheetPr>
    <tabColor theme="5" tint="-0.249977111117893"/>
    <pageSetUpPr fitToPage="1"/>
  </sheetPr>
  <dimension ref="B2:O40"/>
  <sheetViews>
    <sheetView showGridLines="0" workbookViewId="0">
      <pane ySplit="3" topLeftCell="A14" activePane="bottomLeft" state="frozen"/>
      <selection pane="bottomLeft" activeCell="H12" sqref="H12"/>
    </sheetView>
  </sheetViews>
  <sheetFormatPr defaultRowHeight="14.25" x14ac:dyDescent="0.45"/>
  <cols>
    <col min="1" max="1" width="2.1328125" style="14" customWidth="1"/>
    <col min="2" max="2" width="20.59765625" style="14" customWidth="1"/>
    <col min="3" max="12" width="13.59765625" style="14" customWidth="1"/>
    <col min="13" max="13" width="19.06640625" style="14" customWidth="1"/>
    <col min="14" max="16384" width="9.06640625" style="14"/>
  </cols>
  <sheetData>
    <row r="2" spans="2:15" x14ac:dyDescent="0.45">
      <c r="B2" s="284" t="str">
        <f>"Ratio Analysis - "&amp;'Data Sheet'!B1</f>
        <v>Ratio Analysis - SUN PHARMACEUTICALS INDUSTRIES LTD</v>
      </c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71"/>
      <c r="N2" s="71"/>
      <c r="O2" s="71"/>
    </row>
    <row r="3" spans="2:15" x14ac:dyDescent="0.45">
      <c r="B3" s="61" t="s">
        <v>81</v>
      </c>
      <c r="C3" s="62">
        <f>'Data Sheet'!B16</f>
        <v>42094</v>
      </c>
      <c r="D3" s="62">
        <f>'Data Sheet'!C16</f>
        <v>42460</v>
      </c>
      <c r="E3" s="62">
        <f>'Data Sheet'!D16</f>
        <v>42825</v>
      </c>
      <c r="F3" s="62">
        <f>'Data Sheet'!E16</f>
        <v>43190</v>
      </c>
      <c r="G3" s="62">
        <f>'Data Sheet'!F16</f>
        <v>43555</v>
      </c>
      <c r="H3" s="62">
        <f>'Data Sheet'!G16</f>
        <v>43921</v>
      </c>
      <c r="I3" s="62">
        <f>'Data Sheet'!H16</f>
        <v>44286</v>
      </c>
      <c r="J3" s="62">
        <f>'Data Sheet'!I16</f>
        <v>44651</v>
      </c>
      <c r="K3" s="62">
        <f>'Data Sheet'!J16</f>
        <v>45016</v>
      </c>
      <c r="L3" s="62">
        <f>'Data Sheet'!K16</f>
        <v>45382</v>
      </c>
      <c r="M3" s="82" t="s">
        <v>183</v>
      </c>
      <c r="N3" s="82" t="s">
        <v>181</v>
      </c>
      <c r="O3" s="82" t="s">
        <v>182</v>
      </c>
    </row>
    <row r="5" spans="2:15" x14ac:dyDescent="0.45">
      <c r="B5" s="213" t="s">
        <v>22</v>
      </c>
      <c r="C5" s="213"/>
      <c r="D5" s="214">
        <f>IFERROR('Historical Data'!D7,0)</f>
        <v>3.9975890779829548E-2</v>
      </c>
      <c r="E5" s="214">
        <f>IFERROR('Historical Data'!E7,0)</f>
        <v>0.10851991239521985</v>
      </c>
      <c r="F5" s="214">
        <f>IFERROR('Historical Data'!F7,0)</f>
        <v>-0.16115362253486876</v>
      </c>
      <c r="G5" s="214">
        <f>IFERROR('Historical Data'!G7,0)</f>
        <v>9.7263213368637969E-2</v>
      </c>
      <c r="H5" s="214">
        <f>IFERROR('Historical Data'!H7,0)</f>
        <v>0.12975991462163061</v>
      </c>
      <c r="I5" s="214">
        <f>IFERROR('Historical Data'!I7,0)</f>
        <v>2.0118462124095959E-2</v>
      </c>
      <c r="J5" s="214">
        <f>IFERROR('Historical Data'!J7,0)</f>
        <v>0.15392944205260339</v>
      </c>
      <c r="K5" s="214">
        <f>IFERROR('Historical Data'!K7,0)</f>
        <v>0.1353320144697292</v>
      </c>
      <c r="L5" s="215">
        <f>IFERROR('Historical Data'!L7,0)</f>
        <v>0.10507231516066295</v>
      </c>
      <c r="M5" s="216"/>
      <c r="N5" s="215">
        <f>IFERROR(AVERAGE(D5:L5),0)</f>
        <v>6.9868615826393421E-2</v>
      </c>
      <c r="O5" s="215">
        <f>IFERROR(MEDIAN(C5:L5),0)</f>
        <v>0.10507231516066295</v>
      </c>
    </row>
    <row r="6" spans="2:15" x14ac:dyDescent="0.45">
      <c r="B6" s="14" t="s">
        <v>176</v>
      </c>
      <c r="D6" s="217">
        <f>IFERROR('Historical Data'!D18/'Historical Data'!C18-1,0)</f>
        <v>2.1341266399061531E-2</v>
      </c>
      <c r="E6" s="217">
        <f>IFERROR('Historical Data'!E18/'Historical Data'!D18-1,0)</f>
        <v>0.17322355749636742</v>
      </c>
      <c r="F6" s="217">
        <f>IFERROR('Historical Data'!F18/'Historical Data'!E18-1,0)</f>
        <v>-0.12568091494757705</v>
      </c>
      <c r="G6" s="217">
        <f>IFERROR('Historical Data'!G18/'Historical Data'!F18-1,0)</f>
        <v>8.4858877869009364E-2</v>
      </c>
      <c r="H6" s="217">
        <f>IFERROR('Historical Data'!H18/'Historical Data'!G18-1,0)</f>
        <v>9.5951617744531204E-2</v>
      </c>
      <c r="I6" s="217">
        <f>IFERROR('Historical Data'!I18/'Historical Data'!H18-1,0)</f>
        <v>3.4681537905722148E-2</v>
      </c>
      <c r="J6" s="217">
        <f>IFERROR('Historical Data'!J18/'Historical Data'!I18-1,0)</f>
        <v>0.14574314215815587</v>
      </c>
      <c r="K6" s="217">
        <f>IFERROR('Historical Data'!K18/'Historical Data'!J18-1,0)</f>
        <v>8.6166591332147657E-2</v>
      </c>
      <c r="L6" s="217">
        <f>IFERROR('Historical Data'!L18/'Historical Data'!K18-1,0)</f>
        <v>7.2512098810064263E-2</v>
      </c>
      <c r="N6" s="217">
        <f t="shared" ref="N6:N9" si="0">IFERROR(AVERAGE(D6:L6),0)</f>
        <v>6.5421974974164715E-2</v>
      </c>
      <c r="O6" s="217">
        <f t="shared" ref="O6:O40" si="1">IFERROR(MEDIAN(C6:L6),0)</f>
        <v>8.4858877869009364E-2</v>
      </c>
    </row>
    <row r="7" spans="2:15" x14ac:dyDescent="0.45">
      <c r="B7" s="14" t="s">
        <v>149</v>
      </c>
      <c r="D7" s="217">
        <f>IFERROR('Historical Data'!D27/'Historical Data'!C27-1,0)</f>
        <v>2.9038940295067261E-2</v>
      </c>
      <c r="E7" s="217">
        <f>IFERROR('Historical Data'!E27/'Historical Data'!D27-1,0)</f>
        <v>0.17819222948778668</v>
      </c>
      <c r="F7" s="217">
        <f>IFERROR('Historical Data'!F27/'Historical Data'!E27-1,0)</f>
        <v>-0.13991010274514459</v>
      </c>
      <c r="G7" s="217">
        <f>IFERROR('Historical Data'!G27/'Historical Data'!F27-1,0)</f>
        <v>8.1329871481548688E-2</v>
      </c>
      <c r="H7" s="217">
        <f>IFERROR('Historical Data'!H27/'Historical Data'!G27-1,0)</f>
        <v>0.10070141398832022</v>
      </c>
      <c r="I7" s="217">
        <f>IFERROR('Historical Data'!I27/'Historical Data'!H27-1,0)</f>
        <v>4.0018834371045697E-2</v>
      </c>
      <c r="J7" s="217">
        <f>IFERROR('Historical Data'!J27/'Historical Data'!I27-1,0)</f>
        <v>0.15225940163034357</v>
      </c>
      <c r="K7" s="217">
        <f>IFERROR('Historical Data'!K27/'Historical Data'!J27-1,0)</f>
        <v>8.1324316627526372E-2</v>
      </c>
      <c r="L7" s="217">
        <f>IFERROR('Historical Data'!L27/'Historical Data'!K27-1,0)</f>
        <v>7.4462637953412347E-2</v>
      </c>
      <c r="N7" s="217">
        <f t="shared" si="0"/>
        <v>6.6379727009989578E-2</v>
      </c>
      <c r="O7" s="217">
        <f t="shared" si="1"/>
        <v>8.1324316627526372E-2</v>
      </c>
    </row>
    <row r="8" spans="2:15" x14ac:dyDescent="0.45">
      <c r="B8" s="14" t="s">
        <v>177</v>
      </c>
      <c r="D8" s="217">
        <f>IFERROR('Historical Data'!D33/'Historical Data'!C33-1,0)</f>
        <v>2.9906807681497671E-2</v>
      </c>
      <c r="E8" s="217">
        <f>IFERROR('Historical Data'!E33/'Historical Data'!D33-1,0)</f>
        <v>0.17405355947004697</v>
      </c>
      <c r="F8" s="217">
        <f>IFERROR('Historical Data'!F33/'Historical Data'!E33-1,0)</f>
        <v>-0.13648826244976364</v>
      </c>
      <c r="G8" s="217">
        <f>IFERROR('Historical Data'!G33/'Historical Data'!F33-1,0)</f>
        <v>9.2951743440642609E-2</v>
      </c>
      <c r="H8" s="217">
        <f>IFERROR('Historical Data'!H33/'Historical Data'!G33-1,0)</f>
        <v>9.6234704455403941E-2</v>
      </c>
      <c r="I8" s="217">
        <f>IFERROR('Historical Data'!I33/'Historical Data'!H33-1,0)</f>
        <v>4.8627868342206115E-2</v>
      </c>
      <c r="J8" s="217">
        <f>IFERROR('Historical Data'!J33/'Historical Data'!I33-1,0)</f>
        <v>0.14064551850313856</v>
      </c>
      <c r="K8" s="217">
        <f>IFERROR('Historical Data'!K33/'Historical Data'!J33-1,0)</f>
        <v>8.7980212187148688E-2</v>
      </c>
      <c r="L8" s="217">
        <f>IFERROR('Historical Data'!L33/'Historical Data'!K33-1,0)</f>
        <v>6.420596592452088E-2</v>
      </c>
      <c r="N8" s="217">
        <f t="shared" si="0"/>
        <v>6.6457568617204643E-2</v>
      </c>
      <c r="O8" s="217">
        <f t="shared" si="1"/>
        <v>8.7980212187148688E-2</v>
      </c>
    </row>
    <row r="9" spans="2:15" x14ac:dyDescent="0.45">
      <c r="B9" s="218" t="s">
        <v>151</v>
      </c>
      <c r="C9" s="218"/>
      <c r="D9" s="219">
        <f>IFERROR('Historical Data'!D41/'Historical Data'!C41-1,0)</f>
        <v>-0.6666805168903478</v>
      </c>
      <c r="E9" s="219">
        <f>IFERROR('Historical Data'!E41/'Historical Data'!D41-1,0)</f>
        <v>2.5001662736689285</v>
      </c>
      <c r="F9" s="219">
        <f>IFERROR('Historical Data'!F41/'Historical Data'!E41-1,0)</f>
        <v>-0.42857483090406778</v>
      </c>
      <c r="G9" s="219">
        <f>IFERROR('Historical Data'!G41/'Historical Data'!F41-1,0)</f>
        <v>0.37500520985287356</v>
      </c>
      <c r="H9" s="219">
        <f>IFERROR('Historical Data'!H41/'Historical Data'!G41-1,0)</f>
        <v>0.45453994331701564</v>
      </c>
      <c r="I9" s="219">
        <f>IFERROR('Historical Data'!I41/'Historical Data'!H41-1,0)</f>
        <v>0.87500520985287378</v>
      </c>
      <c r="J9" s="219">
        <f>IFERROR('Historical Data'!J41/'Historical Data'!I41-1,0)</f>
        <v>0.33332962855936166</v>
      </c>
      <c r="K9" s="219">
        <f>IFERROR('Historical Data'!K41/'Historical Data'!J41-1,0)</f>
        <v>0.15000208394114933</v>
      </c>
      <c r="L9" s="220">
        <f>IFERROR('Historical Data'!L41/'Historical Data'!K41-1,0)</f>
        <v>0.1739127283270514</v>
      </c>
      <c r="M9" s="221"/>
      <c r="N9" s="220">
        <f t="shared" si="0"/>
        <v>0.41852285885831531</v>
      </c>
      <c r="O9" s="220">
        <f t="shared" si="1"/>
        <v>0.33332962855936166</v>
      </c>
    </row>
    <row r="10" spans="2:15" x14ac:dyDescent="0.45">
      <c r="N10" s="222"/>
      <c r="O10" s="222"/>
    </row>
    <row r="11" spans="2:15" x14ac:dyDescent="0.45">
      <c r="B11" s="216" t="s">
        <v>152</v>
      </c>
      <c r="C11" s="215">
        <f>IFERROR('Historical Data'!C13,0)</f>
        <v>1.4829926682999899</v>
      </c>
      <c r="D11" s="215">
        <f>IFERROR('Historical Data'!D13,0)</f>
        <v>1.4723791844920302</v>
      </c>
      <c r="E11" s="215">
        <f>IFERROR('Historical Data'!E13,0)</f>
        <v>1.4918415855881417</v>
      </c>
      <c r="F11" s="215">
        <f>IFERROR('Historical Data'!F13,0)</f>
        <v>1.5730600019781451</v>
      </c>
      <c r="G11" s="215">
        <f>IFERROR('Historical Data'!G13,0)</f>
        <v>1.5619769000867338</v>
      </c>
      <c r="H11" s="215">
        <f>IFERROR('Historical Data'!H13,0)</f>
        <v>1.5452513132851162</v>
      </c>
      <c r="I11" s="215">
        <f>IFERROR('Historical Data'!I13,0)</f>
        <v>1.5344529576866059</v>
      </c>
      <c r="J11" s="215">
        <f>IFERROR('Historical Data'!J13,0)</f>
        <v>1.5235060661775643</v>
      </c>
      <c r="K11" s="215">
        <f>IFERROR('Historical Data'!K13,0)</f>
        <v>1.4950364219034546</v>
      </c>
      <c r="L11" s="215">
        <f>IFERROR('Historical Data'!L13,0)</f>
        <v>1.4750632257558995</v>
      </c>
      <c r="M11" s="216"/>
      <c r="N11" s="215">
        <f>IFERROR(AVERAGE(C11:L11),0)</f>
        <v>1.5155560325253681</v>
      </c>
      <c r="O11" s="215">
        <f t="shared" si="1"/>
        <v>1.5092712440405096</v>
      </c>
    </row>
    <row r="12" spans="2:15" x14ac:dyDescent="0.45">
      <c r="B12" s="14" t="s">
        <v>153</v>
      </c>
      <c r="C12" s="217">
        <f>IFERROR('Historical Data'!C19,0)</f>
        <v>1.2541649919082243</v>
      </c>
      <c r="D12" s="217">
        <f>IFERROR('Historical Data'!D19,0)</f>
        <v>1.2316924579361206</v>
      </c>
      <c r="E12" s="217">
        <f>IFERROR('Historical Data'!E19,0)</f>
        <v>1.3035856109421491</v>
      </c>
      <c r="F12" s="217">
        <f>IFERROR('Historical Data'!F19,0)</f>
        <v>1.3587109741006422</v>
      </c>
      <c r="G12" s="217">
        <f>IFERROR('Historical Data'!G19,0)</f>
        <v>1.3433510253076544</v>
      </c>
      <c r="H12" s="217">
        <f>IFERROR('Historical Data'!H19,0)</f>
        <v>1.303150970688999</v>
      </c>
      <c r="I12" s="217">
        <f>IFERROR('Historical Data'!I19,0)</f>
        <v>1.3217545810006168</v>
      </c>
      <c r="J12" s="217">
        <f>IFERROR('Historical Data'!J19,0)</f>
        <v>1.3123776823856685</v>
      </c>
      <c r="K12" s="217">
        <f>IFERROR('Historical Data'!K19,0)</f>
        <v>1.255545316832279</v>
      </c>
      <c r="L12" s="217">
        <f>IFERROR('Historical Data'!L19,0)</f>
        <v>1.2185515141705079</v>
      </c>
      <c r="N12" s="217">
        <f t="shared" ref="N12:N15" si="2">IFERROR(AVERAGE(C12:L12),0)</f>
        <v>1.2902885125272865</v>
      </c>
      <c r="O12" s="217">
        <f t="shared" si="1"/>
        <v>1.3033682908155741</v>
      </c>
    </row>
    <row r="13" spans="2:15" x14ac:dyDescent="0.45">
      <c r="B13" s="14" t="s">
        <v>154</v>
      </c>
      <c r="C13" s="217">
        <f>IFERROR(('Historical Data'!C18-'Historical Data'!C24)/'Historical Data'!C6,0)</f>
        <v>1.210549353625382</v>
      </c>
      <c r="D13" s="217">
        <f>IFERROR(('Historical Data'!D18-'Historical Data'!D24)/'Historical Data'!D6,0)</f>
        <v>1.1952713217207973</v>
      </c>
      <c r="E13" s="217">
        <f>IFERROR(('Historical Data'!E18-'Historical Data'!E24)/'Historical Data'!E6,0)</f>
        <v>1.2635345507884492</v>
      </c>
      <c r="F13" s="217">
        <f>IFERROR(('Historical Data'!F18-'Historical Data'!F24)/'Historical Data'!F6,0)</f>
        <v>1.3020907183460895</v>
      </c>
      <c r="G13" s="217">
        <f>IFERROR(('Historical Data'!G18-'Historical Data'!G24)/'Historical Data'!G6,0)</f>
        <v>1.2830312211109165</v>
      </c>
      <c r="H13" s="217">
        <f>IFERROR(('Historical Data'!H18-'Historical Data'!H24)/'Historical Data'!H6,0)</f>
        <v>1.2406376855728969</v>
      </c>
      <c r="I13" s="217">
        <f>IFERROR(('Historical Data'!I18-'Historical Data'!I24)/'Historical Data'!I6,0)</f>
        <v>1.259663073830368</v>
      </c>
      <c r="J13" s="217">
        <f>IFERROR(('Historical Data'!J18-'Historical Data'!J24)/'Historical Data'!J6,0)</f>
        <v>1.2569186658522724</v>
      </c>
      <c r="K13" s="217">
        <f>IFERROR(('Historical Data'!K18-'Historical Data'!K24)/'Historical Data'!K6,0)</f>
        <v>1.1979085205014484</v>
      </c>
      <c r="L13" s="217">
        <f>IFERROR(('Historical Data'!L18-'Historical Data'!L24)/'Historical Data'!L6,0)</f>
        <v>1.1658338634364913</v>
      </c>
      <c r="N13" s="217">
        <f t="shared" si="2"/>
        <v>1.2375438974785111</v>
      </c>
      <c r="O13" s="217">
        <f t="shared" si="1"/>
        <v>1.2487781757125846</v>
      </c>
    </row>
    <row r="14" spans="2:15" x14ac:dyDescent="0.45">
      <c r="B14" s="14" t="s">
        <v>155</v>
      </c>
      <c r="C14" s="217">
        <f>IFERROR('Historical Data'!C28,0)</f>
        <v>1.189412168000815</v>
      </c>
      <c r="D14" s="217">
        <f>IFERROR('Historical Data'!D28,0)</f>
        <v>1.1769036645799862</v>
      </c>
      <c r="E14" s="217">
        <f>IFERROR('Historical Data'!E28,0)</f>
        <v>1.2508740140424921</v>
      </c>
      <c r="F14" s="217">
        <f>IFERROR('Historical Data'!F28,0)</f>
        <v>1.2825520037026048</v>
      </c>
      <c r="G14" s="217">
        <f>IFERROR('Historical Data'!G28,0)</f>
        <v>1.2639280862013267</v>
      </c>
      <c r="H14" s="217">
        <f>IFERROR('Historical Data'!H28,0)</f>
        <v>1.2314186524552722</v>
      </c>
      <c r="I14" s="217">
        <f>IFERROR('Historical Data'!I28,0)</f>
        <v>1.2554410483686558</v>
      </c>
      <c r="J14" s="217">
        <f>IFERROR('Historical Data'!J28,0)</f>
        <v>1.2536240938633521</v>
      </c>
      <c r="K14" s="217">
        <f>IFERROR('Historical Data'!K28,0)</f>
        <v>1.1939892466061823</v>
      </c>
      <c r="L14" s="217">
        <f>IFERROR('Historical Data'!L28,0)</f>
        <v>1.1609166368537338</v>
      </c>
      <c r="N14" s="217">
        <f t="shared" si="2"/>
        <v>1.2259059614674421</v>
      </c>
      <c r="O14" s="217">
        <f t="shared" si="1"/>
        <v>1.2411463332488821</v>
      </c>
    </row>
    <row r="15" spans="2:15" x14ac:dyDescent="0.45">
      <c r="B15" s="221" t="s">
        <v>156</v>
      </c>
      <c r="C15" s="220">
        <f>IFERROR('Historical Data'!C34,0)</f>
        <v>1.1560195838129441</v>
      </c>
      <c r="D15" s="220">
        <f>IFERROR('Historical Data'!D34,0)</f>
        <v>1.1448269616032281</v>
      </c>
      <c r="E15" s="220">
        <f>IFERROR('Historical Data'!E34,0)</f>
        <v>1.2125070142793626</v>
      </c>
      <c r="F15" s="220">
        <f>IFERROR('Historical Data'!F34,0)</f>
        <v>1.2481594566291649</v>
      </c>
      <c r="G15" s="220">
        <f>IFERROR('Historical Data'!G34,0)</f>
        <v>1.2432550709748982</v>
      </c>
      <c r="H15" s="220">
        <f>IFERROR('Historical Data'!H34,0)</f>
        <v>1.2063619337647506</v>
      </c>
      <c r="I15" s="220">
        <f>IFERROR('Historical Data'!I34,0)</f>
        <v>1.2400763146849347</v>
      </c>
      <c r="J15" s="220">
        <f>IFERROR('Historical Data'!J34,0)</f>
        <v>1.2258006767131064</v>
      </c>
      <c r="K15" s="220">
        <f>IFERROR('Historical Data'!K34,0)</f>
        <v>1.1746756572986907</v>
      </c>
      <c r="L15" s="220">
        <f>IFERROR('Historical Data'!L34,0)</f>
        <v>1.1312353276553013</v>
      </c>
      <c r="M15" s="221"/>
      <c r="N15" s="220">
        <f t="shared" si="2"/>
        <v>1.1982917997416382</v>
      </c>
      <c r="O15" s="220">
        <f t="shared" si="1"/>
        <v>1.2094344740220566</v>
      </c>
    </row>
    <row r="16" spans="2:15" x14ac:dyDescent="0.45">
      <c r="N16" s="222"/>
      <c r="O16" s="222"/>
    </row>
    <row r="17" spans="2:15" x14ac:dyDescent="0.45">
      <c r="B17" s="223" t="s">
        <v>157</v>
      </c>
      <c r="C17" s="224">
        <f>IFERROR('Historical Data'!C16,0)</f>
        <v>0.22882767639176535</v>
      </c>
      <c r="D17" s="224">
        <f>IFERROR('Historical Data'!D16,0)</f>
        <v>0.24068672655590984</v>
      </c>
      <c r="E17" s="224">
        <f>IFERROR('Historical Data'!E16,0)</f>
        <v>0.18825597464599264</v>
      </c>
      <c r="F17" s="224">
        <f>IFERROR('Historical Data'!F16,0)</f>
        <v>0.21434902787750298</v>
      </c>
      <c r="G17" s="224">
        <f>IFERROR('Historical Data'!G16,0)</f>
        <v>0.21862587477907966</v>
      </c>
      <c r="H17" s="224">
        <f>IFERROR('Historical Data'!H16,0)</f>
        <v>0.24210034259611726</v>
      </c>
      <c r="I17" s="224">
        <f>IFERROR('Historical Data'!I16,0)</f>
        <v>0.21269837668598915</v>
      </c>
      <c r="J17" s="224">
        <f>IFERROR('Historical Data'!J16,0)</f>
        <v>0.21112838379189586</v>
      </c>
      <c r="K17" s="224">
        <f>IFERROR('Historical Data'!K16,0)</f>
        <v>0.23949110507117582</v>
      </c>
      <c r="L17" s="215">
        <f>IFERROR('Historical Data'!L16,0)</f>
        <v>0.25651171158539166</v>
      </c>
      <c r="M17" s="216"/>
      <c r="N17" s="215">
        <f t="shared" ref="N17:N40" si="3">IFERROR(AVERAGE(C17:L17),0)</f>
        <v>0.22526751999808203</v>
      </c>
      <c r="O17" s="215">
        <f t="shared" si="1"/>
        <v>0.2237267755854225</v>
      </c>
    </row>
    <row r="18" spans="2:15" x14ac:dyDescent="0.45">
      <c r="B18" s="14" t="s">
        <v>158</v>
      </c>
      <c r="C18" s="217">
        <f>IFERROR('Historical Data'!C25,0)</f>
        <v>4.3615638282842338E-2</v>
      </c>
      <c r="D18" s="217">
        <f>IFERROR('Historical Data'!D25,0)</f>
        <v>3.6421136215323252E-2</v>
      </c>
      <c r="E18" s="217">
        <f>IFERROR('Historical Data'!E25,0)</f>
        <v>4.0051060153699802E-2</v>
      </c>
      <c r="F18" s="217">
        <f>IFERROR('Historical Data'!F25,0)</f>
        <v>5.6620255754552942E-2</v>
      </c>
      <c r="G18" s="217">
        <f>IFERROR('Historical Data'!G25,0)</f>
        <v>6.0319804196737693E-2</v>
      </c>
      <c r="H18" s="217">
        <f>IFERROR('Historical Data'!H25,0)</f>
        <v>6.2513285116102019E-2</v>
      </c>
      <c r="I18" s="217">
        <f>IFERROR('Historical Data'!I25,0)</f>
        <v>6.2091507170248854E-2</v>
      </c>
      <c r="J18" s="217">
        <f>IFERROR('Historical Data'!J25,0)</f>
        <v>5.5459016533396244E-2</v>
      </c>
      <c r="K18" s="217">
        <f>IFERROR('Historical Data'!K25,0)</f>
        <v>5.7636796330830464E-2</v>
      </c>
      <c r="L18" s="217">
        <f>IFERROR('Historical Data'!L25,0)</f>
        <v>5.2717650734016741E-2</v>
      </c>
      <c r="N18" s="217">
        <f t="shared" si="3"/>
        <v>5.2744615048775034E-2</v>
      </c>
      <c r="O18" s="217">
        <f t="shared" si="1"/>
        <v>5.6039636143974593E-2</v>
      </c>
    </row>
    <row r="19" spans="2:15" x14ac:dyDescent="0.45">
      <c r="B19" s="225" t="s">
        <v>159</v>
      </c>
      <c r="C19" s="226">
        <f>C13</f>
        <v>1.210549353625382</v>
      </c>
      <c r="D19" s="226">
        <f t="shared" ref="D19:L19" si="4">D13</f>
        <v>1.1952713217207973</v>
      </c>
      <c r="E19" s="226">
        <f t="shared" si="4"/>
        <v>1.2635345507884492</v>
      </c>
      <c r="F19" s="226">
        <f t="shared" si="4"/>
        <v>1.3020907183460895</v>
      </c>
      <c r="G19" s="226">
        <f t="shared" si="4"/>
        <v>1.2830312211109165</v>
      </c>
      <c r="H19" s="226">
        <f t="shared" si="4"/>
        <v>1.2406376855728969</v>
      </c>
      <c r="I19" s="226">
        <f t="shared" si="4"/>
        <v>1.259663073830368</v>
      </c>
      <c r="J19" s="226">
        <f t="shared" si="4"/>
        <v>1.2569186658522724</v>
      </c>
      <c r="K19" s="226">
        <f t="shared" si="4"/>
        <v>1.1979085205014484</v>
      </c>
      <c r="L19" s="220">
        <f t="shared" si="4"/>
        <v>1.1658338634364913</v>
      </c>
      <c r="M19" s="221"/>
      <c r="N19" s="220">
        <f t="shared" si="3"/>
        <v>1.2375438974785111</v>
      </c>
      <c r="O19" s="220">
        <f t="shared" si="1"/>
        <v>1.2487781757125846</v>
      </c>
    </row>
    <row r="20" spans="2:15" x14ac:dyDescent="0.45">
      <c r="N20" s="222"/>
      <c r="O20" s="222"/>
    </row>
    <row r="21" spans="2:15" x14ac:dyDescent="0.45">
      <c r="B21" s="216" t="s">
        <v>160</v>
      </c>
      <c r="C21" s="215">
        <f>IFERROR(('Historical Data'!C18-'Historical Data'!C24)/(SUM('Historical Data'!C47:C49)),0)</f>
        <v>0.9574172349873824</v>
      </c>
      <c r="D21" s="215">
        <f>IFERROR(('Historical Data'!D18-'Historical Data'!D24)/(SUM('Historical Data'!D47:D49)),0)</f>
        <v>0.82088606252187835</v>
      </c>
      <c r="E21" s="215">
        <f>IFERROR(('Historical Data'!E18-'Historical Data'!E24)/(SUM('Historical Data'!E47:E49)),0)</f>
        <v>0.85860154107555087</v>
      </c>
      <c r="F21" s="215">
        <f>IFERROR(('Historical Data'!F18-'Historical Data'!F24)/(SUM('Historical Data'!F47:F49)),0)</f>
        <v>0.70825706610638572</v>
      </c>
      <c r="G21" s="215">
        <f>IFERROR(('Historical Data'!G18-'Historical Data'!G24)/(SUM('Historical Data'!G47:G49)),0)</f>
        <v>0.71822060257201858</v>
      </c>
      <c r="H21" s="215">
        <f>IFERROR(('Historical Data'!H18-'Historical Data'!H24)/(SUM('Historical Data'!H47:H49)),0)</f>
        <v>0.76035739901936072</v>
      </c>
      <c r="I21" s="215">
        <f>IFERROR(('Historical Data'!I18-'Historical Data'!I24)/(SUM('Historical Data'!I47:I49)),0)</f>
        <v>0.83837134541963498</v>
      </c>
      <c r="J21" s="215">
        <f>IFERROR(('Historical Data'!J18-'Historical Data'!J24)/(SUM('Historical Data'!J47:J49)),0)</f>
        <v>0.9854777296927153</v>
      </c>
      <c r="K21" s="215">
        <f>IFERROR(('Historical Data'!K18-'Historical Data'!K24)/(SUM('Historical Data'!K47:K49)),0)</f>
        <v>0.83603665639598457</v>
      </c>
      <c r="L21" s="215">
        <f>IFERROR(('Historical Data'!L18-'Historical Data'!L24)/(SUM('Historical Data'!L47:L49)),0)</f>
        <v>0.84462078367599125</v>
      </c>
      <c r="M21" s="216"/>
      <c r="N21" s="215">
        <f t="shared" si="3"/>
        <v>0.83282464214669027</v>
      </c>
      <c r="O21" s="215">
        <f t="shared" si="1"/>
        <v>0.83720400090780978</v>
      </c>
    </row>
    <row r="22" spans="2:15" x14ac:dyDescent="0.45">
      <c r="B22" s="14" t="s">
        <v>178</v>
      </c>
      <c r="C22" s="217">
        <f>IFERROR('Historical Data'!C44,0)</f>
        <v>0.9803775062607174</v>
      </c>
      <c r="D22" s="217">
        <f>IFERROR('Historical Data'!D44,0)</f>
        <v>0.99262067070762572</v>
      </c>
      <c r="E22" s="217">
        <f>IFERROR('Historical Data'!E44,0)</f>
        <v>0.97806789821014239</v>
      </c>
      <c r="F22" s="217">
        <f>IFERROR('Historical Data'!F44,0)</f>
        <v>0.98548652620582422</v>
      </c>
      <c r="G22" s="217">
        <f>IFERROR('Historical Data'!G44,0)</f>
        <v>0.98174109497530737</v>
      </c>
      <c r="H22" s="217">
        <f>IFERROR('Historical Data'!H44,0)</f>
        <v>0.97577315644933815</v>
      </c>
      <c r="I22" s="217">
        <f>IFERROR('Historical Data'!I44,0)</f>
        <v>0.95668105030663031</v>
      </c>
      <c r="J22" s="217">
        <f>IFERROR('Historical Data'!J44,0)</f>
        <v>0.94936337524033032</v>
      </c>
      <c r="K22" s="217">
        <f>IFERROR('Historical Data'!K44,0)</f>
        <v>0.94647676185185126</v>
      </c>
      <c r="L22" s="217">
        <f>IFERROR('Historical Data'!L44,0)</f>
        <v>0.94095916341832642</v>
      </c>
      <c r="N22" s="217">
        <f t="shared" si="3"/>
        <v>0.96875472036260946</v>
      </c>
      <c r="O22" s="217">
        <f t="shared" si="1"/>
        <v>0.97692052732974033</v>
      </c>
    </row>
    <row r="23" spans="2:15" x14ac:dyDescent="0.45">
      <c r="B23" s="14" t="s">
        <v>179</v>
      </c>
      <c r="C23" s="217">
        <f>IFERROR('Historical Data'!C33/SUM('Historical Data'!C47:C48),0)</f>
        <v>1.2351037070234172</v>
      </c>
      <c r="D23" s="217">
        <f>IFERROR('Historical Data'!D33/SUM('Historical Data'!D47:D48),0)</f>
        <v>0.98878919959930245</v>
      </c>
      <c r="E23" s="217">
        <f>IFERROR('Historical Data'!E33/SUM('Historical Data'!E47:E48),0)</f>
        <v>1.0450170539199723</v>
      </c>
      <c r="F23" s="217">
        <f>IFERROR('Historical Data'!F33/SUM('Historical Data'!F47:F48),0)</f>
        <v>0.86294761903643324</v>
      </c>
      <c r="G23" s="217">
        <f>IFERROR('Historical Data'!G33/SUM('Historical Data'!G47:G48),0)</f>
        <v>0.872667479049271</v>
      </c>
      <c r="H23" s="217">
        <f>IFERROR('Historical Data'!H33/SUM('Historical Data'!H47:H48),0)</f>
        <v>0.87516605194584263</v>
      </c>
      <c r="I23" s="217">
        <f>IFERROR('Historical Data'!I33/SUM('Historical Data'!I47:I48),0)</f>
        <v>0.8940543376870691</v>
      </c>
      <c r="J23" s="217">
        <f>IFERROR('Historical Data'!J33/SUM('Historical Data'!J47:J48),0)</f>
        <v>0.98690889337950594</v>
      </c>
      <c r="K23" s="217">
        <f>IFERROR('Historical Data'!K33/SUM('Historical Data'!K47:K48),0)</f>
        <v>0.92063738115537408</v>
      </c>
      <c r="L23" s="217">
        <f>IFERROR('Historical Data'!L33/SUM('Historical Data'!L47:L48),0)</f>
        <v>0.86169546898498817</v>
      </c>
      <c r="N23" s="217">
        <f t="shared" si="3"/>
        <v>0.95429871917811782</v>
      </c>
      <c r="O23" s="217">
        <f t="shared" si="1"/>
        <v>0.90734585942122159</v>
      </c>
    </row>
    <row r="24" spans="2:15" x14ac:dyDescent="0.45">
      <c r="B24" s="14" t="s">
        <v>163</v>
      </c>
      <c r="C24" s="217">
        <f>IFERROR(C22*C23,0)</f>
        <v>1.2108678922649854</v>
      </c>
      <c r="D24" s="217">
        <f t="shared" ref="D24:L24" si="5">IFERROR(D22*D23,0)</f>
        <v>0.98149259849471604</v>
      </c>
      <c r="E24" s="217">
        <f t="shared" si="5"/>
        <v>1.0220976335212624</v>
      </c>
      <c r="F24" s="217">
        <f t="shared" si="5"/>
        <v>0.85042325138180164</v>
      </c>
      <c r="G24" s="217">
        <f t="shared" si="5"/>
        <v>0.8567335264311724</v>
      </c>
      <c r="H24" s="217">
        <f t="shared" si="5"/>
        <v>0.85396354092450033</v>
      </c>
      <c r="I24" s="217">
        <f t="shared" si="5"/>
        <v>0.85532484280966403</v>
      </c>
      <c r="J24" s="217">
        <f t="shared" si="5"/>
        <v>0.93693515807346706</v>
      </c>
      <c r="K24" s="217">
        <f t="shared" si="5"/>
        <v>0.87136188735570697</v>
      </c>
      <c r="L24" s="217">
        <f t="shared" si="5"/>
        <v>0.81082024761747695</v>
      </c>
      <c r="N24" s="217">
        <f t="shared" si="3"/>
        <v>0.92500205788747536</v>
      </c>
      <c r="O24" s="217">
        <f t="shared" si="1"/>
        <v>0.86404770689343968</v>
      </c>
    </row>
    <row r="25" spans="2:15" x14ac:dyDescent="0.45">
      <c r="B25" s="221" t="s">
        <v>164</v>
      </c>
      <c r="C25" s="227">
        <f>('Historical Data'!C18-'Historical Data'!C27)/'Historical Data'!C21</f>
        <v>3.0634553273804368</v>
      </c>
      <c r="D25" s="227">
        <f>('Historical Data'!D18-'Historical Data'!D27)/'Historical Data'!D21</f>
        <v>2.982895038605605</v>
      </c>
      <c r="E25" s="227">
        <f>('Historical Data'!E18-'Historical Data'!E27)/'Historical Data'!E21</f>
        <v>4.1634567283641895</v>
      </c>
      <c r="F25" s="227">
        <f>('Historical Data'!F18-'Historical Data'!F27)/'Historical Data'!F21</f>
        <v>3.8978495662422397</v>
      </c>
      <c r="G25" s="227">
        <f>('Historical Data'!G18-'Historical Data'!G27)/'Historical Data'!G21</f>
        <v>4.1575866726699688</v>
      </c>
      <c r="H25" s="227">
        <f>('Historical Data'!H18-'Historical Data'!H27)/'Historical Data'!H21</f>
        <v>7.7808938658210351</v>
      </c>
      <c r="I25" s="227">
        <f>('Historical Data'!I18-'Historical Data'!I27)/'Historical Data'!I21</f>
        <v>15.706568620518965</v>
      </c>
      <c r="J25" s="227">
        <f>('Historical Data'!J18-'Historical Data'!J27)/'Historical Data'!J21</f>
        <v>17.83345111896346</v>
      </c>
      <c r="K25" s="227">
        <f>('Historical Data'!K18-'Historical Data'!K27)/'Historical Data'!K21</f>
        <v>15.705988372093024</v>
      </c>
      <c r="L25" s="227">
        <f>('Historical Data'!L18-'Historical Data'!L27)/'Historical Data'!L21</f>
        <v>11.721013125340717</v>
      </c>
      <c r="M25" s="221"/>
      <c r="N25" s="220">
        <f t="shared" si="3"/>
        <v>8.7013158435999642</v>
      </c>
      <c r="O25" s="220">
        <f t="shared" si="1"/>
        <v>5.9721752970926119</v>
      </c>
    </row>
    <row r="26" spans="2:15" x14ac:dyDescent="0.45">
      <c r="N26" s="222"/>
      <c r="O26" s="222"/>
    </row>
    <row r="27" spans="2:15" x14ac:dyDescent="0.45">
      <c r="B27" s="216" t="s">
        <v>165</v>
      </c>
      <c r="C27" s="228">
        <f>IFERROR('Historical Data'!C6/'Historical Data'!C59,0)</f>
        <v>5.3645343929747185</v>
      </c>
      <c r="D27" s="228">
        <f>IFERROR('Historical Data'!D6/'Historical Data'!D59,0)</f>
        <v>4.2043181033286796</v>
      </c>
      <c r="E27" s="228">
        <f>IFERROR('Historical Data'!E6/'Historical Data'!E59,0)</f>
        <v>4.38430513383343</v>
      </c>
      <c r="F27" s="228">
        <f>IFERROR('Historical Data'!F6/'Historical Data'!F59,0)</f>
        <v>3.3894447799694958</v>
      </c>
      <c r="G27" s="228">
        <f>IFERROR('Historical Data'!G6/'Historical Data'!G59,0)</f>
        <v>3.2716406654510251</v>
      </c>
      <c r="H27" s="228">
        <f>IFERROR('Historical Data'!H6/'Historical Data'!H59,0)</f>
        <v>3.4854753726685659</v>
      </c>
      <c r="I27" s="228">
        <f>IFERROR('Historical Data'!I6/'Historical Data'!I59,0)</f>
        <v>3.696795197210144</v>
      </c>
      <c r="J27" s="228">
        <f>IFERROR('Historical Data'!J6/'Historical Data'!J59,0)</f>
        <v>3.6867908044091373</v>
      </c>
      <c r="K27" s="228">
        <f>IFERROR('Historical Data'!K6/'Historical Data'!K59,0)</f>
        <v>3.8366605440743591</v>
      </c>
      <c r="L27" s="228">
        <f>IFERROR('Historical Data'!L6/'Historical Data'!L59,0)</f>
        <v>4.3110725311728562</v>
      </c>
      <c r="M27" s="216"/>
      <c r="N27" s="228">
        <f t="shared" si="3"/>
        <v>3.963103752509241</v>
      </c>
      <c r="O27" s="228">
        <f t="shared" si="1"/>
        <v>3.7667278706422516</v>
      </c>
    </row>
    <row r="28" spans="2:15" x14ac:dyDescent="0.45">
      <c r="B28" s="14" t="s">
        <v>166</v>
      </c>
      <c r="C28" s="229">
        <f>IFERROR('Historical Data'!C6/'Historical Data'!C50,0)</f>
        <v>1.9442138861621734</v>
      </c>
      <c r="D28" s="229">
        <f>IFERROR('Historical Data'!D6/'Historical Data'!D50,0)</f>
        <v>2.0423357465375607</v>
      </c>
      <c r="E28" s="229">
        <f>IFERROR('Historical Data'!E6/'Historical Data'!E50,0)</f>
        <v>2.1593557444230411</v>
      </c>
      <c r="F28" s="229">
        <f>IFERROR('Historical Data'!F6/'Historical Data'!F50,0)</f>
        <v>1.6982589445704932</v>
      </c>
      <c r="G28" s="229">
        <f>IFERROR('Historical Data'!G6/'Historical Data'!G50,0)</f>
        <v>2.2947779547153782</v>
      </c>
      <c r="H28" s="229">
        <f>IFERROR('Historical Data'!H6/'Historical Data'!H50,0)</f>
        <v>2.2468369803879442</v>
      </c>
      <c r="I28" s="229">
        <f>IFERROR('Historical Data'!I6/'Historical Data'!I50,0)</f>
        <v>1.9373322090399203</v>
      </c>
      <c r="J28" s="229">
        <f>IFERROR('Historical Data'!J6/'Historical Data'!J50,0)</f>
        <v>1.8879434259091479</v>
      </c>
      <c r="K28" s="229">
        <f>IFERROR('Historical Data'!K6/'Historical Data'!K50,0)</f>
        <v>2.4612495898915627</v>
      </c>
      <c r="L28" s="229">
        <f>IFERROR('Historical Data'!L6/'Historical Data'!L50,0)</f>
        <v>2.6403764278014306</v>
      </c>
      <c r="N28" s="229">
        <f t="shared" si="3"/>
        <v>2.1312680909438653</v>
      </c>
      <c r="O28" s="229">
        <f t="shared" si="1"/>
        <v>2.1008457454803011</v>
      </c>
    </row>
    <row r="29" spans="2:15" x14ac:dyDescent="0.45">
      <c r="B29" s="14" t="s">
        <v>47</v>
      </c>
      <c r="C29" s="229">
        <f>IFERROR('Historical Data'!C6/'Historical Data'!C60,0)</f>
        <v>4.8327555270916145</v>
      </c>
      <c r="D29" s="229">
        <f>IFERROR('Historical Data'!D6/'Historical Data'!D60,0)</f>
        <v>4.4354772410915304</v>
      </c>
      <c r="E29" s="229">
        <f>IFERROR('Historical Data'!E6/'Historical Data'!E60,0)</f>
        <v>4.6215890680408203</v>
      </c>
      <c r="F29" s="229">
        <f>IFERROR('Historical Data'!F6/'Historical Data'!F60,0)</f>
        <v>3.8498261075560736</v>
      </c>
      <c r="G29" s="229">
        <f>IFERROR('Historical Data'!G6/'Historical Data'!G60,0)</f>
        <v>3.6857701896276684</v>
      </c>
      <c r="H29" s="229">
        <f>IFERROR('Historical Data'!H6/'Historical Data'!H60,0)</f>
        <v>4.1698465648845273</v>
      </c>
      <c r="I29" s="229">
        <f>IFERROR('Historical Data'!I6/'Historical Data'!I60,0)</f>
        <v>3.723248364458454</v>
      </c>
      <c r="J29" s="229">
        <f>IFERROR('Historical Data'!J6/'Historical Data'!J60,0)</f>
        <v>4.3309722099285954</v>
      </c>
      <c r="K29" s="229">
        <f>IFERROR('Historical Data'!K6/'Historical Data'!K60,0)</f>
        <v>4.1744003880890892</v>
      </c>
      <c r="L29" s="229">
        <f>IFERROR('Historical Data'!L6/'Historical Data'!L60,0)</f>
        <v>4.9144127300677214</v>
      </c>
      <c r="N29" s="229">
        <f t="shared" si="3"/>
        <v>4.2738298390836089</v>
      </c>
      <c r="O29" s="229">
        <f t="shared" si="1"/>
        <v>4.2526862990088423</v>
      </c>
    </row>
    <row r="30" spans="2:15" x14ac:dyDescent="0.45">
      <c r="B30" s="14" t="s">
        <v>167</v>
      </c>
      <c r="C30" s="229">
        <f>IFERROR('Historical Data'!C6/'Historical Data'!C53,0)</f>
        <v>2.159832430118108</v>
      </c>
      <c r="D30" s="229">
        <f>IFERROR('Historical Data'!D6/'Historical Data'!D53,0)</f>
        <v>1.794769487627778</v>
      </c>
      <c r="E30" s="229">
        <f>IFERROR('Historical Data'!E6/'Historical Data'!E53,0)</f>
        <v>1.7865989407739784</v>
      </c>
      <c r="F30" s="229">
        <f>IFERROR('Historical Data'!F6/'Historical Data'!F53,0)</f>
        <v>1.4050788615924019</v>
      </c>
      <c r="G30" s="229">
        <f>IFERROR('Historical Data'!G6/'Historical Data'!G53,0)</f>
        <v>1.3310675592378645</v>
      </c>
      <c r="H30" s="229">
        <f>IFERROR('Historical Data'!H6/'Historical Data'!H53,0)</f>
        <v>1.4372840791161694</v>
      </c>
      <c r="I30" s="229">
        <f>IFERROR('Historical Data'!I6/'Historical Data'!I53,0)</f>
        <v>1.5542231283098671</v>
      </c>
      <c r="J30" s="229">
        <f>IFERROR('Historical Data'!J6/'Historical Data'!J53,0)</f>
        <v>1.7054585098891866</v>
      </c>
      <c r="K30" s="229">
        <f>IFERROR('Historical Data'!K6/'Historical Data'!K53,0)</f>
        <v>1.8235976570550965</v>
      </c>
      <c r="L30" s="229">
        <f>IFERROR('Historical Data'!L6/'Historical Data'!L53,0)</f>
        <v>2.0893566000815116</v>
      </c>
      <c r="N30" s="229">
        <f t="shared" si="3"/>
        <v>1.7087267253801961</v>
      </c>
      <c r="O30" s="229">
        <f t="shared" si="1"/>
        <v>1.7460287253315825</v>
      </c>
    </row>
    <row r="31" spans="2:15" x14ac:dyDescent="0.45">
      <c r="B31" s="221" t="s">
        <v>169</v>
      </c>
      <c r="C31" s="227">
        <f>IFERROR('Historical Data'!C6/SUM('Historical Data'!C47:C48),0)</f>
        <v>1.068410712342456</v>
      </c>
      <c r="D31" s="227">
        <f>IFERROR('Historical Data'!D6/SUM('Historical Data'!D47:D48),0)</f>
        <v>0.86370188051353314</v>
      </c>
      <c r="E31" s="227">
        <f>IFERROR('Historical Data'!E6/SUM('Historical Data'!E47:E48),0)</f>
        <v>0.86186474932770951</v>
      </c>
      <c r="F31" s="227">
        <f>IFERROR('Historical Data'!F6/SUM('Historical Data'!F47:F48),0)</f>
        <v>0.6913761013892793</v>
      </c>
      <c r="G31" s="227">
        <f>IFERROR('Historical Data'!G6/SUM('Historical Data'!G47:G48),0)</f>
        <v>0.70192151186237994</v>
      </c>
      <c r="H31" s="227">
        <f>IFERROR('Historical Data'!H6/SUM('Historical Data'!H47:H48),0)</f>
        <v>0.72545894184067194</v>
      </c>
      <c r="I31" s="227">
        <f>IFERROR('Historical Data'!I6/SUM('Historical Data'!I47:I48),0)</f>
        <v>0.72096719137339604</v>
      </c>
      <c r="J31" s="227">
        <f>IFERROR('Historical Data'!J6/SUM('Historical Data'!J47:J48),0)</f>
        <v>0.80511367967737535</v>
      </c>
      <c r="K31" s="227">
        <f>IFERROR('Historical Data'!K6/SUM('Historical Data'!K47:K48),0)</f>
        <v>0.78373751548788495</v>
      </c>
      <c r="L31" s="227">
        <f>IFERROR('Historical Data'!L6/SUM('Historical Data'!L47:L48),0)</f>
        <v>0.76172963124393811</v>
      </c>
      <c r="M31" s="221"/>
      <c r="N31" s="227">
        <f t="shared" si="3"/>
        <v>0.79842819150586242</v>
      </c>
      <c r="O31" s="227">
        <f t="shared" si="1"/>
        <v>0.77273357336591153</v>
      </c>
    </row>
    <row r="32" spans="2:15" x14ac:dyDescent="0.45"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N32" s="222"/>
      <c r="O32" s="222"/>
    </row>
    <row r="33" spans="2:15" x14ac:dyDescent="0.45">
      <c r="B33" s="223" t="s">
        <v>46</v>
      </c>
      <c r="C33" s="230">
        <f t="shared" ref="C33:L33" si="6">IFERROR(365/C27,0)</f>
        <v>68.039455666086567</v>
      </c>
      <c r="D33" s="230">
        <f t="shared" si="6"/>
        <v>86.815505161471719</v>
      </c>
      <c r="E33" s="230">
        <f t="shared" si="6"/>
        <v>83.251504824177502</v>
      </c>
      <c r="F33" s="230">
        <f t="shared" si="6"/>
        <v>107.68725372280144</v>
      </c>
      <c r="G33" s="230">
        <f t="shared" si="6"/>
        <v>111.56481940527581</v>
      </c>
      <c r="H33" s="230">
        <f t="shared" si="6"/>
        <v>104.72029234868671</v>
      </c>
      <c r="I33" s="230">
        <f t="shared" si="6"/>
        <v>98.734168523983726</v>
      </c>
      <c r="J33" s="230">
        <f t="shared" si="6"/>
        <v>99.002091348249593</v>
      </c>
      <c r="K33" s="230">
        <f t="shared" si="6"/>
        <v>95.134817325378123</v>
      </c>
      <c r="L33" s="231">
        <f t="shared" si="6"/>
        <v>84.665706123181209</v>
      </c>
      <c r="M33" s="216"/>
      <c r="N33" s="231">
        <f t="shared" si="3"/>
        <v>93.961561444929231</v>
      </c>
      <c r="O33" s="231">
        <f t="shared" si="1"/>
        <v>96.934492924680924</v>
      </c>
    </row>
    <row r="34" spans="2:15" x14ac:dyDescent="0.45">
      <c r="B34" s="14" t="s">
        <v>170</v>
      </c>
      <c r="C34" s="232">
        <f>IFERROR(365/C28,0)</f>
        <v>187.73654616802492</v>
      </c>
      <c r="D34" s="232">
        <f t="shared" ref="D34:L34" si="7">IFERROR(365/D28,0)</f>
        <v>178.71694241203807</v>
      </c>
      <c r="E34" s="232">
        <f t="shared" si="7"/>
        <v>169.03189802916168</v>
      </c>
      <c r="F34" s="232">
        <f t="shared" si="7"/>
        <v>214.92599886898412</v>
      </c>
      <c r="G34" s="232">
        <f t="shared" si="7"/>
        <v>159.0567833589246</v>
      </c>
      <c r="H34" s="232">
        <f t="shared" si="7"/>
        <v>162.45059307194518</v>
      </c>
      <c r="I34" s="232">
        <f t="shared" si="7"/>
        <v>188.40341284620581</v>
      </c>
      <c r="J34" s="232">
        <f t="shared" si="7"/>
        <v>193.33206439924572</v>
      </c>
      <c r="K34" s="232">
        <f t="shared" si="7"/>
        <v>148.29865345597929</v>
      </c>
      <c r="L34" s="232">
        <f t="shared" si="7"/>
        <v>138.2378649334957</v>
      </c>
      <c r="N34" s="232">
        <f t="shared" si="3"/>
        <v>174.01907575440049</v>
      </c>
      <c r="O34" s="232">
        <f t="shared" si="1"/>
        <v>173.87442022059986</v>
      </c>
    </row>
    <row r="35" spans="2:15" x14ac:dyDescent="0.45">
      <c r="B35" s="14" t="s">
        <v>171</v>
      </c>
      <c r="C35" s="232">
        <f>IFERROR(365/C29,0)</f>
        <v>75.526270251799701</v>
      </c>
      <c r="D35" s="232">
        <f t="shared" ref="D35:L35" si="8">IFERROR(365/D29,0)</f>
        <v>82.291032094254831</v>
      </c>
      <c r="E35" s="232">
        <f t="shared" si="8"/>
        <v>78.977164483109362</v>
      </c>
      <c r="F35" s="232">
        <f t="shared" si="8"/>
        <v>94.809477052382348</v>
      </c>
      <c r="G35" s="232">
        <f t="shared" si="8"/>
        <v>99.029505699288265</v>
      </c>
      <c r="H35" s="232">
        <f t="shared" si="8"/>
        <v>87.533196802436223</v>
      </c>
      <c r="I35" s="232">
        <f t="shared" si="8"/>
        <v>98.032675844091642</v>
      </c>
      <c r="J35" s="232">
        <f t="shared" si="8"/>
        <v>84.276689460913843</v>
      </c>
      <c r="K35" s="232">
        <f t="shared" si="8"/>
        <v>87.43770747086522</v>
      </c>
      <c r="L35" s="232">
        <f t="shared" si="8"/>
        <v>74.271336179566305</v>
      </c>
      <c r="N35" s="232">
        <f t="shared" si="3"/>
        <v>86.218505533870783</v>
      </c>
      <c r="O35" s="232">
        <f t="shared" si="1"/>
        <v>85.857198465889525</v>
      </c>
    </row>
    <row r="36" spans="2:15" x14ac:dyDescent="0.45">
      <c r="B36" s="225" t="s">
        <v>180</v>
      </c>
      <c r="C36" s="233">
        <f>SUM(C33,C35)-C34</f>
        <v>-44.170820250138661</v>
      </c>
      <c r="D36" s="233">
        <f t="shared" ref="D36:L36" si="9">SUM(D33,D35)-D34</f>
        <v>-9.6104051563115149</v>
      </c>
      <c r="E36" s="233">
        <f t="shared" si="9"/>
        <v>-6.8032287218748309</v>
      </c>
      <c r="F36" s="233">
        <f t="shared" si="9"/>
        <v>-12.429268093800346</v>
      </c>
      <c r="G36" s="233">
        <f t="shared" si="9"/>
        <v>51.537541745639459</v>
      </c>
      <c r="H36" s="233">
        <f t="shared" si="9"/>
        <v>29.802896079177771</v>
      </c>
      <c r="I36" s="233">
        <f t="shared" si="9"/>
        <v>8.3634315218695576</v>
      </c>
      <c r="J36" s="233">
        <f t="shared" si="9"/>
        <v>-10.053283590082287</v>
      </c>
      <c r="K36" s="233">
        <f t="shared" si="9"/>
        <v>34.273871340264037</v>
      </c>
      <c r="L36" s="234">
        <f t="shared" si="9"/>
        <v>20.6991773692518</v>
      </c>
      <c r="M36" s="221"/>
      <c r="N36" s="234">
        <f t="shared" si="3"/>
        <v>6.1609912243994982</v>
      </c>
      <c r="O36" s="234">
        <f t="shared" si="1"/>
        <v>0.78010139999736339</v>
      </c>
    </row>
    <row r="37" spans="2:15" x14ac:dyDescent="0.45">
      <c r="N37" s="222"/>
      <c r="O37" s="222"/>
    </row>
    <row r="38" spans="2:15" x14ac:dyDescent="0.45">
      <c r="B38" s="223" t="s">
        <v>173</v>
      </c>
      <c r="C38" s="224">
        <f>IFERROR('Historical Data'!C78/'Historical Data'!C6,0)</f>
        <v>0.21163105591740075</v>
      </c>
      <c r="D38" s="224">
        <f>IFERROR('Historical Data'!D78/'Historical Data'!D6,0)</f>
        <v>0.24337391437436617</v>
      </c>
      <c r="E38" s="224">
        <f>IFERROR('Historical Data'!E78/'Historical Data'!E6,0)</f>
        <v>0.2113467289707788</v>
      </c>
      <c r="F38" s="224">
        <f>IFERROR('Historical Data'!F78/'Historical Data'!F6,0)</f>
        <v>0.13948944221588511</v>
      </c>
      <c r="G38" s="224">
        <f>IFERROR('Historical Data'!G78/'Historical Data'!G6,0)</f>
        <v>-1.7167878108753518E-2</v>
      </c>
      <c r="H38" s="224">
        <f>IFERROR('Historical Data'!H78/'Historical Data'!H6,0)</f>
        <v>0.22699657403882756</v>
      </c>
      <c r="I38" s="224">
        <f>IFERROR('Historical Data'!I78/'Historical Data'!I6,0)</f>
        <v>0.26073089431234092</v>
      </c>
      <c r="J38" s="224">
        <f>IFERROR('Historical Data'!J78/'Historical Data'!J6,0)</f>
        <v>0.27274968574155295</v>
      </c>
      <c r="K38" s="224">
        <f>IFERROR('Historical Data'!K78/'Historical Data'!K6,0)</f>
        <v>-1.6018892723093273E-2</v>
      </c>
      <c r="L38" s="215">
        <f>IFERROR('Historical Data'!L78/'Historical Data'!L6,0)</f>
        <v>0.27214138650242231</v>
      </c>
      <c r="M38" s="216"/>
      <c r="N38" s="215">
        <f t="shared" si="3"/>
        <v>0.18052729112417276</v>
      </c>
      <c r="O38" s="215">
        <f t="shared" si="1"/>
        <v>0.21931381497811414</v>
      </c>
    </row>
    <row r="39" spans="2:15" x14ac:dyDescent="0.45">
      <c r="B39" s="14" t="s">
        <v>174</v>
      </c>
      <c r="C39" s="217">
        <f>IFERROR('Historical Data'!C78/'Historical Data'!C64,0)</f>
        <v>0.11897825245021929</v>
      </c>
      <c r="D39" s="217">
        <f>IFERROR('Historical Data'!D78/'Historical Data'!D64,0)</f>
        <v>0.12508231473546524</v>
      </c>
      <c r="E39" s="217">
        <f>IFERROR('Historical Data'!E78/'Historical Data'!E64,0)</f>
        <v>0.10923890404277242</v>
      </c>
      <c r="F39" s="217">
        <f>IFERROR('Historical Data'!F78/'Historical Data'!F64,0)</f>
        <v>5.7467340431703373E-2</v>
      </c>
      <c r="G39" s="217">
        <f>IFERROR('Historical Data'!G78/'Historical Data'!G64,0)</f>
        <v>-7.7257103434565941E-3</v>
      </c>
      <c r="H39" s="217">
        <f>IFERROR('Historical Data'!H78/'Historical Data'!H64,0)</f>
        <v>0.10930529111515445</v>
      </c>
      <c r="I39" s="217">
        <f>IFERROR('Historical Data'!I78/'Historical Data'!I64,0)</f>
        <v>0.12915872918694477</v>
      </c>
      <c r="J39" s="217">
        <f>IFERROR('Historical Data'!J78/'Historical Data'!J64,0)</f>
        <v>0.15109799356253467</v>
      </c>
      <c r="K39" s="217">
        <f>IFERROR('Historical Data'!K78/'Historical Data'!K64,0)</f>
        <v>-8.7099919590543657E-3</v>
      </c>
      <c r="L39" s="217">
        <f>IFERROR('Historical Data'!L78/'Historical Data'!L64,0)</f>
        <v>0.15471031846787314</v>
      </c>
      <c r="N39" s="217">
        <f t="shared" si="3"/>
        <v>9.3860344169015647E-2</v>
      </c>
      <c r="O39" s="217">
        <f t="shared" si="1"/>
        <v>0.11414177178268686</v>
      </c>
    </row>
    <row r="40" spans="2:15" x14ac:dyDescent="0.45">
      <c r="B40" s="225" t="s">
        <v>175</v>
      </c>
      <c r="C40" s="226">
        <f>IFERROR('Historical Data'!C78/'Historical Data'!C49,0)</f>
        <v>0.6443896306292386</v>
      </c>
      <c r="D40" s="226">
        <f>IFERROR('Historical Data'!D78/'Historical Data'!D49,0)</f>
        <v>0.81595808284569649</v>
      </c>
      <c r="E40" s="226">
        <f>IFERROR('Historical Data'!E78/'Historical Data'!E49,0)</f>
        <v>0.67881978524721387</v>
      </c>
      <c r="F40" s="226">
        <f>IFERROR('Historical Data'!F78/'Historical Data'!F49,0)</f>
        <v>0.35579238671695584</v>
      </c>
      <c r="G40" s="226">
        <f>IFERROR('Historical Data'!G78/'Historical Data'!G49,0)</f>
        <v>-4.7458903822962119E-2</v>
      </c>
      <c r="H40" s="226">
        <f>IFERROR('Historical Data'!H78/'Historical Data'!H49,0)</f>
        <v>0.8964651323891627</v>
      </c>
      <c r="I40" s="226">
        <f>IFERROR('Historical Data'!I78/'Historical Data'!I49,0)</f>
        <v>2.2576759431109088</v>
      </c>
      <c r="J40" s="226">
        <f>IFERROR('Historical Data'!J78/'Historical Data'!J49,0)</f>
        <v>8.1709679919398592</v>
      </c>
      <c r="K40" s="226">
        <f>IFERROR('Historical Data'!K78/'Historical Data'!K49,0)</f>
        <v>-0.10209312693966049</v>
      </c>
      <c r="L40" s="220">
        <f>IFERROR('Historical Data'!L78/'Historical Data'!L49,0)</f>
        <v>4.0315609087049094</v>
      </c>
      <c r="M40" s="221"/>
      <c r="N40" s="220">
        <f t="shared" si="3"/>
        <v>1.7702077830821323</v>
      </c>
      <c r="O40" s="220">
        <f t="shared" si="1"/>
        <v>0.74738893404645523</v>
      </c>
    </row>
  </sheetData>
  <mergeCells count="1">
    <mergeCell ref="B2:L2"/>
  </mergeCells>
  <pageMargins left="0.7" right="0.7" top="0.75" bottom="0.75" header="0.3" footer="0.3"/>
  <pageSetup paperSize="9" scale="67" fitToHeight="0" orientation="landscape" r:id="rId1"/>
  <customProperties>
    <customPr name="Smart" r:id="rId2"/>
  </customPropertie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xr2:uid="{A5C222BB-3FC5-4D4A-BB34-BDB18CA9323B}">
          <x14:colorSeries rgb="FF376092"/>
          <x14:colorNegative rgb="FFD00000"/>
          <x14:colorAxis rgb="FF000000"/>
          <x14:colorMarkers theme="1"/>
          <x14:colorFirst rgb="FFD00000"/>
          <x14:colorLast rgb="FFD00000"/>
          <x14:colorHigh rgb="FFD00000"/>
          <x14:colorLow rgb="FFD00000"/>
          <x14:sparklines>
            <x14:sparkline>
              <xm:f>'Ratio Analysis'!D5:L5</xm:f>
              <xm:sqref>M5</xm:sqref>
            </x14:sparkline>
            <x14:sparkline>
              <xm:f>'Ratio Analysis'!D6:L6</xm:f>
              <xm:sqref>M6</xm:sqref>
            </x14:sparkline>
            <x14:sparkline>
              <xm:f>'Ratio Analysis'!D7:L7</xm:f>
              <xm:sqref>M7</xm:sqref>
            </x14:sparkline>
            <x14:sparkline>
              <xm:f>'Ratio Analysis'!D8:L8</xm:f>
              <xm:sqref>M8</xm:sqref>
            </x14:sparkline>
            <x14:sparkline>
              <xm:f>'Ratio Analysis'!D9:L9</xm:f>
              <xm:sqref>M9</xm:sqref>
            </x14:sparkline>
          </x14:sparklines>
        </x14:sparklineGroup>
        <x14:sparklineGroup displayEmptyCellsAs="gap" markers="1" xr2:uid="{84E1B506-E137-4937-BD90-65200A6CDBB8}">
          <x14:colorSeries rgb="FF376092"/>
          <x14:colorNegative rgb="FFD00000"/>
          <x14:colorAxis rgb="FF000000"/>
          <x14:colorMarkers theme="1"/>
          <x14:colorFirst rgb="FFD00000"/>
          <x14:colorLast rgb="FFD00000"/>
          <x14:colorHigh rgb="FFD00000"/>
          <x14:colorLow rgb="FFD00000"/>
          <x14:sparklines>
            <x14:sparkline>
              <xm:f>'Ratio Analysis'!C11:L11</xm:f>
              <xm:sqref>M11</xm:sqref>
            </x14:sparkline>
            <x14:sparkline>
              <xm:f>'Ratio Analysis'!C12:L12</xm:f>
              <xm:sqref>M12</xm:sqref>
            </x14:sparkline>
            <x14:sparkline>
              <xm:f>'Ratio Analysis'!C13:L13</xm:f>
              <xm:sqref>M13</xm:sqref>
            </x14:sparkline>
            <x14:sparkline>
              <xm:f>'Ratio Analysis'!C14:L14</xm:f>
              <xm:sqref>M14</xm:sqref>
            </x14:sparkline>
            <x14:sparkline>
              <xm:f>'Ratio Analysis'!C15:L15</xm:f>
              <xm:sqref>M15</xm:sqref>
            </x14:sparkline>
            <x14:sparkline>
              <xm:f>'Ratio Analysis'!C16:L16</xm:f>
              <xm:sqref>M16</xm:sqref>
            </x14:sparkline>
            <x14:sparkline>
              <xm:f>'Ratio Analysis'!C17:L17</xm:f>
              <xm:sqref>M17</xm:sqref>
            </x14:sparkline>
            <x14:sparkline>
              <xm:f>'Ratio Analysis'!C18:L18</xm:f>
              <xm:sqref>M18</xm:sqref>
            </x14:sparkline>
            <x14:sparkline>
              <xm:f>'Ratio Analysis'!C19:L19</xm:f>
              <xm:sqref>M19</xm:sqref>
            </x14:sparkline>
            <x14:sparkline>
              <xm:f>'Ratio Analysis'!C20:L20</xm:f>
              <xm:sqref>M20</xm:sqref>
            </x14:sparkline>
            <x14:sparkline>
              <xm:f>'Ratio Analysis'!C21:L21</xm:f>
              <xm:sqref>M21</xm:sqref>
            </x14:sparkline>
            <x14:sparkline>
              <xm:f>'Ratio Analysis'!C22:L22</xm:f>
              <xm:sqref>M22</xm:sqref>
            </x14:sparkline>
            <x14:sparkline>
              <xm:f>'Ratio Analysis'!C23:L23</xm:f>
              <xm:sqref>M23</xm:sqref>
            </x14:sparkline>
            <x14:sparkline>
              <xm:f>'Ratio Analysis'!C24:L24</xm:f>
              <xm:sqref>M24</xm:sqref>
            </x14:sparkline>
            <x14:sparkline>
              <xm:f>'Ratio Analysis'!C25:L25</xm:f>
              <xm:sqref>M25</xm:sqref>
            </x14:sparkline>
            <x14:sparkline>
              <xm:f>'Ratio Analysis'!C26:L26</xm:f>
              <xm:sqref>M26</xm:sqref>
            </x14:sparkline>
            <x14:sparkline>
              <xm:f>'Ratio Analysis'!C27:L27</xm:f>
              <xm:sqref>M27</xm:sqref>
            </x14:sparkline>
            <x14:sparkline>
              <xm:f>'Ratio Analysis'!C28:L28</xm:f>
              <xm:sqref>M28</xm:sqref>
            </x14:sparkline>
            <x14:sparkline>
              <xm:f>'Ratio Analysis'!C29:L29</xm:f>
              <xm:sqref>M29</xm:sqref>
            </x14:sparkline>
            <x14:sparkline>
              <xm:f>'Ratio Analysis'!C30:L30</xm:f>
              <xm:sqref>M30</xm:sqref>
            </x14:sparkline>
            <x14:sparkline>
              <xm:f>'Ratio Analysis'!C31:L31</xm:f>
              <xm:sqref>M31</xm:sqref>
            </x14:sparkline>
            <x14:sparkline>
              <xm:f>'Ratio Analysis'!C32:L32</xm:f>
              <xm:sqref>M32</xm:sqref>
            </x14:sparkline>
            <x14:sparkline>
              <xm:f>'Ratio Analysis'!C33:L33</xm:f>
              <xm:sqref>M33</xm:sqref>
            </x14:sparkline>
            <x14:sparkline>
              <xm:f>'Ratio Analysis'!C34:L34</xm:f>
              <xm:sqref>M34</xm:sqref>
            </x14:sparkline>
            <x14:sparkline>
              <xm:f>'Ratio Analysis'!C35:L35</xm:f>
              <xm:sqref>M35</xm:sqref>
            </x14:sparkline>
            <x14:sparkline>
              <xm:f>'Ratio Analysis'!C36:L36</xm:f>
              <xm:sqref>M36</xm:sqref>
            </x14:sparkline>
            <x14:sparkline>
              <xm:f>'Ratio Analysis'!C37:L37</xm:f>
              <xm:sqref>M37</xm:sqref>
            </x14:sparkline>
            <x14:sparkline>
              <xm:f>'Ratio Analysis'!C38:L38</xm:f>
              <xm:sqref>M38</xm:sqref>
            </x14:sparkline>
            <x14:sparkline>
              <xm:f>'Ratio Analysis'!C39:L39</xm:f>
              <xm:sqref>M39</xm:sqref>
            </x14:sparkline>
            <x14:sparkline>
              <xm:f>'Ratio Analysis'!C40:L40</xm:f>
              <xm:sqref>M40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A23E6-18D7-4D0C-BE8B-70924499BF8F}">
  <sheetPr>
    <tabColor theme="5" tint="-0.249977111117893"/>
    <pageSetUpPr fitToPage="1"/>
  </sheetPr>
  <dimension ref="B3:O21"/>
  <sheetViews>
    <sheetView showGridLines="0" topLeftCell="A12" zoomScaleNormal="100" workbookViewId="0">
      <selection activeCell="I17" sqref="I17"/>
    </sheetView>
  </sheetViews>
  <sheetFormatPr defaultRowHeight="14.25" x14ac:dyDescent="0.45"/>
  <cols>
    <col min="1" max="1" width="3.59765625" style="14" customWidth="1"/>
    <col min="2" max="3" width="11.6640625" style="14" customWidth="1"/>
    <col min="4" max="4" width="11.46484375" style="14" customWidth="1"/>
    <col min="5" max="5" width="17.1328125" style="14" customWidth="1"/>
    <col min="6" max="6" width="2.59765625" style="14" customWidth="1"/>
    <col min="7" max="7" width="13.1328125" style="14" customWidth="1"/>
    <col min="8" max="8" width="10.86328125" style="14" customWidth="1"/>
    <col min="9" max="9" width="17.19921875" style="14" customWidth="1"/>
    <col min="10" max="10" width="17.9296875" style="14" customWidth="1"/>
    <col min="11" max="11" width="2.59765625" style="14" customWidth="1"/>
    <col min="12" max="12" width="18.53125" style="14" customWidth="1"/>
    <col min="13" max="13" width="7.9296875" style="14" customWidth="1"/>
    <col min="14" max="14" width="12.265625" style="14" customWidth="1"/>
    <col min="15" max="15" width="21" style="14" customWidth="1"/>
    <col min="16" max="16384" width="9.06640625" style="14"/>
  </cols>
  <sheetData>
    <row r="3" spans="2:15" x14ac:dyDescent="0.45">
      <c r="B3" s="285" t="str">
        <f>'Data Sheet'!B1&amp;" - "&amp;'Data Sheet'!A17&amp;" Forecasting"</f>
        <v>SUN PHARMACEUTICALS INDUSTRIES LTD - Sales Forecasting</v>
      </c>
      <c r="C3" s="285"/>
      <c r="D3" s="285"/>
      <c r="E3" s="285"/>
      <c r="G3" s="285" t="str">
        <f>'Data Sheet'!B1&amp;" - " &amp;'Historical Data'!B18&amp;" Forecasting"</f>
        <v>SUN PHARMACEUTICALS INDUSTRIES LTD - EBITDA Forecasting</v>
      </c>
      <c r="H3" s="285"/>
      <c r="I3" s="285"/>
      <c r="J3" s="285"/>
      <c r="L3" s="285" t="str">
        <f>'Data Sheet'!B1&amp;" - "&amp;'Historical Data'!B38&amp;" Forecasting"</f>
        <v>SUN PHARMACEUTICALS INDUSTRIES LTD - Earning Per Share Forecasting</v>
      </c>
      <c r="M3" s="285"/>
      <c r="N3" s="285"/>
      <c r="O3" s="285"/>
    </row>
    <row r="4" spans="2:15" x14ac:dyDescent="0.45">
      <c r="B4" s="83" t="s">
        <v>209</v>
      </c>
      <c r="C4" s="84" t="s">
        <v>210</v>
      </c>
      <c r="D4" s="84" t="s">
        <v>6</v>
      </c>
      <c r="E4" s="84" t="s">
        <v>22</v>
      </c>
      <c r="F4" s="243"/>
      <c r="G4" s="83" t="s">
        <v>209</v>
      </c>
      <c r="H4" s="84" t="s">
        <v>210</v>
      </c>
      <c r="I4" s="84" t="s">
        <v>91</v>
      </c>
      <c r="J4" s="84" t="s">
        <v>176</v>
      </c>
      <c r="K4" s="243"/>
      <c r="L4" s="83" t="s">
        <v>209</v>
      </c>
      <c r="M4" s="84" t="s">
        <v>210</v>
      </c>
      <c r="N4" s="84" t="s">
        <v>48</v>
      </c>
      <c r="O4" s="84" t="s">
        <v>211</v>
      </c>
    </row>
    <row r="5" spans="2:15" x14ac:dyDescent="0.45">
      <c r="B5" s="235">
        <v>1</v>
      </c>
      <c r="C5" s="236">
        <f>'Data Sheet'!$B$16</f>
        <v>42094</v>
      </c>
      <c r="D5" s="237">
        <f t="array" ref="D5:D14">TRANSPOSE('Data Sheet'!B17:K17)</f>
        <v>27392.01</v>
      </c>
      <c r="G5" s="235">
        <v>1</v>
      </c>
      <c r="H5" s="236">
        <v>42094</v>
      </c>
      <c r="I5" s="237">
        <f t="array" ref="I5:I14">TRANSPOSE('Historical Data'!C18:L18)</f>
        <v>34354.1</v>
      </c>
      <c r="L5" s="235">
        <v>1</v>
      </c>
      <c r="M5" s="236">
        <v>42094</v>
      </c>
      <c r="N5" s="237">
        <f t="array" ref="N5:N14">TRANSPOSE('Historical Data'!C38:L38)</f>
        <v>152.88576670529162</v>
      </c>
    </row>
    <row r="6" spans="2:15" x14ac:dyDescent="0.45">
      <c r="B6" s="235">
        <v>2</v>
      </c>
      <c r="C6" s="236">
        <f>C5+365</f>
        <v>42459</v>
      </c>
      <c r="D6" s="237">
        <v>28487.03</v>
      </c>
      <c r="E6" s="222">
        <f>D6/D5-1</f>
        <v>3.9975890779829548E-2</v>
      </c>
      <c r="G6" s="235">
        <v>2</v>
      </c>
      <c r="H6" s="236">
        <v>42459</v>
      </c>
      <c r="I6" s="237">
        <v>35087.26</v>
      </c>
      <c r="J6" s="222">
        <f>I6/I5-1</f>
        <v>2.1341266399061531E-2</v>
      </c>
      <c r="L6" s="235">
        <v>2</v>
      </c>
      <c r="M6" s="236">
        <v>42459</v>
      </c>
      <c r="N6" s="237">
        <v>135.5080400548469</v>
      </c>
      <c r="O6" s="222">
        <f>N6/N5-1</f>
        <v>-0.11366477746710513</v>
      </c>
    </row>
    <row r="7" spans="2:15" x14ac:dyDescent="0.45">
      <c r="B7" s="235">
        <v>3</v>
      </c>
      <c r="C7" s="236">
        <f t="shared" ref="C7:C19" si="0">C6+365</f>
        <v>42824</v>
      </c>
      <c r="D7" s="237">
        <v>31578.44</v>
      </c>
      <c r="E7" s="222">
        <f t="shared" ref="E7:E19" si="1">D7/D6-1</f>
        <v>0.10851991239521985</v>
      </c>
      <c r="G7" s="235">
        <v>3</v>
      </c>
      <c r="H7" s="236">
        <v>42824</v>
      </c>
      <c r="I7" s="237">
        <v>41165.199999999997</v>
      </c>
      <c r="J7" s="222">
        <f t="shared" ref="J7:J19" si="2">I7/I6-1</f>
        <v>0.17322355749636742</v>
      </c>
      <c r="L7" s="235">
        <v>3</v>
      </c>
      <c r="M7" s="236">
        <v>42824</v>
      </c>
      <c r="N7" s="237">
        <v>159.58437877714331</v>
      </c>
      <c r="O7" s="222">
        <f t="shared" ref="O7:O19" si="3">N7/N6-1</f>
        <v>0.17767461408600926</v>
      </c>
    </row>
    <row r="8" spans="2:15" x14ac:dyDescent="0.45">
      <c r="B8" s="235">
        <v>4</v>
      </c>
      <c r="C8" s="236">
        <f t="shared" si="0"/>
        <v>43189</v>
      </c>
      <c r="D8" s="237">
        <v>26489.46</v>
      </c>
      <c r="E8" s="222">
        <f t="shared" si="1"/>
        <v>-0.16115362253486876</v>
      </c>
      <c r="G8" s="235">
        <v>4</v>
      </c>
      <c r="H8" s="236">
        <v>43189</v>
      </c>
      <c r="I8" s="237">
        <v>35991.519999999997</v>
      </c>
      <c r="J8" s="222">
        <f t="shared" si="2"/>
        <v>-0.12568091494757705</v>
      </c>
      <c r="L8" s="235">
        <v>4</v>
      </c>
      <c r="M8" s="236">
        <v>43189</v>
      </c>
      <c r="N8" s="237">
        <v>137.80298420372608</v>
      </c>
      <c r="O8" s="222">
        <f t="shared" si="3"/>
        <v>-0.13648826244976364</v>
      </c>
    </row>
    <row r="9" spans="2:15" x14ac:dyDescent="0.45">
      <c r="B9" s="235">
        <v>5</v>
      </c>
      <c r="C9" s="236">
        <f t="shared" si="0"/>
        <v>43554</v>
      </c>
      <c r="D9" s="237">
        <v>29065.91</v>
      </c>
      <c r="E9" s="222">
        <f t="shared" si="1"/>
        <v>9.7263213368637969E-2</v>
      </c>
      <c r="G9" s="235">
        <v>5</v>
      </c>
      <c r="H9" s="236">
        <v>43554</v>
      </c>
      <c r="I9" s="237">
        <v>39045.72</v>
      </c>
      <c r="J9" s="222">
        <f t="shared" si="2"/>
        <v>8.4858877869009364E-2</v>
      </c>
      <c r="L9" s="235">
        <v>5</v>
      </c>
      <c r="M9" s="236">
        <v>43554</v>
      </c>
      <c r="N9" s="237">
        <v>150.61201183678574</v>
      </c>
      <c r="O9" s="222">
        <f t="shared" si="3"/>
        <v>9.2951743440642387E-2</v>
      </c>
    </row>
    <row r="10" spans="2:15" x14ac:dyDescent="0.45">
      <c r="B10" s="235">
        <v>6</v>
      </c>
      <c r="C10" s="236">
        <f t="shared" si="0"/>
        <v>43919</v>
      </c>
      <c r="D10" s="237">
        <v>32837.5</v>
      </c>
      <c r="E10" s="222">
        <f t="shared" si="1"/>
        <v>0.12975991462163061</v>
      </c>
      <c r="G10" s="235">
        <v>6</v>
      </c>
      <c r="H10" s="236">
        <v>43919</v>
      </c>
      <c r="I10" s="237">
        <v>42792.22</v>
      </c>
      <c r="J10" s="222">
        <f t="shared" si="2"/>
        <v>9.5951617744531204E-2</v>
      </c>
      <c r="L10" s="235">
        <v>6</v>
      </c>
      <c r="M10" s="236">
        <v>43919</v>
      </c>
      <c r="N10" s="237">
        <v>165.10611428333263</v>
      </c>
      <c r="O10" s="222">
        <f t="shared" si="3"/>
        <v>9.6234704455403941E-2</v>
      </c>
    </row>
    <row r="11" spans="2:15" x14ac:dyDescent="0.45">
      <c r="B11" s="235">
        <v>7</v>
      </c>
      <c r="C11" s="236">
        <f t="shared" si="0"/>
        <v>44284</v>
      </c>
      <c r="D11" s="237">
        <v>33498.14</v>
      </c>
      <c r="E11" s="222">
        <f t="shared" si="1"/>
        <v>2.0118462124095959E-2</v>
      </c>
      <c r="G11" s="235">
        <v>7</v>
      </c>
      <c r="H11" s="236">
        <v>44284</v>
      </c>
      <c r="I11" s="237">
        <v>44276.32</v>
      </c>
      <c r="J11" s="222">
        <f t="shared" si="2"/>
        <v>3.4681537905722148E-2</v>
      </c>
      <c r="L11" s="235">
        <v>7</v>
      </c>
      <c r="M11" s="236">
        <v>44284</v>
      </c>
      <c r="N11" s="237">
        <v>173.13487267119575</v>
      </c>
      <c r="O11" s="222">
        <f t="shared" si="3"/>
        <v>4.8627868342206115E-2</v>
      </c>
    </row>
    <row r="12" spans="2:15" x14ac:dyDescent="0.45">
      <c r="B12" s="235">
        <v>8</v>
      </c>
      <c r="C12" s="236">
        <f t="shared" si="0"/>
        <v>44649</v>
      </c>
      <c r="D12" s="237">
        <v>38654.49</v>
      </c>
      <c r="E12" s="222">
        <f t="shared" si="1"/>
        <v>0.15392944205260339</v>
      </c>
      <c r="G12" s="235">
        <v>8</v>
      </c>
      <c r="H12" s="236">
        <v>44649</v>
      </c>
      <c r="I12" s="237">
        <v>50729.29</v>
      </c>
      <c r="J12" s="222">
        <f t="shared" si="2"/>
        <v>0.14574314215815587</v>
      </c>
      <c r="L12" s="235">
        <v>8</v>
      </c>
      <c r="M12" s="236">
        <v>44649</v>
      </c>
      <c r="N12" s="237">
        <v>197.48551660901097</v>
      </c>
      <c r="O12" s="222">
        <f t="shared" si="3"/>
        <v>0.14064551850313878</v>
      </c>
    </row>
    <row r="13" spans="2:15" x14ac:dyDescent="0.45">
      <c r="B13" s="235">
        <v>9</v>
      </c>
      <c r="C13" s="236">
        <f t="shared" si="0"/>
        <v>45014</v>
      </c>
      <c r="D13" s="237">
        <v>43885.68</v>
      </c>
      <c r="E13" s="222">
        <f t="shared" si="1"/>
        <v>0.1353320144697292</v>
      </c>
      <c r="G13" s="235">
        <v>9</v>
      </c>
      <c r="H13" s="236">
        <v>45014</v>
      </c>
      <c r="I13" s="237">
        <v>55100.460000000006</v>
      </c>
      <c r="J13" s="222">
        <f t="shared" si="2"/>
        <v>8.6166591332147657E-2</v>
      </c>
      <c r="L13" s="235">
        <v>9</v>
      </c>
      <c r="M13" s="236">
        <v>45014</v>
      </c>
      <c r="N13" s="237">
        <v>214.8603342641604</v>
      </c>
      <c r="O13" s="222">
        <f t="shared" si="3"/>
        <v>8.7980212187148465E-2</v>
      </c>
    </row>
    <row r="14" spans="2:15" x14ac:dyDescent="0.45">
      <c r="B14" s="235">
        <v>10</v>
      </c>
      <c r="C14" s="236">
        <f t="shared" si="0"/>
        <v>45379</v>
      </c>
      <c r="D14" s="237">
        <v>48496.85</v>
      </c>
      <c r="E14" s="222">
        <f t="shared" si="1"/>
        <v>0.10507231516066295</v>
      </c>
      <c r="G14" s="235">
        <v>10</v>
      </c>
      <c r="H14" s="236">
        <v>45379</v>
      </c>
      <c r="I14" s="237">
        <v>59095.909999999996</v>
      </c>
      <c r="J14" s="222">
        <f t="shared" si="2"/>
        <v>7.2512098810064263E-2</v>
      </c>
      <c r="L14" s="235">
        <v>10</v>
      </c>
      <c r="M14" s="236">
        <v>45379</v>
      </c>
      <c r="N14" s="237">
        <v>228.6556495644563</v>
      </c>
      <c r="O14" s="222">
        <f t="shared" si="3"/>
        <v>6.4205965924521102E-2</v>
      </c>
    </row>
    <row r="15" spans="2:15" x14ac:dyDescent="0.45">
      <c r="B15" s="238">
        <v>11</v>
      </c>
      <c r="C15" s="239">
        <f t="shared" si="0"/>
        <v>45744</v>
      </c>
      <c r="D15" s="240">
        <f>FORECAST(B15,$D$5:$D$14,$B$5:$B$14)</f>
        <v>45968.950666666657</v>
      </c>
      <c r="E15" s="241">
        <f t="shared" si="1"/>
        <v>-5.2125021178351605E-2</v>
      </c>
      <c r="G15" s="238">
        <v>11</v>
      </c>
      <c r="H15" s="239">
        <v>45744</v>
      </c>
      <c r="I15" s="240">
        <f>FORECAST(G15,$I$5:$I$14,$G$5:$G$14)</f>
        <v>58403.467999999993</v>
      </c>
      <c r="J15" s="241">
        <f t="shared" si="2"/>
        <v>-1.1717257590246111E-2</v>
      </c>
      <c r="L15" s="238">
        <v>11</v>
      </c>
      <c r="M15" s="239">
        <v>45744</v>
      </c>
      <c r="N15" s="240">
        <f>FORECAST(L15,$N$5:$N$14,$L$5:$L$14)</f>
        <v>223.14324897052734</v>
      </c>
      <c r="O15" s="241">
        <f t="shared" si="3"/>
        <v>-2.4107869647782554E-2</v>
      </c>
    </row>
    <row r="16" spans="2:15" x14ac:dyDescent="0.45">
      <c r="B16" s="238">
        <v>12</v>
      </c>
      <c r="C16" s="239">
        <f t="shared" si="0"/>
        <v>46109</v>
      </c>
      <c r="D16" s="240">
        <f t="shared" ref="D16:D19" si="4">FORECAST(B16,$D$5:$D$14,$B$5:$B$14)</f>
        <v>48138.114242424235</v>
      </c>
      <c r="E16" s="241">
        <f t="shared" si="1"/>
        <v>4.7187580840963195E-2</v>
      </c>
      <c r="G16" s="238">
        <v>12</v>
      </c>
      <c r="H16" s="239">
        <v>46109</v>
      </c>
      <c r="I16" s="240">
        <f t="shared" ref="I16:I19" si="5">FORECAST(G16,$I$5:$I$14,$G$5:$G$14)</f>
        <v>61065.225818181818</v>
      </c>
      <c r="J16" s="241">
        <f t="shared" si="2"/>
        <v>4.5575338405962951E-2</v>
      </c>
      <c r="L16" s="238">
        <v>12</v>
      </c>
      <c r="M16" s="239">
        <v>46109</v>
      </c>
      <c r="N16" s="240">
        <f t="shared" ref="N16:N19" si="6">FORECAST(L16,$N$5:$N$14,$L$5:$L$14)</f>
        <v>232.52137298389687</v>
      </c>
      <c r="O16" s="241">
        <f t="shared" si="3"/>
        <v>4.2027370564135635E-2</v>
      </c>
    </row>
    <row r="17" spans="2:15" x14ac:dyDescent="0.45">
      <c r="B17" s="238">
        <v>13</v>
      </c>
      <c r="C17" s="239">
        <f t="shared" si="0"/>
        <v>46474</v>
      </c>
      <c r="D17" s="240">
        <f t="shared" si="4"/>
        <v>50307.277818181814</v>
      </c>
      <c r="E17" s="241">
        <f t="shared" si="1"/>
        <v>4.5061249487955424E-2</v>
      </c>
      <c r="G17" s="238">
        <v>13</v>
      </c>
      <c r="H17" s="239">
        <v>46474</v>
      </c>
      <c r="I17" s="240">
        <f t="shared" si="5"/>
        <v>63726.983636363628</v>
      </c>
      <c r="J17" s="241">
        <f t="shared" si="2"/>
        <v>4.3588765660296458E-2</v>
      </c>
      <c r="L17" s="238">
        <v>13</v>
      </c>
      <c r="M17" s="239">
        <v>46474</v>
      </c>
      <c r="N17" s="240">
        <f t="shared" si="6"/>
        <v>241.89949699726637</v>
      </c>
      <c r="O17" s="241">
        <f t="shared" si="3"/>
        <v>4.0332309641139874E-2</v>
      </c>
    </row>
    <row r="18" spans="2:15" x14ac:dyDescent="0.45">
      <c r="B18" s="238">
        <v>14</v>
      </c>
      <c r="C18" s="239">
        <f t="shared" si="0"/>
        <v>46839</v>
      </c>
      <c r="D18" s="240">
        <f t="shared" si="4"/>
        <v>52476.441393939385</v>
      </c>
      <c r="E18" s="241">
        <f t="shared" si="1"/>
        <v>4.3118285660322497E-2</v>
      </c>
      <c r="G18" s="238">
        <v>14</v>
      </c>
      <c r="H18" s="239">
        <v>46839</v>
      </c>
      <c r="I18" s="240">
        <f t="shared" si="5"/>
        <v>66388.741454545452</v>
      </c>
      <c r="J18" s="241">
        <f t="shared" si="2"/>
        <v>4.1768143826957926E-2</v>
      </c>
      <c r="L18" s="238">
        <v>14</v>
      </c>
      <c r="M18" s="239">
        <v>46839</v>
      </c>
      <c r="N18" s="240">
        <f t="shared" si="6"/>
        <v>251.27762101063587</v>
      </c>
      <c r="O18" s="241">
        <f t="shared" si="3"/>
        <v>3.8768679264659545E-2</v>
      </c>
    </row>
    <row r="19" spans="2:15" x14ac:dyDescent="0.45">
      <c r="B19" s="238">
        <v>15</v>
      </c>
      <c r="C19" s="239">
        <f t="shared" si="0"/>
        <v>47204</v>
      </c>
      <c r="D19" s="240">
        <f t="shared" si="4"/>
        <v>54645.604969696964</v>
      </c>
      <c r="E19" s="241">
        <f t="shared" si="1"/>
        <v>4.1335950345293471E-2</v>
      </c>
      <c r="G19" s="238">
        <v>15</v>
      </c>
      <c r="H19" s="239">
        <v>47204</v>
      </c>
      <c r="I19" s="240">
        <f t="shared" si="5"/>
        <v>69050.499272727277</v>
      </c>
      <c r="J19" s="241">
        <f t="shared" si="2"/>
        <v>4.0093512241141882E-2</v>
      </c>
      <c r="L19" s="238">
        <v>15</v>
      </c>
      <c r="M19" s="239">
        <v>47204</v>
      </c>
      <c r="N19" s="240">
        <f t="shared" si="6"/>
        <v>260.6557450240054</v>
      </c>
      <c r="O19" s="241">
        <f t="shared" si="3"/>
        <v>3.7321763775264971E-2</v>
      </c>
    </row>
    <row r="20" spans="2:15" x14ac:dyDescent="0.45">
      <c r="B20" s="235"/>
      <c r="C20" s="242"/>
    </row>
    <row r="21" spans="2:15" x14ac:dyDescent="0.45">
      <c r="B21" s="235"/>
      <c r="C21" s="242"/>
    </row>
  </sheetData>
  <mergeCells count="3">
    <mergeCell ref="B3:E3"/>
    <mergeCell ref="G3:J3"/>
    <mergeCell ref="L3:O3"/>
  </mergeCells>
  <pageMargins left="0.7" right="0.7" top="0.75" bottom="0.75" header="0.3" footer="0.3"/>
  <pageSetup paperSize="9" scale="95" fitToWidth="0" orientation="landscape" r:id="rId1"/>
  <customProperties>
    <customPr name="Smart" r:id="rId2"/>
  </customPropertie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0EF9C-AABE-43F5-A253-FD0B100E9073}">
  <sheetPr>
    <tabColor theme="5" tint="-0.249977111117893"/>
  </sheetPr>
  <dimension ref="A1:L32"/>
  <sheetViews>
    <sheetView showGridLines="0" workbookViewId="0">
      <pane ySplit="3" topLeftCell="A7" activePane="bottomLeft" state="frozen"/>
      <selection pane="bottomLeft" activeCell="E8" sqref="E8"/>
    </sheetView>
  </sheetViews>
  <sheetFormatPr defaultRowHeight="14.25" x14ac:dyDescent="0.45"/>
  <cols>
    <col min="1" max="1" width="1.9296875" customWidth="1"/>
    <col min="2" max="2" width="22.46484375" customWidth="1"/>
    <col min="3" max="12" width="13.59765625" customWidth="1"/>
  </cols>
  <sheetData>
    <row r="1" spans="1:12" x14ac:dyDescent="0.45">
      <c r="B1" s="31"/>
      <c r="C1" s="31"/>
      <c r="D1" s="31"/>
      <c r="E1" s="31"/>
      <c r="F1" s="31"/>
      <c r="G1" s="31"/>
    </row>
    <row r="2" spans="1:12" x14ac:dyDescent="0.45">
      <c r="B2" s="284" t="str">
        <f>"Financial Ratio Analysis- "&amp;'Data Sheet'!B1</f>
        <v>Financial Ratio Analysis- SUN PHARMACEUTICALS INDUSTRIES LTD</v>
      </c>
      <c r="C2" s="284"/>
      <c r="D2" s="284"/>
      <c r="E2" s="284"/>
      <c r="F2" s="284"/>
      <c r="G2" s="284"/>
      <c r="H2" s="284"/>
      <c r="I2" s="284"/>
      <c r="J2" s="284"/>
      <c r="K2" s="284"/>
      <c r="L2" s="284"/>
    </row>
    <row r="3" spans="1:12" x14ac:dyDescent="0.45">
      <c r="B3" s="61" t="s">
        <v>81</v>
      </c>
      <c r="C3" s="62">
        <f>'Data Sheet'!B16</f>
        <v>42094</v>
      </c>
      <c r="D3" s="62">
        <f>'Data Sheet'!C16</f>
        <v>42460</v>
      </c>
      <c r="E3" s="62">
        <f>'Data Sheet'!D16</f>
        <v>42825</v>
      </c>
      <c r="F3" s="62">
        <f>'Data Sheet'!E16</f>
        <v>43190</v>
      </c>
      <c r="G3" s="62">
        <f>'Data Sheet'!F16</f>
        <v>43555</v>
      </c>
      <c r="H3" s="62">
        <f>'Data Sheet'!G16</f>
        <v>43921</v>
      </c>
      <c r="I3" s="62">
        <f>'Data Sheet'!H16</f>
        <v>44286</v>
      </c>
      <c r="J3" s="62">
        <f>'Data Sheet'!I16</f>
        <v>44651</v>
      </c>
      <c r="K3" s="62">
        <f>'Data Sheet'!J16</f>
        <v>45016</v>
      </c>
      <c r="L3" s="62">
        <f>'Data Sheet'!K16</f>
        <v>45382</v>
      </c>
    </row>
    <row r="4" spans="1:12" x14ac:dyDescent="0.45">
      <c r="A4" s="34" t="s">
        <v>83</v>
      </c>
      <c r="B4" s="32" t="s">
        <v>184</v>
      </c>
      <c r="C4" s="33"/>
      <c r="D4" s="33"/>
      <c r="E4" s="33"/>
      <c r="F4" s="33"/>
      <c r="G4" s="33"/>
      <c r="H4" s="33"/>
      <c r="I4" s="33"/>
      <c r="J4" s="33"/>
      <c r="K4" s="33"/>
      <c r="L4" s="33"/>
    </row>
    <row r="5" spans="1:12" x14ac:dyDescent="0.45">
      <c r="B5" t="s">
        <v>185</v>
      </c>
      <c r="C5" s="244">
        <f>IFERROR('Historical Data'!C62/'Historical Data'!C50,0)</f>
        <v>1.5453314964379987</v>
      </c>
      <c r="D5" s="244">
        <f>IFERROR('Historical Data'!D62/'Historical Data'!D50,0)</f>
        <v>1.8912645735023579</v>
      </c>
      <c r="E5" s="244">
        <f>IFERROR('Historical Data'!E62/'Historical Data'!E50,0)</f>
        <v>1.9950930011672585</v>
      </c>
      <c r="F5" s="244">
        <f>IFERROR('Historical Data'!F62/'Historical Data'!F50,0)</f>
        <v>1.5787494686822228</v>
      </c>
      <c r="G5" s="244">
        <f>IFERROR('Historical Data'!G62/'Historical Data'!G50,0)</f>
        <v>1.898434483831263</v>
      </c>
      <c r="H5" s="244">
        <f>IFERROR('Historical Data'!H62/'Historical Data'!H50,0)</f>
        <v>1.6273552017483419</v>
      </c>
      <c r="I5" s="244">
        <f>IFERROR('Historical Data'!I62/'Historical Data'!I50,0)</f>
        <v>1.4171608583957074</v>
      </c>
      <c r="J5" s="244">
        <f>IFERROR('Historical Data'!J62/'Historical Data'!J50,0)</f>
        <v>1.1938362998848806</v>
      </c>
      <c r="K5" s="244">
        <f>IFERROR('Historical Data'!K62/'Historical Data'!K50,0)</f>
        <v>1.5547301977213392</v>
      </c>
      <c r="L5" s="244">
        <f>IFERROR('Historical Data'!L62/'Historical Data'!L50,0)</f>
        <v>1.722526868255714</v>
      </c>
    </row>
    <row r="6" spans="1:12" x14ac:dyDescent="0.45">
      <c r="B6" t="s">
        <v>186</v>
      </c>
      <c r="C6" s="244">
        <f>IFERROR(SUM('Historical Data'!C62-'Historical Data'!C60)/'Historical Data'!C50,0)</f>
        <v>1.1430322542637903</v>
      </c>
      <c r="D6" s="244">
        <f>IFERROR(SUM('Historical Data'!D62-'Historical Data'!D60)/'Historical Data'!D50,0)</f>
        <v>1.4308100078432719</v>
      </c>
      <c r="E6" s="244">
        <f>IFERROR(SUM('Historical Data'!E62-'Historical Data'!E60)/'Historical Data'!E50,0)</f>
        <v>1.527860689373161</v>
      </c>
      <c r="F6" s="244">
        <f>IFERROR(SUM('Historical Data'!F62-'Historical Data'!F60)/'Historical Data'!F50,0)</f>
        <v>1.137623325026718</v>
      </c>
      <c r="G6" s="244">
        <f>IFERROR(SUM('Historical Data'!G62-'Historical Data'!G60)/'Historical Data'!G50,0)</f>
        <v>1.275829753570749</v>
      </c>
      <c r="H6" s="244">
        <f>IFERROR(SUM('Historical Data'!H62-'Historical Data'!H60)/'Historical Data'!H50,0)</f>
        <v>1.0885255480845351</v>
      </c>
      <c r="I6" s="244">
        <f>IFERROR(SUM('Historical Data'!I62-'Historical Data'!I60)/'Historical Data'!I50,0)</f>
        <v>0.89682699414604017</v>
      </c>
      <c r="J6" s="244">
        <f>IFERROR(SUM('Historical Data'!J62-'Historical Data'!J60)/'Historical Data'!J50,0)</f>
        <v>0.7579195277612667</v>
      </c>
      <c r="K6" s="244">
        <f>IFERROR(SUM('Historical Data'!K62-'Historical Data'!K60)/'Historical Data'!K50,0)</f>
        <v>0.96512465894400923</v>
      </c>
      <c r="L6" s="244">
        <f>IFERROR(SUM('Historical Data'!L62-'Historical Data'!L60)/'Historical Data'!L50,0)</f>
        <v>1.1852548537082004</v>
      </c>
    </row>
    <row r="7" spans="1:12" x14ac:dyDescent="0.45">
      <c r="B7" t="s">
        <v>187</v>
      </c>
      <c r="C7" s="244">
        <f>IFERROR('Historical Data'!C61/'Historical Data'!C50,0)</f>
        <v>0.7806123788859245</v>
      </c>
      <c r="D7" s="244">
        <f>IFERROR('Historical Data'!D61/'Historical Data'!D50,0)</f>
        <v>0.94503902278850549</v>
      </c>
      <c r="E7" s="244">
        <f>IFERROR('Historical Data'!E61/'Historical Data'!E50,0)</f>
        <v>1.0353411957459</v>
      </c>
      <c r="F7" s="244">
        <f>IFERROR('Historical Data'!F61/'Historical Data'!F50,0)</f>
        <v>0.63657992269526686</v>
      </c>
      <c r="G7" s="244">
        <f>IFERROR('Historical Data'!G61/'Historical Data'!G50,0)</f>
        <v>0.57441471769943575</v>
      </c>
      <c r="H7" s="244">
        <f>IFERROR('Historical Data'!H61/'Historical Data'!H50,0)</f>
        <v>0.44389698521860094</v>
      </c>
      <c r="I7" s="244">
        <f>IFERROR('Historical Data'!I61/'Historical Data'!I50,0)</f>
        <v>0.37276977547675477</v>
      </c>
      <c r="J7" s="244">
        <f>IFERROR('Historical Data'!J61/'Historical Data'!J50,0)</f>
        <v>0.24583638389226739</v>
      </c>
      <c r="K7" s="244">
        <f>IFERROR('Historical Data'!K61/'Historical Data'!K50,0)</f>
        <v>0.32361635722758281</v>
      </c>
      <c r="L7" s="244">
        <f>IFERROR('Historical Data'!L61/'Historical Data'!L50,0)</f>
        <v>0.57279092304844448</v>
      </c>
    </row>
    <row r="8" spans="1:12" x14ac:dyDescent="0.45">
      <c r="C8" s="14"/>
      <c r="D8" s="14"/>
      <c r="E8" s="14"/>
      <c r="F8" s="14"/>
      <c r="G8" s="14"/>
      <c r="H8" s="14"/>
      <c r="I8" s="14"/>
      <c r="J8" s="14"/>
      <c r="K8" s="14"/>
      <c r="L8" s="14"/>
    </row>
    <row r="9" spans="1:12" x14ac:dyDescent="0.45">
      <c r="A9" s="34" t="s">
        <v>83</v>
      </c>
      <c r="B9" s="32" t="s">
        <v>188</v>
      </c>
      <c r="C9" s="245"/>
      <c r="D9" s="245"/>
      <c r="E9" s="245"/>
      <c r="F9" s="245"/>
      <c r="G9" s="245"/>
      <c r="H9" s="245"/>
      <c r="I9" s="245"/>
      <c r="J9" s="245"/>
      <c r="K9" s="245"/>
      <c r="L9" s="245"/>
    </row>
    <row r="10" spans="1:12" x14ac:dyDescent="0.45">
      <c r="B10" t="s">
        <v>189</v>
      </c>
      <c r="C10" s="59">
        <f>IFERROR('Ratio Analysis'!C11,0)</f>
        <v>1.4829926682999899</v>
      </c>
      <c r="D10" s="59">
        <f>IFERROR('Ratio Analysis'!D11,0)</f>
        <v>1.4723791844920302</v>
      </c>
      <c r="E10" s="59">
        <f>IFERROR('Ratio Analysis'!E11,0)</f>
        <v>1.4918415855881417</v>
      </c>
      <c r="F10" s="59">
        <f>IFERROR('Ratio Analysis'!F11,0)</f>
        <v>1.5730600019781451</v>
      </c>
      <c r="G10" s="59">
        <f>IFERROR('Ratio Analysis'!G11,0)</f>
        <v>1.5619769000867338</v>
      </c>
      <c r="H10" s="59">
        <f>IFERROR('Ratio Analysis'!H11,0)</f>
        <v>1.5452513132851162</v>
      </c>
      <c r="I10" s="59">
        <f>IFERROR('Ratio Analysis'!I11,0)</f>
        <v>1.5344529576866059</v>
      </c>
      <c r="J10" s="59">
        <f>IFERROR('Ratio Analysis'!J11,0)</f>
        <v>1.5235060661775643</v>
      </c>
      <c r="K10" s="59">
        <f>IFERROR('Ratio Analysis'!K11,0)</f>
        <v>1.4950364219034546</v>
      </c>
      <c r="L10" s="59">
        <f>IFERROR('Ratio Analysis'!L11,0)</f>
        <v>1.4750632257558995</v>
      </c>
    </row>
    <row r="11" spans="1:12" x14ac:dyDescent="0.45">
      <c r="B11" t="s">
        <v>190</v>
      </c>
      <c r="C11" s="59">
        <f>IFERROR('Ratio Analysis'!C13,0)</f>
        <v>1.210549353625382</v>
      </c>
      <c r="D11" s="59">
        <f>IFERROR('Ratio Analysis'!D13,0)</f>
        <v>1.1952713217207973</v>
      </c>
      <c r="E11" s="59">
        <f>IFERROR('Ratio Analysis'!E13,0)</f>
        <v>1.2635345507884492</v>
      </c>
      <c r="F11" s="59">
        <f>IFERROR('Ratio Analysis'!F13,0)</f>
        <v>1.3020907183460895</v>
      </c>
      <c r="G11" s="59">
        <f>IFERROR('Ratio Analysis'!G13,0)</f>
        <v>1.2830312211109165</v>
      </c>
      <c r="H11" s="59">
        <f>IFERROR('Ratio Analysis'!H13,0)</f>
        <v>1.2406376855728969</v>
      </c>
      <c r="I11" s="59">
        <f>IFERROR('Ratio Analysis'!I13,0)</f>
        <v>1.259663073830368</v>
      </c>
      <c r="J11" s="59">
        <f>IFERROR('Ratio Analysis'!J13,0)</f>
        <v>1.2569186658522724</v>
      </c>
      <c r="K11" s="59">
        <f>IFERROR('Ratio Analysis'!K13,0)</f>
        <v>1.1979085205014484</v>
      </c>
      <c r="L11" s="59">
        <f>IFERROR('Ratio Analysis'!L13,0)</f>
        <v>1.1658338634364913</v>
      </c>
    </row>
    <row r="12" spans="1:12" x14ac:dyDescent="0.45">
      <c r="B12" t="s">
        <v>156</v>
      </c>
      <c r="C12" s="59">
        <f>IFERROR('Ratio Analysis'!C15,0)</f>
        <v>1.1560195838129441</v>
      </c>
      <c r="D12" s="59">
        <f>IFERROR('Ratio Analysis'!D15,0)</f>
        <v>1.1448269616032281</v>
      </c>
      <c r="E12" s="59">
        <f>IFERROR('Ratio Analysis'!E15,0)</f>
        <v>1.2125070142793626</v>
      </c>
      <c r="F12" s="59">
        <f>IFERROR('Ratio Analysis'!F15,0)</f>
        <v>1.2481594566291649</v>
      </c>
      <c r="G12" s="59">
        <f>IFERROR('Ratio Analysis'!G15,0)</f>
        <v>1.2432550709748982</v>
      </c>
      <c r="H12" s="59">
        <f>IFERROR('Ratio Analysis'!H15,0)</f>
        <v>1.2063619337647506</v>
      </c>
      <c r="I12" s="59">
        <f>IFERROR('Ratio Analysis'!I15,0)</f>
        <v>1.2400763146849347</v>
      </c>
      <c r="J12" s="59">
        <f>IFERROR('Ratio Analysis'!J15,0)</f>
        <v>1.2258006767131064</v>
      </c>
      <c r="K12" s="59">
        <f>IFERROR('Ratio Analysis'!K15,0)</f>
        <v>1.1746756572986907</v>
      </c>
      <c r="L12" s="59">
        <f>IFERROR('Ratio Analysis'!L15,0)</f>
        <v>1.1312353276553013</v>
      </c>
    </row>
    <row r="13" spans="1:12" x14ac:dyDescent="0.45">
      <c r="B13" t="s">
        <v>191</v>
      </c>
      <c r="C13" s="59">
        <f>IFERROR((SUM('Historical Data'!C27-'Historical Data'!C30))/AVERAGE(SUM('Historical Data'!C64+'Historical Data'!D64))/2,0)</f>
        <v>0.15201867601645269</v>
      </c>
      <c r="D13" s="59">
        <f>IFERROR((SUM('Historical Data'!D27-'Historical Data'!D30))/AVERAGE(SUM('Historical Data'!D64+'Historical Data'!E64))/2,0)</f>
        <v>0.1399411875514652</v>
      </c>
      <c r="E13" s="59">
        <f>IFERROR((SUM('Historical Data'!E27-'Historical Data'!E30))/AVERAGE(SUM('Historical Data'!E64+'Historical Data'!F64))/2,0)</f>
        <v>0.15267650050832246</v>
      </c>
      <c r="F13" s="59">
        <f>IFERROR((SUM('Historical Data'!F27-'Historical Data'!F30))/AVERAGE(SUM('Historical Data'!F64+'Historical Data'!G64))/2,0)</f>
        <v>0.12826386882392721</v>
      </c>
      <c r="G13" s="59">
        <f>IFERROR((SUM('Historical Data'!G27-'Historical Data'!G30))/AVERAGE(SUM('Historical Data'!G64+'Historical Data'!H64))/2,0)</f>
        <v>0.13607204490606351</v>
      </c>
      <c r="H13" s="59">
        <f>IFERROR((SUM('Historical Data'!H27-'Historical Data'!H30))/AVERAGE(SUM('Historical Data'!H64+'Historical Data'!I64))/2,0)</f>
        <v>0.14583610361447874</v>
      </c>
      <c r="I13" s="59">
        <f>IFERROR((SUM('Historical Data'!I27-'Historical Data'!I30))/AVERAGE(SUM('Historical Data'!I64+'Historical Data'!J64))/2,0)</f>
        <v>0.15116745038669741</v>
      </c>
      <c r="J13" s="59">
        <f>IFERROR((SUM('Historical Data'!J27-'Historical Data'!J30))/AVERAGE(SUM('Historical Data'!J64+'Historical Data'!K64))/2,0)</f>
        <v>0.15743035930950156</v>
      </c>
      <c r="K13" s="59">
        <f>IFERROR((SUM('Historical Data'!K27-'Historical Data'!K30))/AVERAGE(SUM('Historical Data'!K64+'Historical Data'!L64))/2,0)</f>
        <v>0.15525697790599818</v>
      </c>
      <c r="L13" s="59">
        <f>IFERROR((SUM('Historical Data'!L27-'Historical Data'!L30))/AVERAGE(SUM('Historical Data'!L64+'Historical Data'!M64))/2,0)</f>
        <v>0.3215493608909476</v>
      </c>
    </row>
    <row r="14" spans="1:12" x14ac:dyDescent="0.45">
      <c r="B14" t="s">
        <v>50</v>
      </c>
      <c r="C14" s="59">
        <f>IFERROR('Ratio Analysis'!C23,0)</f>
        <v>1.2351037070234172</v>
      </c>
      <c r="D14" s="59">
        <f>IFERROR('Ratio Analysis'!D23,0)</f>
        <v>0.98878919959930245</v>
      </c>
      <c r="E14" s="59">
        <f>IFERROR('Ratio Analysis'!E23,0)</f>
        <v>1.0450170539199723</v>
      </c>
      <c r="F14" s="59">
        <f>IFERROR('Ratio Analysis'!F23,0)</f>
        <v>0.86294761903643324</v>
      </c>
      <c r="G14" s="59">
        <f>IFERROR('Ratio Analysis'!G23,0)</f>
        <v>0.872667479049271</v>
      </c>
      <c r="H14" s="59">
        <f>IFERROR('Ratio Analysis'!H23,0)</f>
        <v>0.87516605194584263</v>
      </c>
      <c r="I14" s="59">
        <f>IFERROR('Ratio Analysis'!I23,0)</f>
        <v>0.8940543376870691</v>
      </c>
      <c r="J14" s="59">
        <f>IFERROR('Ratio Analysis'!J23,0)</f>
        <v>0.98690889337950594</v>
      </c>
      <c r="K14" s="59">
        <f>IFERROR('Ratio Analysis'!K23,0)</f>
        <v>0.92063738115537408</v>
      </c>
      <c r="L14" s="59">
        <f>IFERROR('Ratio Analysis'!L23,0)</f>
        <v>0.86169546898498817</v>
      </c>
    </row>
    <row r="15" spans="1:12" x14ac:dyDescent="0.45">
      <c r="C15" s="14"/>
      <c r="D15" s="14"/>
      <c r="E15" s="14"/>
      <c r="F15" s="14"/>
      <c r="G15" s="14"/>
      <c r="H15" s="14"/>
      <c r="I15" s="14"/>
      <c r="J15" s="14"/>
      <c r="K15" s="14"/>
      <c r="L15" s="14"/>
    </row>
    <row r="16" spans="1:12" x14ac:dyDescent="0.45">
      <c r="A16" s="34" t="s">
        <v>83</v>
      </c>
      <c r="B16" s="32" t="s">
        <v>192</v>
      </c>
      <c r="C16" s="245"/>
      <c r="D16" s="245"/>
      <c r="E16" s="245"/>
      <c r="F16" s="245"/>
      <c r="G16" s="245"/>
      <c r="H16" s="245"/>
      <c r="I16" s="245"/>
      <c r="J16" s="245"/>
      <c r="K16" s="245"/>
      <c r="L16" s="245"/>
    </row>
    <row r="17" spans="1:12" x14ac:dyDescent="0.45">
      <c r="B17" t="s">
        <v>193</v>
      </c>
      <c r="C17" s="244">
        <f>IFERROR(('Historical Data'!C6)/AVERAGE(SUM('Historical Data'!C64+'Historical Data'!D64))/2,0)</f>
        <v>0.13150181722271834</v>
      </c>
      <c r="D17" s="244">
        <f>IFERROR(('Historical Data'!D6)/AVERAGE(SUM('Historical Data'!D64+'Historical Data'!E64))/2,0)</f>
        <v>0.12223785099845137</v>
      </c>
      <c r="E17" s="244">
        <f>IFERROR(('Historical Data'!E6)/AVERAGE(SUM('Historical Data'!E64+'Historical Data'!F64))/2,0)</f>
        <v>0.12591803487344252</v>
      </c>
      <c r="F17" s="244">
        <f>IFERROR(('Historical Data'!F6)/AVERAGE(SUM('Historical Data'!F64+'Historical Data'!G64))/2,0)</f>
        <v>0.10276240599123634</v>
      </c>
      <c r="G17" s="244">
        <f>IFERROR(('Historical Data'!G6)/AVERAGE(SUM('Historical Data'!G64+'Historical Data'!H64))/2,0)</f>
        <v>0.1094482122637655</v>
      </c>
      <c r="H17" s="244">
        <f>IFERROR(('Historical Data'!H6)/AVERAGE(SUM('Historical Data'!H64+'Historical Data'!I64))/2,0)</f>
        <v>0.1208891788879322</v>
      </c>
      <c r="I17" s="244">
        <f>IFERROR(('Historical Data'!I6)/AVERAGE(SUM('Historical Data'!I64+'Historical Data'!J64))/2,0)</f>
        <v>0.12190173185035341</v>
      </c>
      <c r="J17" s="244">
        <f>IFERROR(('Historical Data'!J6)/AVERAGE(SUM('Historical Data'!J64+'Historical Data'!K64))/2,0)</f>
        <v>0.12843063501289573</v>
      </c>
      <c r="K17" s="244">
        <f>IFERROR(('Historical Data'!K6)/AVERAGE(SUM('Historical Data'!K64+'Historical Data'!L64))/2,0)</f>
        <v>0.13217008196375707</v>
      </c>
      <c r="L17" s="244">
        <f>IFERROR(('Historical Data'!L6)/AVERAGE(SUM('Historical Data'!L64+'Historical Data'!M64))/2,0)</f>
        <v>0.28424621564588098</v>
      </c>
    </row>
    <row r="18" spans="1:12" x14ac:dyDescent="0.45">
      <c r="B18" t="s">
        <v>194</v>
      </c>
      <c r="C18" s="244">
        <f>IFERROR('Ratio Analysis'!C29,0)</f>
        <v>4.8327555270916145</v>
      </c>
      <c r="D18" s="244">
        <f>IFERROR('Ratio Analysis'!D29,0)</f>
        <v>4.4354772410915304</v>
      </c>
      <c r="E18" s="244">
        <f>IFERROR('Ratio Analysis'!E29,0)</f>
        <v>4.6215890680408203</v>
      </c>
      <c r="F18" s="244">
        <f>IFERROR('Ratio Analysis'!F29,0)</f>
        <v>3.8498261075560736</v>
      </c>
      <c r="G18" s="244">
        <f>IFERROR('Ratio Analysis'!G29,0)</f>
        <v>3.6857701896276684</v>
      </c>
      <c r="H18" s="244">
        <f>IFERROR('Ratio Analysis'!H29,0)</f>
        <v>4.1698465648845273</v>
      </c>
      <c r="I18" s="244">
        <f>IFERROR('Ratio Analysis'!I29,0)</f>
        <v>3.723248364458454</v>
      </c>
      <c r="J18" s="244">
        <f>IFERROR('Ratio Analysis'!J29,0)</f>
        <v>4.3309722099285954</v>
      </c>
      <c r="K18" s="244">
        <f>IFERROR('Ratio Analysis'!K29,0)</f>
        <v>4.1744003880890892</v>
      </c>
      <c r="L18" s="244">
        <f>IFERROR('Ratio Analysis'!L29,0)</f>
        <v>4.9144127300677214</v>
      </c>
    </row>
    <row r="19" spans="1:12" x14ac:dyDescent="0.45">
      <c r="B19" t="s">
        <v>195</v>
      </c>
      <c r="C19" s="244">
        <f>IFERROR(('Historical Data'!C6)/AVERAGE(SUM('Historical Data'!C59+'Historical Data'!D59))/2,0)</f>
        <v>1.1526886942118988</v>
      </c>
      <c r="D19" s="244">
        <f>IFERROR(('Historical Data'!D6)/AVERAGE(SUM('Historical Data'!D59+'Historical Data'!E59))/2,0)</f>
        <v>1.0189755241528458</v>
      </c>
      <c r="E19" s="244">
        <f>IFERROR(('Historical Data'!E6)/AVERAGE(SUM('Historical Data'!E59+'Historical Data'!F59))/2,0)</f>
        <v>1.0513607437529506</v>
      </c>
      <c r="F19" s="244">
        <f>IFERROR(('Historical Data'!F6)/AVERAGE(SUM('Historical Data'!F59+'Historical Data'!G59))/2,0)</f>
        <v>0.79312230081415713</v>
      </c>
      <c r="G19" s="244">
        <f>IFERROR(('Historical Data'!G6)/AVERAGE(SUM('Historical Data'!G59+'Historical Data'!H59))/2,0)</f>
        <v>0.79391454125112526</v>
      </c>
      <c r="H19" s="244">
        <f>IFERROR(('Historical Data'!H6)/AVERAGE(SUM('Historical Data'!H59+'Historical Data'!I59))/2,0)</f>
        <v>0.88833359303649262</v>
      </c>
      <c r="I19" s="244">
        <f>IFERROR(('Historical Data'!I6)/AVERAGE(SUM('Historical Data'!I59+'Historical Data'!J59))/2,0)</f>
        <v>0.85690568756046648</v>
      </c>
      <c r="J19" s="244">
        <f>IFERROR(('Historical Data'!J6)/AVERAGE(SUM('Historical Data'!J59+'Historical Data'!K59))/2,0)</f>
        <v>0.88159270358662778</v>
      </c>
      <c r="K19" s="244">
        <f>IFERROR(('Historical Data'!K6)/AVERAGE(SUM('Historical Data'!K59+'Historical Data'!L59))/2,0)</f>
        <v>0.96716132137511301</v>
      </c>
      <c r="L19" s="244">
        <f>IFERROR(('Historical Data'!L6)/AVERAGE(SUM('Historical Data'!L59+'Historical Data'!M59))/2,0)</f>
        <v>2.1555362655864281</v>
      </c>
    </row>
    <row r="20" spans="1:12" x14ac:dyDescent="0.45">
      <c r="C20" s="14"/>
      <c r="D20" s="14"/>
      <c r="E20" s="14"/>
      <c r="F20" s="14"/>
      <c r="G20" s="14"/>
      <c r="H20" s="14"/>
      <c r="I20" s="14"/>
      <c r="J20" s="14"/>
      <c r="K20" s="14"/>
      <c r="L20" s="14"/>
    </row>
    <row r="21" spans="1:12" x14ac:dyDescent="0.45">
      <c r="A21" s="34" t="s">
        <v>83</v>
      </c>
      <c r="B21" s="32" t="s">
        <v>196</v>
      </c>
      <c r="C21" s="245"/>
      <c r="D21" s="245"/>
      <c r="E21" s="245"/>
      <c r="F21" s="245"/>
      <c r="G21" s="245"/>
      <c r="H21" s="245"/>
      <c r="I21" s="245"/>
      <c r="J21" s="245"/>
      <c r="K21" s="245"/>
      <c r="L21" s="245"/>
    </row>
    <row r="22" spans="1:12" x14ac:dyDescent="0.45">
      <c r="B22" t="s">
        <v>197</v>
      </c>
      <c r="C22" s="59">
        <f>IFERROR((SUM('Historical Data'!C49:C50))/'Historical Data'!C64,0)</f>
        <v>0.47380107911653563</v>
      </c>
      <c r="D22" s="59">
        <f>IFERROR((SUM('Historical Data'!D49:D50))/'Historical Data'!D64,0)</f>
        <v>0.40494375535609584</v>
      </c>
      <c r="E22" s="59">
        <f>IFERROR((SUM('Historical Data'!E49:E50))/'Historical Data'!E64,0)</f>
        <v>0.40028807382546489</v>
      </c>
      <c r="F22" s="59">
        <f>IFERROR((SUM('Historical Data'!F49:F50))/'Historical Data'!F64,0)</f>
        <v>0.40411096002497143</v>
      </c>
      <c r="G22" s="59">
        <f>IFERROR((SUM('Historical Data'!G49:G50))/'Historical Data'!G64,0)</f>
        <v>0.35888897163363787</v>
      </c>
      <c r="H22" s="59">
        <f>IFERROR((SUM('Historical Data'!H49:H50))/'Historical Data'!H64,0)</f>
        <v>0.33624310646399869</v>
      </c>
      <c r="I22" s="59">
        <f>IFERROR((SUM('Historical Data'!I49:I50))/'Historical Data'!I64,0)</f>
        <v>0.31290661560652699</v>
      </c>
      <c r="J22" s="59">
        <f>IFERROR((SUM('Historical Data'!J49:J50))/'Historical Data'!J64,0)</f>
        <v>0.31192269652950422</v>
      </c>
      <c r="K22" s="59">
        <f>IFERROR((SUM('Historical Data'!K49:K50))/'Historical Data'!K64,0)</f>
        <v>0.30623142312347995</v>
      </c>
      <c r="L22" s="59">
        <f>IFERROR((SUM('Historical Data'!L49:L50))/'Historical Data'!L64,0)</f>
        <v>0.25368213605739776</v>
      </c>
    </row>
    <row r="23" spans="1:12" x14ac:dyDescent="0.45">
      <c r="B23" t="s">
        <v>198</v>
      </c>
      <c r="C23" s="244">
        <f>IFERROR((SUM('Historical Data'!C49:C50))/'Historical Data'!C47,0)</f>
        <v>111.45760911548859</v>
      </c>
      <c r="D23" s="244">
        <f>IFERROR((SUM('Historical Data'!D49:D50))/'Historical Data'!D47,0)</f>
        <v>93.264439458156744</v>
      </c>
      <c r="E23" s="244">
        <f>IFERROR((SUM('Historical Data'!E49:E50))/'Historical Data'!E47,0)</f>
        <v>101.92881257033301</v>
      </c>
      <c r="F23" s="244">
        <f>IFERROR((SUM('Historical Data'!F49:F50))/'Historical Data'!F47,0)</f>
        <v>108.29525278206143</v>
      </c>
      <c r="G23" s="244">
        <f>IFERROR((SUM('Historical Data'!G49:G50))/'Historical Data'!G47,0)</f>
        <v>96.613470595590385</v>
      </c>
      <c r="H23" s="244">
        <f>IFERROR((SUM('Historical Data'!H49:H50))/'Historical Data'!H47,0)</f>
        <v>95.568999291460003</v>
      </c>
      <c r="I23" s="244">
        <f>IFERROR((SUM('Historical Data'!I49:I50))/'Historical Data'!I47,0)</f>
        <v>88.190055432834583</v>
      </c>
      <c r="J23" s="244">
        <f>IFERROR((SUM('Historical Data'!J49:J50))/'Historical Data'!J47,0)</f>
        <v>90.712666194306664</v>
      </c>
      <c r="K23" s="244">
        <f>IFERROR((SUM('Historical Data'!K49:K50))/'Historical Data'!K47,0)</f>
        <v>103.01554620097528</v>
      </c>
      <c r="L23" s="244">
        <f>IFERROR((SUM('Historical Data'!L49:L50))/'Historical Data'!L47,0)</f>
        <v>90.197432584503815</v>
      </c>
    </row>
    <row r="24" spans="1:12" x14ac:dyDescent="0.45">
      <c r="B24" t="s">
        <v>200</v>
      </c>
      <c r="C24" s="59">
        <f>IFERROR(('Historical Data'!C49)/(SUM('Historical Data'!C49+'Historical Data'!C47)),0)</f>
        <v>0.97749485778362588</v>
      </c>
      <c r="D24" s="59">
        <f>IFERROR(('Historical Data'!D49)/(SUM('Historical Data'!D49+'Historical Data'!D47)),0)</f>
        <v>0.9724564001730488</v>
      </c>
      <c r="E24" s="59">
        <f>IFERROR(('Historical Data'!E49)/(SUM('Historical Data'!E49+'Historical Data'!E47)),0)</f>
        <v>0.97617780513716645</v>
      </c>
      <c r="F24" s="59">
        <f>IFERROR(('Historical Data'!F49)/(SUM('Historical Data'!F49+'Historical Data'!F47)),0)</f>
        <v>0.97741877799947297</v>
      </c>
      <c r="G24" s="59">
        <f>IFERROR(('Historical Data'!G49)/(SUM('Historical Data'!G49+'Historical Data'!G47)),0)</f>
        <v>0.97768983354549666</v>
      </c>
      <c r="H24" s="59">
        <f>IFERROR(('Historical Data'!H49)/(SUM('Historical Data'!H49+'Historical Data'!H47)),0)</f>
        <v>0.97195378973933955</v>
      </c>
      <c r="I24" s="59">
        <f>IFERROR(('Historical Data'!I49)/(SUM('Historical Data'!I49+'Historical Data'!I47)),0)</f>
        <v>0.94160169988633347</v>
      </c>
      <c r="J24" s="59">
        <f>IFERROR(('Historical Data'!J49)/(SUM('Historical Data'!J49+'Historical Data'!J47)),0)</f>
        <v>0.84320657678911004</v>
      </c>
      <c r="K24" s="59">
        <f>IFERROR(('Historical Data'!K49)/(SUM('Historical Data'!K49+'Historical Data'!K47)),0)</f>
        <v>0.96632939459429112</v>
      </c>
      <c r="L24" s="59">
        <f>IFERROR(('Historical Data'!L49)/(SUM('Historical Data'!L49+'Historical Data'!L47)),0)</f>
        <v>0.93171391165755924</v>
      </c>
    </row>
    <row r="25" spans="1:12" x14ac:dyDescent="0.45">
      <c r="B25" t="s">
        <v>199</v>
      </c>
      <c r="C25" s="244">
        <f>IFERROR('Historical Data'!C64/'Historical Data'!C47,0)</f>
        <v>235.24135766705291</v>
      </c>
      <c r="D25" s="244">
        <f>IFERROR('Historical Data'!D64/'Historical Data'!D47,0)</f>
        <v>230.31455164963018</v>
      </c>
      <c r="E25" s="244">
        <f>IFERROR('Historical Data'!E64/'Historical Data'!E47,0)</f>
        <v>254.63864460467636</v>
      </c>
      <c r="F25" s="244">
        <f>IFERROR('Historical Data'!F64/'Historical Data'!F47,0)</f>
        <v>267.98395365314883</v>
      </c>
      <c r="G25" s="244">
        <f>IFERROR('Historical Data'!G64/'Historical Data'!G47,0)</f>
        <v>269.20155878797982</v>
      </c>
      <c r="H25" s="244">
        <f>IFERROR('Historical Data'!H64/'Historical Data'!H47,0)</f>
        <v>284.22589922060604</v>
      </c>
      <c r="I25" s="244">
        <f>IFERROR('Historical Data'!I64/'Historical Data'!I47,0)</f>
        <v>281.8414537573459</v>
      </c>
      <c r="J25" s="244">
        <f>IFERROR('Historical Data'!J64/'Historical Data'!J47,0)</f>
        <v>290.81778018588756</v>
      </c>
      <c r="K25" s="244">
        <f>IFERROR('Historical Data'!K64/'Historical Data'!K47,0)</f>
        <v>336.39769932897093</v>
      </c>
      <c r="L25" s="244">
        <f>IFERROR('Historical Data'!L64/'Historical Data'!L47,0)</f>
        <v>355.55295294460888</v>
      </c>
    </row>
    <row r="26" spans="1:12" x14ac:dyDescent="0.45">
      <c r="C26" s="14"/>
      <c r="D26" s="14"/>
      <c r="E26" s="14"/>
      <c r="F26" s="14"/>
      <c r="G26" s="14"/>
      <c r="H26" s="14"/>
      <c r="I26" s="14"/>
      <c r="J26" s="14"/>
      <c r="K26" s="14"/>
      <c r="L26" s="14"/>
    </row>
    <row r="27" spans="1:12" x14ac:dyDescent="0.45">
      <c r="A27" s="34" t="s">
        <v>83</v>
      </c>
      <c r="B27" s="32" t="s">
        <v>201</v>
      </c>
      <c r="C27" s="245"/>
      <c r="D27" s="245"/>
      <c r="E27" s="245"/>
      <c r="F27" s="245"/>
      <c r="G27" s="245"/>
      <c r="H27" s="245"/>
      <c r="I27" s="245"/>
      <c r="J27" s="245"/>
      <c r="K27" s="245"/>
      <c r="L27" s="245"/>
    </row>
    <row r="28" spans="1:12" x14ac:dyDescent="0.45">
      <c r="B28" t="s">
        <v>48</v>
      </c>
      <c r="C28" s="205">
        <f>IFERROR('Historical Data'!C38,0)</f>
        <v>152.88576670529162</v>
      </c>
      <c r="D28" s="205">
        <f>IFERROR('Historical Data'!D38,0)</f>
        <v>135.5080400548469</v>
      </c>
      <c r="E28" s="205">
        <f>IFERROR('Historical Data'!E38,0)</f>
        <v>159.58437877714331</v>
      </c>
      <c r="F28" s="205">
        <f>IFERROR('Historical Data'!F38,0)</f>
        <v>137.80298420372608</v>
      </c>
      <c r="G28" s="205">
        <f>IFERROR('Historical Data'!G38,0)</f>
        <v>150.61201183678574</v>
      </c>
      <c r="H28" s="205">
        <f>IFERROR('Historical Data'!H38,0)</f>
        <v>165.10611428333263</v>
      </c>
      <c r="I28" s="205">
        <f>IFERROR('Historical Data'!I38,0)</f>
        <v>173.13487267119575</v>
      </c>
      <c r="J28" s="205">
        <f>IFERROR('Historical Data'!J38,0)</f>
        <v>197.48551660901097</v>
      </c>
      <c r="K28" s="205">
        <f>IFERROR('Historical Data'!K38,0)</f>
        <v>214.8603342641604</v>
      </c>
      <c r="L28" s="205">
        <f>IFERROR('Historical Data'!L38,0)</f>
        <v>228.6556495644563</v>
      </c>
    </row>
    <row r="29" spans="1:12" x14ac:dyDescent="0.45">
      <c r="B29" t="s">
        <v>202</v>
      </c>
      <c r="C29" s="205">
        <f>IFERROR('Historical Data'!C41,0)</f>
        <v>3</v>
      </c>
      <c r="D29" s="205">
        <f>IFERROR('Historical Data'!D41,0)</f>
        <v>0.99995844932895672</v>
      </c>
      <c r="E29" s="205">
        <f>IFERROR('Historical Data'!E41,0)</f>
        <v>3.5000208394114947</v>
      </c>
      <c r="F29" s="205">
        <f>IFERROR('Historical Data'!F41,0)</f>
        <v>2</v>
      </c>
      <c r="G29" s="205">
        <f>IFERROR('Historical Data'!G41,0)</f>
        <v>2.7500104197057471</v>
      </c>
      <c r="H29" s="205">
        <f>IFERROR('Historical Data'!H41,0)</f>
        <v>4</v>
      </c>
      <c r="I29" s="205">
        <f>IFERROR('Historical Data'!I41,0)</f>
        <v>7.5000208394114951</v>
      </c>
      <c r="J29" s="205">
        <f>IFERROR('Historical Data'!J41,0)</f>
        <v>10</v>
      </c>
      <c r="K29" s="205">
        <f>IFERROR('Historical Data'!K41,0)</f>
        <v>11.500020839411494</v>
      </c>
      <c r="L29" s="205">
        <f>IFERROR('Historical Data'!L41,0)</f>
        <v>13.500020839411494</v>
      </c>
    </row>
    <row r="30" spans="1:12" x14ac:dyDescent="0.45">
      <c r="B30" t="s">
        <v>203</v>
      </c>
      <c r="C30" s="244">
        <f>IFERROR('Historical Data'!C36/'Historical Data'!C38,0)</f>
        <v>1.3547369677600685</v>
      </c>
      <c r="D30" s="244">
        <f>IFERROR('Historical Data'!D36/'Historical Data'!D38,0)</f>
        <v>1.7760569771549257</v>
      </c>
      <c r="E30" s="244">
        <f>IFERROR('Historical Data'!E36/'Historical Data'!E38,0)</f>
        <v>1.5034679574437413</v>
      </c>
      <c r="F30" s="244">
        <f>IFERROR('Historical Data'!F36/'Historical Data'!F38,0)</f>
        <v>1.7411088837182997</v>
      </c>
      <c r="G30" s="244">
        <f>IFERROR('Historical Data'!G36/'Historical Data'!G38,0)</f>
        <v>1.5930336304119344</v>
      </c>
      <c r="H30" s="244">
        <f>IFERROR('Historical Data'!H36/'Historical Data'!H38,0)</f>
        <v>1.4531866432775762</v>
      </c>
      <c r="I30" s="244">
        <f>IFERROR('Historical Data'!I36/'Historical Data'!I38,0)</f>
        <v>1.3857982294280851</v>
      </c>
      <c r="J30" s="244">
        <f>IFERROR('Historical Data'!J36/'Historical Data'!J38,0)</f>
        <v>1.2149245378587543</v>
      </c>
      <c r="K30" s="244">
        <f>IFERROR('Historical Data'!K36/'Historical Data'!K38,0)</f>
        <v>1.1166788919960333</v>
      </c>
      <c r="L30" s="244">
        <f>IFERROR('Historical Data'!L36/'Historical Data'!L38,0)</f>
        <v>1.0493071151183848</v>
      </c>
    </row>
    <row r="31" spans="1:12" x14ac:dyDescent="0.45">
      <c r="B31" t="s">
        <v>201</v>
      </c>
      <c r="C31" s="244">
        <f>IFERROR('Cash Flow Data'!D47*'Historical Data'!C36/'Historical Data'!C47,0)</f>
        <v>2.41</v>
      </c>
      <c r="D31" s="244">
        <f>IFERROR('Cash Flow Data'!E47*'Historical Data'!D36/'Historical Data'!D47,0)</f>
        <v>2.4101001412781518</v>
      </c>
      <c r="E31" s="244">
        <f>IFERROR('Cash Flow Data'!F47*'Historical Data'!E36/'Historical Data'!E47,0)</f>
        <v>2.39</v>
      </c>
      <c r="F31" s="244">
        <f>IFERROR('Cash Flow Data'!G47*'Historical Data'!F36/'Historical Data'!F47,0)</f>
        <v>2.39</v>
      </c>
      <c r="G31" s="244">
        <f>IFERROR('Cash Flow Data'!H47*'Historical Data'!G36/'Historical Data'!G47,0)</f>
        <v>2.39</v>
      </c>
      <c r="H31" s="244">
        <f>IFERROR('Cash Flow Data'!I47*'Historical Data'!H36/'Historical Data'!H47,0)</f>
        <v>2.4</v>
      </c>
      <c r="I31" s="244">
        <f>IFERROR('Cash Flow Data'!J47*'Historical Data'!I36/'Historical Data'!I47,0)</f>
        <v>2.39</v>
      </c>
      <c r="J31" s="244">
        <f>IFERROR('Cash Flow Data'!K47*'Historical Data'!J36/'Historical Data'!J47,0)</f>
        <v>2.4</v>
      </c>
      <c r="K31" s="244">
        <f>IFERROR('Cash Flow Data'!L47*'Historical Data'!K36/'Historical Data'!K47,0)</f>
        <v>2.4</v>
      </c>
      <c r="L31" s="244">
        <f>IFERROR('Cash Flow Data'!M47*'Historical Data'!L36/'Historical Data'!L47,0)</f>
        <v>2.4</v>
      </c>
    </row>
    <row r="32" spans="1:12" x14ac:dyDescent="0.45">
      <c r="B32" t="s">
        <v>208</v>
      </c>
      <c r="C32" s="59">
        <f>IFERROR(C29/'Historical Data'!C38,0)</f>
        <v>1.9622493739282567E-2</v>
      </c>
      <c r="D32" s="59">
        <f>IFERROR(D29/'Historical Data'!D38,0)</f>
        <v>7.3793292923742633E-3</v>
      </c>
      <c r="E32" s="59">
        <f>IFERROR(E29/'Historical Data'!E38,0)</f>
        <v>2.1932101789857578E-2</v>
      </c>
      <c r="F32" s="59">
        <f>IFERROR(F29/'Historical Data'!F38,0)</f>
        <v>1.4513473794175799E-2</v>
      </c>
      <c r="G32" s="59">
        <f>IFERROR(G29/'Historical Data'!G38,0)</f>
        <v>1.8258905024692591E-2</v>
      </c>
      <c r="H32" s="59">
        <f>IFERROR(H29/'Historical Data'!H38,0)</f>
        <v>2.4226843550661879E-2</v>
      </c>
      <c r="I32" s="59">
        <f>IFERROR(I29/'Historical Data'!I38,0)</f>
        <v>4.331894969336969E-2</v>
      </c>
      <c r="J32" s="59">
        <f>IFERROR(J29/'Historical Data'!J38,0)</f>
        <v>5.0636624759669666E-2</v>
      </c>
      <c r="K32" s="59">
        <f>IFERROR(K29/'Historical Data'!K38,0)</f>
        <v>5.3523238148148716E-2</v>
      </c>
      <c r="L32" s="59">
        <f>IFERROR(L29/'Historical Data'!L38,0)</f>
        <v>5.9040836581673618E-2</v>
      </c>
    </row>
  </sheetData>
  <mergeCells count="1">
    <mergeCell ref="B2:L2"/>
  </mergeCells>
  <pageMargins left="0.7" right="0.7" top="0.75" bottom="0.75" header="0.3" footer="0.3"/>
  <customProperties>
    <customPr name="Smart" r:id="rId1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52468-BA98-46B0-A65A-C8B7408C2465}">
  <sheetPr>
    <tabColor rgb="FF0000FF"/>
  </sheetPr>
  <dimension ref="A3:H29"/>
  <sheetViews>
    <sheetView showGridLines="0" workbookViewId="0">
      <selection activeCell="E10" sqref="E10"/>
    </sheetView>
  </sheetViews>
  <sheetFormatPr defaultRowHeight="14.25" x14ac:dyDescent="0.45"/>
  <cols>
    <col min="1" max="1" width="1.73046875" style="37" customWidth="1"/>
    <col min="5" max="5" width="10.86328125" customWidth="1"/>
  </cols>
  <sheetData>
    <row r="3" spans="2:8" x14ac:dyDescent="0.45">
      <c r="B3" s="61" t="s">
        <v>304</v>
      </c>
      <c r="C3" s="61"/>
      <c r="D3" s="61"/>
      <c r="E3" s="61"/>
    </row>
    <row r="5" spans="2:8" x14ac:dyDescent="0.45">
      <c r="B5" s="50" t="s">
        <v>210</v>
      </c>
      <c r="C5" s="2" t="s">
        <v>303</v>
      </c>
    </row>
    <row r="6" spans="2:8" x14ac:dyDescent="0.45">
      <c r="B6" s="235">
        <v>2000</v>
      </c>
      <c r="C6" s="254">
        <v>-0.14649999999999999</v>
      </c>
      <c r="E6" t="s">
        <v>305</v>
      </c>
      <c r="G6" s="141">
        <f>AVERAGE(C6:C29)</f>
        <v>0.15609166666666666</v>
      </c>
    </row>
    <row r="7" spans="2:8" ht="15.75" x14ac:dyDescent="0.45">
      <c r="B7" s="235">
        <v>2001</v>
      </c>
      <c r="C7" s="254">
        <v>-0.1618</v>
      </c>
      <c r="E7" t="s">
        <v>306</v>
      </c>
      <c r="G7" s="58" t="s">
        <v>307</v>
      </c>
      <c r="H7" s="121">
        <v>1.2500000000000001E-2</v>
      </c>
    </row>
    <row r="8" spans="2:8" x14ac:dyDescent="0.45">
      <c r="B8" s="235">
        <v>2002</v>
      </c>
      <c r="C8" s="254">
        <v>3.2500000000000001E-2</v>
      </c>
      <c r="E8" s="2" t="s">
        <v>308</v>
      </c>
      <c r="G8" s="142">
        <f>SUM(G6:G7)</f>
        <v>0.15609166666666666</v>
      </c>
      <c r="H8" s="123">
        <f>G6+H7</f>
        <v>0.16859166666666667</v>
      </c>
    </row>
    <row r="9" spans="2:8" x14ac:dyDescent="0.45">
      <c r="B9" s="235">
        <v>2003</v>
      </c>
      <c r="C9" s="254">
        <v>0.71900000000000008</v>
      </c>
      <c r="G9" s="5"/>
    </row>
    <row r="10" spans="2:8" x14ac:dyDescent="0.45">
      <c r="B10" s="235">
        <v>2004</v>
      </c>
      <c r="C10" s="254">
        <v>0.10679999999999999</v>
      </c>
    </row>
    <row r="11" spans="2:8" x14ac:dyDescent="0.45">
      <c r="B11" s="235">
        <v>2005</v>
      </c>
      <c r="C11" s="254">
        <v>0.36340000000000006</v>
      </c>
    </row>
    <row r="12" spans="2:8" x14ac:dyDescent="0.45">
      <c r="B12" s="235">
        <v>2006</v>
      </c>
      <c r="C12" s="254">
        <v>0.39829999999999999</v>
      </c>
    </row>
    <row r="13" spans="2:8" x14ac:dyDescent="0.45">
      <c r="B13" s="235">
        <v>2007</v>
      </c>
      <c r="C13" s="254">
        <v>0.54770000000000008</v>
      </c>
    </row>
    <row r="14" spans="2:8" x14ac:dyDescent="0.45">
      <c r="B14" s="235">
        <v>2008</v>
      </c>
      <c r="C14" s="254">
        <v>-0.51790000000000003</v>
      </c>
    </row>
    <row r="15" spans="2:8" x14ac:dyDescent="0.45">
      <c r="B15" s="235">
        <v>2009</v>
      </c>
      <c r="C15" s="254">
        <v>0.75760000000000005</v>
      </c>
    </row>
    <row r="16" spans="2:8" x14ac:dyDescent="0.45">
      <c r="B16" s="235">
        <v>2010</v>
      </c>
      <c r="C16" s="254">
        <v>0.17949999999999999</v>
      </c>
    </row>
    <row r="17" spans="2:3" x14ac:dyDescent="0.45">
      <c r="B17" s="235">
        <v>2011</v>
      </c>
      <c r="C17" s="254">
        <v>-0.2462</v>
      </c>
    </row>
    <row r="18" spans="2:3" x14ac:dyDescent="0.45">
      <c r="B18" s="235">
        <v>2012</v>
      </c>
      <c r="C18" s="254">
        <v>0.27699999999999997</v>
      </c>
    </row>
    <row r="19" spans="2:3" x14ac:dyDescent="0.45">
      <c r="B19" s="235">
        <v>2013</v>
      </c>
      <c r="C19" s="254">
        <v>6.7599999999999993E-2</v>
      </c>
    </row>
    <row r="20" spans="2:3" x14ac:dyDescent="0.45">
      <c r="B20" s="235">
        <v>2014</v>
      </c>
      <c r="C20" s="254">
        <v>0.31390000000000001</v>
      </c>
    </row>
    <row r="21" spans="2:3" x14ac:dyDescent="0.45">
      <c r="B21" s="235">
        <v>2015</v>
      </c>
      <c r="C21" s="254">
        <v>-4.0599999999999997E-2</v>
      </c>
    </row>
    <row r="22" spans="2:3" x14ac:dyDescent="0.45">
      <c r="B22" s="235">
        <v>2016</v>
      </c>
      <c r="C22" s="254">
        <v>3.0099999999999998E-2</v>
      </c>
    </row>
    <row r="23" spans="2:3" x14ac:dyDescent="0.45">
      <c r="B23" s="235">
        <v>2017</v>
      </c>
      <c r="C23" s="254">
        <v>0.28649999999999998</v>
      </c>
    </row>
    <row r="24" spans="2:3" x14ac:dyDescent="0.45">
      <c r="B24" s="235">
        <v>2018</v>
      </c>
      <c r="C24" s="254">
        <v>3.15E-2</v>
      </c>
    </row>
    <row r="25" spans="2:3" x14ac:dyDescent="0.45">
      <c r="B25" s="235">
        <v>2019</v>
      </c>
      <c r="C25" s="254">
        <v>0.1202</v>
      </c>
    </row>
    <row r="26" spans="2:3" x14ac:dyDescent="0.45">
      <c r="B26" s="235">
        <v>2020</v>
      </c>
      <c r="C26" s="254">
        <v>0.14899999999999999</v>
      </c>
    </row>
    <row r="27" spans="2:3" x14ac:dyDescent="0.45">
      <c r="B27" s="235">
        <v>2021</v>
      </c>
      <c r="C27" s="254">
        <v>0.2412</v>
      </c>
    </row>
    <row r="28" spans="2:3" x14ac:dyDescent="0.45">
      <c r="B28" s="235">
        <v>2022</v>
      </c>
      <c r="C28" s="254">
        <v>4.3200000000000002E-2</v>
      </c>
    </row>
    <row r="29" spans="2:3" x14ac:dyDescent="0.45">
      <c r="B29" s="235">
        <v>2023</v>
      </c>
      <c r="C29" s="254">
        <v>0.19420000000000001</v>
      </c>
    </row>
  </sheetData>
  <pageMargins left="0.7" right="0.7" top="0.75" bottom="0.75" header="0.3" footer="0.3"/>
  <customProperties>
    <customPr name="Smart" r:id="rId1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51BAD-470A-47DA-B3F0-934DD4CB3C10}">
  <sheetPr>
    <tabColor theme="5" tint="-0.249977111117893"/>
    <pageSetUpPr fitToPage="1"/>
  </sheetPr>
  <dimension ref="A3:U112"/>
  <sheetViews>
    <sheetView showGridLines="0" zoomScale="106" workbookViewId="0">
      <selection activeCell="E3" sqref="E3"/>
    </sheetView>
  </sheetViews>
  <sheetFormatPr defaultRowHeight="14.25" x14ac:dyDescent="0.45"/>
  <cols>
    <col min="1" max="1" width="1.73046875" customWidth="1"/>
    <col min="2" max="2" width="12.33203125" customWidth="1"/>
    <col min="3" max="3" width="12.86328125" customWidth="1"/>
    <col min="4" max="4" width="10.53125" customWidth="1"/>
    <col min="6" max="6" width="13.265625" customWidth="1"/>
    <col min="7" max="7" width="12.19921875" customWidth="1"/>
    <col min="9" max="9" width="18.1328125" customWidth="1"/>
    <col min="13" max="13" width="15.59765625" customWidth="1"/>
    <col min="14" max="14" width="20.59765625" customWidth="1"/>
    <col min="15" max="15" width="11.796875" customWidth="1"/>
    <col min="16" max="16" width="12.3984375" customWidth="1"/>
    <col min="18" max="18" width="12.6640625" customWidth="1"/>
    <col min="19" max="19" width="11.59765625" customWidth="1"/>
    <col min="20" max="20" width="12.3984375" customWidth="1"/>
    <col min="21" max="21" width="14" customWidth="1"/>
  </cols>
  <sheetData>
    <row r="3" spans="1:14" x14ac:dyDescent="0.45">
      <c r="B3" s="61" t="s">
        <v>251</v>
      </c>
      <c r="C3" s="61"/>
    </row>
    <row r="5" spans="1:14" x14ac:dyDescent="0.45">
      <c r="B5" s="284" t="s">
        <v>255</v>
      </c>
      <c r="C5" s="286"/>
      <c r="D5" s="286"/>
      <c r="F5" s="284" t="s">
        <v>256</v>
      </c>
      <c r="G5" s="284"/>
      <c r="I5" s="284" t="s">
        <v>285</v>
      </c>
      <c r="J5" s="284"/>
      <c r="M5" t="s">
        <v>257</v>
      </c>
      <c r="N5" s="143">
        <f>SLOPE(D9:D112,G9:G112)</f>
        <v>0.59970759396696083</v>
      </c>
    </row>
    <row r="6" spans="1:14" x14ac:dyDescent="0.45">
      <c r="B6" s="34"/>
      <c r="C6" s="34"/>
      <c r="D6" s="34"/>
      <c r="M6" t="s">
        <v>258</v>
      </c>
      <c r="N6" s="144">
        <f>_xlfn.COVARIANCE.S(D8:D112,G8:G112)/_xlfn.VAR.S(G8:G112)</f>
        <v>0.59970759396696116</v>
      </c>
    </row>
    <row r="7" spans="1:14" x14ac:dyDescent="0.45">
      <c r="B7" s="51" t="s">
        <v>252</v>
      </c>
      <c r="C7" s="51" t="s">
        <v>253</v>
      </c>
      <c r="D7" s="52" t="s">
        <v>254</v>
      </c>
      <c r="F7" s="51" t="s">
        <v>253</v>
      </c>
      <c r="G7" s="53" t="s">
        <v>254</v>
      </c>
      <c r="I7" t="s">
        <v>284</v>
      </c>
      <c r="J7" s="143">
        <f>N7</f>
        <v>0.59970759396696005</v>
      </c>
      <c r="M7" t="s">
        <v>283</v>
      </c>
      <c r="N7" s="143">
        <f>N26</f>
        <v>0.59970759396696005</v>
      </c>
    </row>
    <row r="8" spans="1:14" s="247" customFormat="1" x14ac:dyDescent="0.45">
      <c r="A8"/>
      <c r="B8" s="49">
        <v>45564</v>
      </c>
      <c r="C8" s="246">
        <v>1926.7</v>
      </c>
      <c r="F8" s="246">
        <v>25810.85</v>
      </c>
      <c r="I8" s="247" t="s">
        <v>286</v>
      </c>
      <c r="J8" s="248">
        <v>0.75</v>
      </c>
    </row>
    <row r="9" spans="1:14" s="247" customFormat="1" x14ac:dyDescent="0.45">
      <c r="A9"/>
      <c r="B9" s="49">
        <v>45557</v>
      </c>
      <c r="C9" s="246">
        <v>1948.7</v>
      </c>
      <c r="D9" s="249">
        <f>C9/C8-1</f>
        <v>1.1418487569419211E-2</v>
      </c>
      <c r="F9" s="246">
        <v>26178.95</v>
      </c>
      <c r="G9" s="249">
        <f>F9/F8-1</f>
        <v>1.4261444315084582E-2</v>
      </c>
      <c r="M9" s="247" t="s">
        <v>259</v>
      </c>
    </row>
    <row r="10" spans="1:14" s="247" customFormat="1" ht="14.65" thickBot="1" x14ac:dyDescent="0.5">
      <c r="A10"/>
      <c r="B10" s="49">
        <v>45550</v>
      </c>
      <c r="C10" s="246">
        <v>1865.75</v>
      </c>
      <c r="D10" s="249">
        <f t="shared" ref="D10:D73" si="0">C10/C9-1</f>
        <v>-4.2566839431415815E-2</v>
      </c>
      <c r="F10" s="246">
        <v>25790.95</v>
      </c>
      <c r="G10" s="249">
        <f t="shared" ref="G10:G73" si="1">F10/F9-1</f>
        <v>-1.4821068071866894E-2</v>
      </c>
      <c r="I10" s="247" t="s">
        <v>287</v>
      </c>
      <c r="J10" s="247">
        <v>1</v>
      </c>
    </row>
    <row r="11" spans="1:14" s="247" customFormat="1" x14ac:dyDescent="0.45">
      <c r="A11"/>
      <c r="B11" s="49">
        <v>45543</v>
      </c>
      <c r="C11" s="246">
        <v>1853.75</v>
      </c>
      <c r="D11" s="249">
        <f t="shared" si="0"/>
        <v>-6.4317298673455259E-3</v>
      </c>
      <c r="F11" s="246">
        <v>25356.5</v>
      </c>
      <c r="G11" s="249">
        <f t="shared" si="1"/>
        <v>-1.684505611464493E-2</v>
      </c>
      <c r="I11" s="247" t="s">
        <v>289</v>
      </c>
      <c r="J11" s="248">
        <v>0.25</v>
      </c>
      <c r="M11" s="250" t="s">
        <v>260</v>
      </c>
      <c r="N11" s="250"/>
    </row>
    <row r="12" spans="1:14" s="247" customFormat="1" x14ac:dyDescent="0.45">
      <c r="A12"/>
      <c r="B12" s="49">
        <v>45536</v>
      </c>
      <c r="C12" s="246">
        <v>1824.55</v>
      </c>
      <c r="D12" s="249">
        <f t="shared" si="0"/>
        <v>-1.5751854349292049E-2</v>
      </c>
      <c r="F12" s="246">
        <v>24852.15</v>
      </c>
      <c r="G12" s="249">
        <f t="shared" si="1"/>
        <v>-1.9890363417664036E-2</v>
      </c>
      <c r="M12" s="247" t="s">
        <v>261</v>
      </c>
      <c r="N12" s="247">
        <v>0.35835909524284176</v>
      </c>
    </row>
    <row r="13" spans="1:14" s="247" customFormat="1" x14ac:dyDescent="0.45">
      <c r="A13"/>
      <c r="B13" s="49">
        <v>45529</v>
      </c>
      <c r="C13" s="246">
        <v>1821.65</v>
      </c>
      <c r="D13" s="249">
        <f t="shared" si="0"/>
        <v>-1.5894330108793264E-3</v>
      </c>
      <c r="F13" s="246">
        <v>25235.9</v>
      </c>
      <c r="G13" s="249">
        <f t="shared" si="1"/>
        <v>1.544131996628062E-2</v>
      </c>
      <c r="I13" s="247" t="s">
        <v>288</v>
      </c>
      <c r="J13" s="251">
        <f>(J7*J8)+(J10*J11)</f>
        <v>0.69978069547522004</v>
      </c>
      <c r="M13" s="247" t="s">
        <v>262</v>
      </c>
      <c r="N13" s="247">
        <v>0.12842124114326814</v>
      </c>
    </row>
    <row r="14" spans="1:14" s="247" customFormat="1" x14ac:dyDescent="0.45">
      <c r="A14"/>
      <c r="B14" s="49">
        <v>45522</v>
      </c>
      <c r="C14" s="246">
        <v>1775.75</v>
      </c>
      <c r="D14" s="249">
        <f t="shared" si="0"/>
        <v>-2.5196936842972084E-2</v>
      </c>
      <c r="F14" s="246">
        <v>24823.15</v>
      </c>
      <c r="G14" s="249">
        <f t="shared" si="1"/>
        <v>-1.6355667917530181E-2</v>
      </c>
      <c r="M14" s="247" t="s">
        <v>263</v>
      </c>
      <c r="N14" s="247">
        <v>0.11987635135055508</v>
      </c>
    </row>
    <row r="15" spans="1:14" s="247" customFormat="1" x14ac:dyDescent="0.45">
      <c r="A15"/>
      <c r="B15" s="49">
        <v>45515</v>
      </c>
      <c r="C15" s="246">
        <v>1742.75</v>
      </c>
      <c r="D15" s="249">
        <f t="shared" si="0"/>
        <v>-1.8583697029424195E-2</v>
      </c>
      <c r="F15" s="246">
        <v>24541.15</v>
      </c>
      <c r="G15" s="249">
        <f t="shared" si="1"/>
        <v>-1.1360363209342861E-2</v>
      </c>
      <c r="M15" s="247" t="s">
        <v>264</v>
      </c>
      <c r="N15" s="247">
        <v>2.1935486116262868E-2</v>
      </c>
    </row>
    <row r="16" spans="1:14" s="247" customFormat="1" ht="14.65" thickBot="1" x14ac:dyDescent="0.5">
      <c r="A16"/>
      <c r="B16" s="49">
        <v>45508</v>
      </c>
      <c r="C16" s="246">
        <v>1735.3</v>
      </c>
      <c r="D16" s="249">
        <f t="shared" si="0"/>
        <v>-4.2748529622722575E-3</v>
      </c>
      <c r="F16" s="246">
        <v>24367.5</v>
      </c>
      <c r="G16" s="249">
        <f t="shared" si="1"/>
        <v>-7.0758705276647849E-3</v>
      </c>
      <c r="M16" s="252" t="s">
        <v>265</v>
      </c>
      <c r="N16" s="252">
        <v>104</v>
      </c>
    </row>
    <row r="17" spans="1:21" s="247" customFormat="1" x14ac:dyDescent="0.45">
      <c r="A17"/>
      <c r="B17" s="48">
        <v>45501</v>
      </c>
      <c r="C17" s="246">
        <v>1731.65</v>
      </c>
      <c r="D17" s="249">
        <f t="shared" si="0"/>
        <v>-2.1033827003975603E-3</v>
      </c>
      <c r="F17" s="246">
        <v>24717.7</v>
      </c>
      <c r="G17" s="249">
        <f t="shared" si="1"/>
        <v>1.4371601518415877E-2</v>
      </c>
    </row>
    <row r="18" spans="1:21" s="247" customFormat="1" ht="14.65" thickBot="1" x14ac:dyDescent="0.5">
      <c r="A18"/>
      <c r="B18" s="48">
        <v>45494</v>
      </c>
      <c r="C18" s="246">
        <v>1714.25</v>
      </c>
      <c r="D18" s="249">
        <f t="shared" si="0"/>
        <v>-1.0048219905870126E-2</v>
      </c>
      <c r="F18" s="246">
        <v>24834.85</v>
      </c>
      <c r="G18" s="249">
        <f t="shared" si="1"/>
        <v>4.7395186445340354E-3</v>
      </c>
      <c r="M18" s="247" t="s">
        <v>266</v>
      </c>
    </row>
    <row r="19" spans="1:21" s="247" customFormat="1" x14ac:dyDescent="0.45">
      <c r="A19"/>
      <c r="B19" s="48">
        <v>45487</v>
      </c>
      <c r="C19" s="246">
        <v>1568.65</v>
      </c>
      <c r="D19" s="249">
        <f t="shared" si="0"/>
        <v>-8.4935102814641894E-2</v>
      </c>
      <c r="F19" s="246">
        <v>24530.9</v>
      </c>
      <c r="G19" s="249">
        <f t="shared" si="1"/>
        <v>-1.2238849842056476E-2</v>
      </c>
      <c r="M19" s="253"/>
      <c r="N19" s="253" t="s">
        <v>270</v>
      </c>
      <c r="O19" s="253" t="s">
        <v>271</v>
      </c>
      <c r="P19" s="253" t="s">
        <v>272</v>
      </c>
      <c r="Q19" s="253" t="s">
        <v>273</v>
      </c>
      <c r="R19" s="253" t="s">
        <v>274</v>
      </c>
    </row>
    <row r="20" spans="1:21" s="247" customFormat="1" x14ac:dyDescent="0.45">
      <c r="A20"/>
      <c r="B20" s="48">
        <v>45480</v>
      </c>
      <c r="C20" s="246">
        <v>1572.31</v>
      </c>
      <c r="D20" s="249">
        <f t="shared" si="0"/>
        <v>2.3332164600133876E-3</v>
      </c>
      <c r="F20" s="246">
        <v>24502.15</v>
      </c>
      <c r="G20" s="249">
        <f t="shared" si="1"/>
        <v>-1.1719912436967128E-3</v>
      </c>
      <c r="M20" s="247" t="s">
        <v>267</v>
      </c>
      <c r="N20" s="247">
        <v>1</v>
      </c>
      <c r="O20" s="247">
        <v>7.2314422741450723E-3</v>
      </c>
      <c r="P20" s="247">
        <v>7.2314422741450723E-3</v>
      </c>
      <c r="Q20" s="247">
        <v>15.02901081916629</v>
      </c>
      <c r="R20" s="247">
        <v>1.875345945196445E-4</v>
      </c>
    </row>
    <row r="21" spans="1:21" s="247" customFormat="1" x14ac:dyDescent="0.45">
      <c r="A21"/>
      <c r="B21" s="48">
        <v>45473</v>
      </c>
      <c r="C21" s="246">
        <v>1563.44</v>
      </c>
      <c r="D21" s="249">
        <f t="shared" si="0"/>
        <v>-5.6413811525716229E-3</v>
      </c>
      <c r="F21" s="246">
        <v>24323.85</v>
      </c>
      <c r="G21" s="249">
        <f t="shared" si="1"/>
        <v>-7.2769124342150215E-3</v>
      </c>
      <c r="M21" s="247" t="s">
        <v>268</v>
      </c>
      <c r="N21" s="247">
        <v>102</v>
      </c>
      <c r="O21" s="247">
        <v>4.9078886217989628E-2</v>
      </c>
      <c r="P21" s="247">
        <v>4.8116555115676105E-4</v>
      </c>
    </row>
    <row r="22" spans="1:21" s="247" customFormat="1" ht="14.65" thickBot="1" x14ac:dyDescent="0.5">
      <c r="A22"/>
      <c r="B22" s="48">
        <v>45466</v>
      </c>
      <c r="C22" s="246">
        <v>1516.04</v>
      </c>
      <c r="D22" s="249">
        <f t="shared" si="0"/>
        <v>-3.0317760835081642E-2</v>
      </c>
      <c r="F22" s="246">
        <v>24010.6</v>
      </c>
      <c r="G22" s="249">
        <f t="shared" si="1"/>
        <v>-1.2878306682535867E-2</v>
      </c>
      <c r="M22" s="252" t="s">
        <v>26</v>
      </c>
      <c r="N22" s="252">
        <v>103</v>
      </c>
      <c r="O22" s="252">
        <v>5.6310328492134701E-2</v>
      </c>
      <c r="P22" s="252"/>
      <c r="Q22" s="252"/>
      <c r="R22" s="252"/>
    </row>
    <row r="23" spans="1:21" s="247" customFormat="1" ht="14.65" thickBot="1" x14ac:dyDescent="0.5">
      <c r="A23"/>
      <c r="B23" s="48">
        <v>45459</v>
      </c>
      <c r="C23" s="246">
        <v>1462.61</v>
      </c>
      <c r="D23" s="249">
        <f t="shared" si="0"/>
        <v>-3.5243133426558715E-2</v>
      </c>
      <c r="F23" s="246">
        <v>23501.1</v>
      </c>
      <c r="G23" s="249">
        <f t="shared" si="1"/>
        <v>-2.1219794590722429E-2</v>
      </c>
    </row>
    <row r="24" spans="1:21" s="247" customFormat="1" x14ac:dyDescent="0.45">
      <c r="A24"/>
      <c r="B24" s="48">
        <v>45452</v>
      </c>
      <c r="C24" s="246">
        <v>1511.21</v>
      </c>
      <c r="D24" s="249">
        <f t="shared" si="0"/>
        <v>3.3228270010460914E-2</v>
      </c>
      <c r="F24" s="246">
        <v>23465.599999999999</v>
      </c>
      <c r="G24" s="249">
        <f t="shared" si="1"/>
        <v>-1.5105675904532045E-3</v>
      </c>
      <c r="M24" s="253"/>
      <c r="N24" s="253" t="s">
        <v>275</v>
      </c>
      <c r="O24" s="253" t="s">
        <v>264</v>
      </c>
      <c r="P24" s="253" t="s">
        <v>276</v>
      </c>
      <c r="Q24" s="253" t="s">
        <v>277</v>
      </c>
      <c r="R24" s="253" t="s">
        <v>278</v>
      </c>
      <c r="S24" s="253" t="s">
        <v>279</v>
      </c>
      <c r="T24" s="253" t="s">
        <v>280</v>
      </c>
      <c r="U24" s="253" t="s">
        <v>281</v>
      </c>
    </row>
    <row r="25" spans="1:21" s="247" customFormat="1" x14ac:dyDescent="0.45">
      <c r="A25"/>
      <c r="B25" s="48">
        <v>45445</v>
      </c>
      <c r="C25" s="246">
        <v>1502.09</v>
      </c>
      <c r="D25" s="249">
        <f t="shared" si="0"/>
        <v>-6.0348991867444912E-3</v>
      </c>
      <c r="F25" s="246">
        <v>23290.15</v>
      </c>
      <c r="G25" s="249">
        <f t="shared" si="1"/>
        <v>-7.4769023591980677E-3</v>
      </c>
      <c r="M25" s="247" t="s">
        <v>269</v>
      </c>
      <c r="N25" s="247">
        <v>-4.3996784609447517E-3</v>
      </c>
      <c r="O25" s="247">
        <v>2.22719110763303E-3</v>
      </c>
      <c r="P25" s="247">
        <v>-1.9754382306332727</v>
      </c>
      <c r="Q25" s="247">
        <v>5.0920361542398693E-2</v>
      </c>
      <c r="R25" s="247">
        <v>-8.8173014628482784E-3</v>
      </c>
      <c r="S25" s="247">
        <v>1.7944540958774943E-5</v>
      </c>
      <c r="T25" s="247">
        <v>-8.8173014628482784E-3</v>
      </c>
      <c r="U25" s="247">
        <v>1.7944540958774943E-5</v>
      </c>
    </row>
    <row r="26" spans="1:21" s="247" customFormat="1" ht="14.65" thickBot="1" x14ac:dyDescent="0.5">
      <c r="A26"/>
      <c r="B26" s="48">
        <v>45438</v>
      </c>
      <c r="C26" s="246">
        <v>1455.19</v>
      </c>
      <c r="D26" s="249">
        <f t="shared" si="0"/>
        <v>-3.1223162393731352E-2</v>
      </c>
      <c r="F26" s="246">
        <v>22530.7</v>
      </c>
      <c r="G26" s="249">
        <f t="shared" si="1"/>
        <v>-3.2608205614820029E-2</v>
      </c>
      <c r="M26" s="252" t="s">
        <v>282</v>
      </c>
      <c r="N26" s="252">
        <v>0.59970759396696005</v>
      </c>
      <c r="O26" s="252">
        <v>0.15469431357067437</v>
      </c>
      <c r="P26" s="252">
        <v>3.8767268177118535</v>
      </c>
      <c r="Q26" s="252">
        <v>1.875345945196454E-4</v>
      </c>
      <c r="R26" s="252">
        <v>0.29287215647288789</v>
      </c>
      <c r="S26" s="252">
        <v>0.90654303146103221</v>
      </c>
      <c r="T26" s="252">
        <v>0.29287215647288789</v>
      </c>
      <c r="U26" s="252">
        <v>0.90654303146103221</v>
      </c>
    </row>
    <row r="27" spans="1:21" s="247" customFormat="1" x14ac:dyDescent="0.45">
      <c r="A27"/>
      <c r="B27" s="48">
        <v>45431</v>
      </c>
      <c r="C27" s="246">
        <v>1482</v>
      </c>
      <c r="D27" s="249">
        <f t="shared" si="0"/>
        <v>1.8423710993066056E-2</v>
      </c>
      <c r="F27" s="246">
        <v>22957.1</v>
      </c>
      <c r="G27" s="249">
        <f t="shared" si="1"/>
        <v>1.8925288606212787E-2</v>
      </c>
    </row>
    <row r="28" spans="1:21" s="247" customFormat="1" x14ac:dyDescent="0.45">
      <c r="A28"/>
      <c r="B28" s="48">
        <v>45424</v>
      </c>
      <c r="C28" s="246">
        <v>1527.06</v>
      </c>
      <c r="D28" s="249">
        <f t="shared" si="0"/>
        <v>3.040485829959505E-2</v>
      </c>
      <c r="F28" s="246">
        <v>22466.1</v>
      </c>
      <c r="G28" s="249">
        <f t="shared" si="1"/>
        <v>-2.1387718832082458E-2</v>
      </c>
    </row>
    <row r="29" spans="1:21" s="247" customFormat="1" x14ac:dyDescent="0.45">
      <c r="A29"/>
      <c r="B29" s="48">
        <v>45417</v>
      </c>
      <c r="C29" s="246">
        <v>1501.79</v>
      </c>
      <c r="D29" s="249">
        <f t="shared" si="0"/>
        <v>-1.6548138252589939E-2</v>
      </c>
      <c r="F29" s="246">
        <v>22055.200000000001</v>
      </c>
      <c r="G29" s="249">
        <f t="shared" si="1"/>
        <v>-1.8289778822314418E-2</v>
      </c>
    </row>
    <row r="30" spans="1:21" s="247" customFormat="1" x14ac:dyDescent="0.45">
      <c r="A30"/>
      <c r="B30" s="48">
        <v>45410</v>
      </c>
      <c r="C30" s="246">
        <v>1506.37</v>
      </c>
      <c r="D30" s="249">
        <f t="shared" si="0"/>
        <v>3.0496940317887855E-3</v>
      </c>
      <c r="F30" s="246">
        <v>22475.85</v>
      </c>
      <c r="G30" s="249">
        <f t="shared" si="1"/>
        <v>1.9072599659037293E-2</v>
      </c>
    </row>
    <row r="31" spans="1:21" s="247" customFormat="1" x14ac:dyDescent="0.45">
      <c r="A31"/>
      <c r="B31" s="48">
        <v>45403</v>
      </c>
      <c r="C31" s="246">
        <v>1501.79</v>
      </c>
      <c r="D31" s="249">
        <f t="shared" si="0"/>
        <v>-3.0404216759494229E-3</v>
      </c>
      <c r="F31" s="246">
        <v>22419.95</v>
      </c>
      <c r="G31" s="249">
        <f t="shared" si="1"/>
        <v>-2.4871139467471659E-3</v>
      </c>
    </row>
    <row r="32" spans="1:21" s="247" customFormat="1" x14ac:dyDescent="0.45">
      <c r="A32"/>
      <c r="B32" s="48">
        <v>45396</v>
      </c>
      <c r="C32" s="246">
        <v>1517.99</v>
      </c>
      <c r="D32" s="249">
        <f t="shared" si="0"/>
        <v>1.0787127361348903E-2</v>
      </c>
      <c r="F32" s="246">
        <v>22147</v>
      </c>
      <c r="G32" s="249">
        <f t="shared" si="1"/>
        <v>-1.2174425009868428E-2</v>
      </c>
    </row>
    <row r="33" spans="1:7" s="247" customFormat="1" x14ac:dyDescent="0.45">
      <c r="A33"/>
      <c r="B33" s="48">
        <v>45389</v>
      </c>
      <c r="C33" s="246">
        <v>1535.13</v>
      </c>
      <c r="D33" s="249">
        <f t="shared" si="0"/>
        <v>1.1291246977911618E-2</v>
      </c>
      <c r="F33" s="246">
        <v>22519.4</v>
      </c>
      <c r="G33" s="249">
        <f t="shared" si="1"/>
        <v>1.6814918499119536E-2</v>
      </c>
    </row>
    <row r="34" spans="1:7" s="247" customFormat="1" x14ac:dyDescent="0.45">
      <c r="A34"/>
      <c r="B34" s="48">
        <v>45382</v>
      </c>
      <c r="C34" s="246">
        <v>1603.91</v>
      </c>
      <c r="D34" s="249">
        <f t="shared" si="0"/>
        <v>4.4804023112049229E-2</v>
      </c>
      <c r="F34" s="246">
        <v>22513.7</v>
      </c>
      <c r="G34" s="249">
        <f t="shared" si="1"/>
        <v>-2.5311509187642134E-4</v>
      </c>
    </row>
    <row r="35" spans="1:7" s="247" customFormat="1" x14ac:dyDescent="0.45">
      <c r="A35"/>
      <c r="B35" s="48">
        <v>45375</v>
      </c>
      <c r="C35" s="246">
        <v>1615.43</v>
      </c>
      <c r="D35" s="249">
        <f t="shared" si="0"/>
        <v>7.1824478929616298E-3</v>
      </c>
      <c r="F35" s="246">
        <v>22326.9</v>
      </c>
      <c r="G35" s="249">
        <f t="shared" si="1"/>
        <v>-8.2971701674979803E-3</v>
      </c>
    </row>
    <row r="36" spans="1:7" s="247" customFormat="1" x14ac:dyDescent="0.45">
      <c r="A36"/>
      <c r="B36" s="48">
        <v>45368</v>
      </c>
      <c r="C36" s="246">
        <v>1603.81</v>
      </c>
      <c r="D36" s="249">
        <f t="shared" si="0"/>
        <v>-7.1931312405985048E-3</v>
      </c>
      <c r="F36" s="246">
        <v>22096.75</v>
      </c>
      <c r="G36" s="249">
        <f t="shared" si="1"/>
        <v>-1.0308193255669229E-2</v>
      </c>
    </row>
    <row r="37" spans="1:7" s="247" customFormat="1" x14ac:dyDescent="0.45">
      <c r="A37"/>
      <c r="B37" s="48">
        <v>45361</v>
      </c>
      <c r="C37" s="246">
        <v>1543.31</v>
      </c>
      <c r="D37" s="249">
        <f t="shared" si="0"/>
        <v>-3.7722672885192154E-2</v>
      </c>
      <c r="F37" s="246">
        <v>22023.35</v>
      </c>
      <c r="G37" s="249">
        <f t="shared" si="1"/>
        <v>-3.3217554617761547E-3</v>
      </c>
    </row>
    <row r="38" spans="1:7" s="247" customFormat="1" x14ac:dyDescent="0.45">
      <c r="A38"/>
      <c r="B38" s="48">
        <v>45354</v>
      </c>
      <c r="C38" s="246">
        <v>1600.62</v>
      </c>
      <c r="D38" s="249">
        <f t="shared" si="0"/>
        <v>3.713447071553988E-2</v>
      </c>
      <c r="F38" s="246">
        <v>22493.55</v>
      </c>
      <c r="G38" s="249">
        <f t="shared" si="1"/>
        <v>2.1350067087886337E-2</v>
      </c>
    </row>
    <row r="39" spans="1:7" s="247" customFormat="1" x14ac:dyDescent="0.45">
      <c r="A39"/>
      <c r="B39" s="48">
        <v>45347</v>
      </c>
      <c r="C39" s="246">
        <v>1554.32</v>
      </c>
      <c r="D39" s="249">
        <f t="shared" si="0"/>
        <v>-2.8926291062213338E-2</v>
      </c>
      <c r="F39" s="246">
        <v>22338.75</v>
      </c>
      <c r="G39" s="249">
        <f t="shared" si="1"/>
        <v>-6.8819728322118134E-3</v>
      </c>
    </row>
    <row r="40" spans="1:7" s="247" customFormat="1" x14ac:dyDescent="0.45">
      <c r="A40"/>
      <c r="B40" s="48">
        <v>45340</v>
      </c>
      <c r="C40" s="246">
        <v>1556.31</v>
      </c>
      <c r="D40" s="249">
        <f t="shared" si="0"/>
        <v>1.2803026403829243E-3</v>
      </c>
      <c r="F40" s="246">
        <v>22212.7</v>
      </c>
      <c r="G40" s="249">
        <f t="shared" si="1"/>
        <v>-5.6426612948351496E-3</v>
      </c>
    </row>
    <row r="41" spans="1:7" s="247" customFormat="1" x14ac:dyDescent="0.45">
      <c r="A41"/>
      <c r="B41" s="48">
        <v>45333</v>
      </c>
      <c r="C41" s="246">
        <v>1505.18</v>
      </c>
      <c r="D41" s="249">
        <f t="shared" si="0"/>
        <v>-3.2853351838643907E-2</v>
      </c>
      <c r="F41" s="246">
        <v>22040.7</v>
      </c>
      <c r="G41" s="249">
        <f t="shared" si="1"/>
        <v>-7.7433180117680855E-3</v>
      </c>
    </row>
    <row r="42" spans="1:7" s="247" customFormat="1" x14ac:dyDescent="0.45">
      <c r="A42"/>
      <c r="B42" s="48">
        <v>45326</v>
      </c>
      <c r="C42" s="246">
        <v>1521.28</v>
      </c>
      <c r="D42" s="249">
        <f t="shared" si="0"/>
        <v>1.069639511553433E-2</v>
      </c>
      <c r="F42" s="246">
        <v>21782.5</v>
      </c>
      <c r="G42" s="249">
        <f t="shared" si="1"/>
        <v>-1.1714691457167858E-2</v>
      </c>
    </row>
    <row r="43" spans="1:7" s="247" customFormat="1" x14ac:dyDescent="0.45">
      <c r="A43"/>
      <c r="B43" s="48">
        <v>45319</v>
      </c>
      <c r="C43" s="246">
        <v>1404.17</v>
      </c>
      <c r="D43" s="249">
        <f t="shared" si="0"/>
        <v>-7.6981226335717245E-2</v>
      </c>
      <c r="F43" s="246">
        <v>21853.8</v>
      </c>
      <c r="G43" s="249">
        <f t="shared" si="1"/>
        <v>3.273269826695735E-3</v>
      </c>
    </row>
    <row r="44" spans="1:7" s="247" customFormat="1" x14ac:dyDescent="0.45">
      <c r="A44"/>
      <c r="B44" s="48">
        <v>45312</v>
      </c>
      <c r="C44" s="246">
        <v>1356.24</v>
      </c>
      <c r="D44" s="249">
        <f t="shared" si="0"/>
        <v>-3.413404359870964E-2</v>
      </c>
      <c r="F44" s="246">
        <v>21352.6</v>
      </c>
      <c r="G44" s="249">
        <f t="shared" si="1"/>
        <v>-2.2934226541837188E-2</v>
      </c>
    </row>
    <row r="45" spans="1:7" s="247" customFormat="1" x14ac:dyDescent="0.45">
      <c r="A45"/>
      <c r="B45" s="48">
        <v>45305</v>
      </c>
      <c r="C45" s="246">
        <v>1323.83</v>
      </c>
      <c r="D45" s="249">
        <f t="shared" si="0"/>
        <v>-2.3896950392261029E-2</v>
      </c>
      <c r="F45" s="246">
        <v>21622.400000000001</v>
      </c>
      <c r="G45" s="249">
        <f t="shared" si="1"/>
        <v>1.2635463596939234E-2</v>
      </c>
    </row>
    <row r="46" spans="1:7" s="247" customFormat="1" x14ac:dyDescent="0.45">
      <c r="A46"/>
      <c r="B46" s="48">
        <v>45298</v>
      </c>
      <c r="C46" s="246">
        <v>1314.27</v>
      </c>
      <c r="D46" s="249">
        <f t="shared" si="0"/>
        <v>-7.2214710348005307E-3</v>
      </c>
      <c r="F46" s="246">
        <v>21894.55</v>
      </c>
      <c r="G46" s="249">
        <f t="shared" si="1"/>
        <v>1.2586484386561958E-2</v>
      </c>
    </row>
    <row r="47" spans="1:7" s="247" customFormat="1" x14ac:dyDescent="0.45">
      <c r="A47"/>
      <c r="B47" s="48">
        <v>45291</v>
      </c>
      <c r="C47" s="246">
        <v>1288.74</v>
      </c>
      <c r="D47" s="249">
        <f t="shared" si="0"/>
        <v>-1.94252322582118E-2</v>
      </c>
      <c r="F47" s="246">
        <v>21710.799999999999</v>
      </c>
      <c r="G47" s="249">
        <f t="shared" si="1"/>
        <v>-8.3924995033010097E-3</v>
      </c>
    </row>
    <row r="48" spans="1:7" s="247" customFormat="1" x14ac:dyDescent="0.45">
      <c r="A48"/>
      <c r="B48" s="48">
        <v>45284</v>
      </c>
      <c r="C48" s="246">
        <v>1248.3499999999999</v>
      </c>
      <c r="D48" s="249">
        <f t="shared" si="0"/>
        <v>-3.1340689355494611E-2</v>
      </c>
      <c r="F48" s="246">
        <v>21731.4</v>
      </c>
      <c r="G48" s="249">
        <f t="shared" si="1"/>
        <v>9.4883652375776784E-4</v>
      </c>
    </row>
    <row r="49" spans="1:7" s="247" customFormat="1" x14ac:dyDescent="0.45">
      <c r="A49"/>
      <c r="B49" s="48">
        <v>45277</v>
      </c>
      <c r="C49" s="246">
        <v>1232.69</v>
      </c>
      <c r="D49" s="249">
        <f t="shared" si="0"/>
        <v>-1.2544558817639162E-2</v>
      </c>
      <c r="F49" s="246">
        <v>21349.4</v>
      </c>
      <c r="G49" s="249">
        <f t="shared" si="1"/>
        <v>-1.7578250825993735E-2</v>
      </c>
    </row>
    <row r="50" spans="1:7" s="247" customFormat="1" x14ac:dyDescent="0.45">
      <c r="A50"/>
      <c r="B50" s="48">
        <v>45270</v>
      </c>
      <c r="C50" s="246">
        <v>1224.8599999999999</v>
      </c>
      <c r="D50" s="249">
        <f t="shared" si="0"/>
        <v>-6.3519619693517271E-3</v>
      </c>
      <c r="F50" s="246">
        <v>21456.65</v>
      </c>
      <c r="G50" s="249">
        <f t="shared" si="1"/>
        <v>5.023560381087977E-3</v>
      </c>
    </row>
    <row r="51" spans="1:7" s="247" customFormat="1" x14ac:dyDescent="0.45">
      <c r="A51"/>
      <c r="B51" s="48">
        <v>45263</v>
      </c>
      <c r="C51" s="246">
        <v>1224.9100000000001</v>
      </c>
      <c r="D51" s="249">
        <f t="shared" si="0"/>
        <v>4.0820991787038352E-5</v>
      </c>
      <c r="F51" s="246">
        <v>20969.400000000001</v>
      </c>
      <c r="G51" s="249">
        <f t="shared" si="1"/>
        <v>-2.2708577527246754E-2</v>
      </c>
    </row>
    <row r="52" spans="1:7" s="247" customFormat="1" x14ac:dyDescent="0.45">
      <c r="A52"/>
      <c r="B52" s="48">
        <v>45256</v>
      </c>
      <c r="C52" s="246">
        <v>1220.4000000000001</v>
      </c>
      <c r="D52" s="249">
        <f t="shared" si="0"/>
        <v>-3.6819031602322028E-3</v>
      </c>
      <c r="F52" s="246">
        <v>20267.900000000001</v>
      </c>
      <c r="G52" s="249">
        <f t="shared" si="1"/>
        <v>-3.3453508445639879E-2</v>
      </c>
    </row>
    <row r="53" spans="1:7" s="247" customFormat="1" x14ac:dyDescent="0.45">
      <c r="A53"/>
      <c r="B53" s="48">
        <v>45249</v>
      </c>
      <c r="C53" s="246">
        <v>1184.92</v>
      </c>
      <c r="D53" s="249">
        <f t="shared" si="0"/>
        <v>-2.9072435267125551E-2</v>
      </c>
      <c r="F53" s="246">
        <v>19794.7</v>
      </c>
      <c r="G53" s="249">
        <f t="shared" si="1"/>
        <v>-2.3347263406667706E-2</v>
      </c>
    </row>
    <row r="54" spans="1:7" s="247" customFormat="1" x14ac:dyDescent="0.45">
      <c r="A54"/>
      <c r="B54" s="48">
        <v>45242</v>
      </c>
      <c r="C54" s="246">
        <v>1184.07</v>
      </c>
      <c r="D54" s="249">
        <f t="shared" si="0"/>
        <v>-7.173480066166027E-4</v>
      </c>
      <c r="F54" s="246">
        <v>19731.8</v>
      </c>
      <c r="G54" s="249">
        <f t="shared" si="1"/>
        <v>-3.1776182513502116E-3</v>
      </c>
    </row>
    <row r="55" spans="1:7" s="247" customFormat="1" x14ac:dyDescent="0.45">
      <c r="A55"/>
      <c r="B55" s="48">
        <v>45235</v>
      </c>
      <c r="C55" s="246">
        <v>1168.96</v>
      </c>
      <c r="D55" s="249">
        <f t="shared" si="0"/>
        <v>-1.2761069869179908E-2</v>
      </c>
      <c r="F55" s="246">
        <v>19425.349999999999</v>
      </c>
      <c r="G55" s="249">
        <f t="shared" si="1"/>
        <v>-1.5530767593427863E-2</v>
      </c>
    </row>
    <row r="56" spans="1:7" s="247" customFormat="1" x14ac:dyDescent="0.45">
      <c r="A56"/>
      <c r="B56" s="48">
        <v>45228</v>
      </c>
      <c r="C56" s="246">
        <v>1131.05</v>
      </c>
      <c r="D56" s="249">
        <f t="shared" si="0"/>
        <v>-3.2430536545305255E-2</v>
      </c>
      <c r="F56" s="246">
        <v>19230.599999999999</v>
      </c>
      <c r="G56" s="249">
        <f t="shared" si="1"/>
        <v>-1.0025559385030358E-2</v>
      </c>
    </row>
    <row r="57" spans="1:7" s="247" customFormat="1" x14ac:dyDescent="0.45">
      <c r="A57"/>
      <c r="B57" s="48">
        <v>45221</v>
      </c>
      <c r="C57" s="246">
        <v>1101.51</v>
      </c>
      <c r="D57" s="249">
        <f t="shared" si="0"/>
        <v>-2.6117324609875703E-2</v>
      </c>
      <c r="F57" s="246">
        <v>19047.25</v>
      </c>
      <c r="G57" s="249">
        <f t="shared" si="1"/>
        <v>-9.5342839016983039E-3</v>
      </c>
    </row>
    <row r="58" spans="1:7" s="247" customFormat="1" x14ac:dyDescent="0.45">
      <c r="A58"/>
      <c r="B58" s="48">
        <v>45214</v>
      </c>
      <c r="C58" s="246">
        <v>1132.1400000000001</v>
      </c>
      <c r="D58" s="249">
        <f t="shared" si="0"/>
        <v>2.7807282730070604E-2</v>
      </c>
      <c r="F58" s="246">
        <v>19542.650000000001</v>
      </c>
      <c r="G58" s="249">
        <f t="shared" si="1"/>
        <v>2.6009003924451157E-2</v>
      </c>
    </row>
    <row r="59" spans="1:7" s="247" customFormat="1" x14ac:dyDescent="0.45">
      <c r="A59"/>
      <c r="B59" s="48">
        <v>45207</v>
      </c>
      <c r="C59" s="246">
        <v>1135.21</v>
      </c>
      <c r="D59" s="249">
        <f t="shared" si="0"/>
        <v>2.711678767643555E-3</v>
      </c>
      <c r="F59" s="246">
        <v>19751.05</v>
      </c>
      <c r="G59" s="249">
        <f t="shared" si="1"/>
        <v>1.0663855720692839E-2</v>
      </c>
    </row>
    <row r="60" spans="1:7" s="247" customFormat="1" x14ac:dyDescent="0.45">
      <c r="A60"/>
      <c r="B60" s="48">
        <v>45200</v>
      </c>
      <c r="C60" s="246">
        <v>1117.3699999999999</v>
      </c>
      <c r="D60" s="249">
        <f t="shared" si="0"/>
        <v>-1.571515402436563E-2</v>
      </c>
      <c r="F60" s="246">
        <v>19653.5</v>
      </c>
      <c r="G60" s="249">
        <f t="shared" si="1"/>
        <v>-4.9389779277556611E-3</v>
      </c>
    </row>
    <row r="61" spans="1:7" s="247" customFormat="1" x14ac:dyDescent="0.45">
      <c r="A61"/>
      <c r="B61" s="48">
        <v>45193</v>
      </c>
      <c r="C61" s="246">
        <v>1148.44</v>
      </c>
      <c r="D61" s="249">
        <f t="shared" si="0"/>
        <v>2.7806366736175203E-2</v>
      </c>
      <c r="F61" s="246">
        <v>19638.3</v>
      </c>
      <c r="G61" s="249">
        <f t="shared" si="1"/>
        <v>-7.7339914010232658E-4</v>
      </c>
    </row>
    <row r="62" spans="1:7" s="247" customFormat="1" x14ac:dyDescent="0.45">
      <c r="A62"/>
      <c r="B62" s="48">
        <v>45186</v>
      </c>
      <c r="C62" s="246">
        <v>1122.3699999999999</v>
      </c>
      <c r="D62" s="249">
        <f t="shared" si="0"/>
        <v>-2.2700358747518523E-2</v>
      </c>
      <c r="F62" s="246">
        <v>19674.25</v>
      </c>
      <c r="G62" s="249">
        <f t="shared" si="1"/>
        <v>1.8306065188942178E-3</v>
      </c>
    </row>
    <row r="63" spans="1:7" s="247" customFormat="1" x14ac:dyDescent="0.45">
      <c r="A63"/>
      <c r="B63" s="48">
        <v>45179</v>
      </c>
      <c r="C63" s="246">
        <v>1139.67</v>
      </c>
      <c r="D63" s="249">
        <f t="shared" si="0"/>
        <v>1.5413811844579017E-2</v>
      </c>
      <c r="F63" s="246">
        <v>20192.349999999999</v>
      </c>
      <c r="G63" s="249">
        <f t="shared" si="1"/>
        <v>2.6333913618054039E-2</v>
      </c>
    </row>
    <row r="64" spans="1:7" s="247" customFormat="1" x14ac:dyDescent="0.45">
      <c r="A64"/>
      <c r="B64" s="48">
        <v>45172</v>
      </c>
      <c r="C64" s="246">
        <v>1120.49</v>
      </c>
      <c r="D64" s="249">
        <f t="shared" si="0"/>
        <v>-1.6829433081506084E-2</v>
      </c>
      <c r="F64" s="246">
        <v>19819.95</v>
      </c>
      <c r="G64" s="249">
        <f t="shared" si="1"/>
        <v>-1.8442628024969765E-2</v>
      </c>
    </row>
    <row r="65" spans="1:7" s="247" customFormat="1" x14ac:dyDescent="0.45">
      <c r="A65"/>
      <c r="B65" s="48">
        <v>45165</v>
      </c>
      <c r="C65" s="246">
        <v>1099.23</v>
      </c>
      <c r="D65" s="249">
        <f t="shared" si="0"/>
        <v>-1.8973841801354752E-2</v>
      </c>
      <c r="F65" s="246">
        <v>19435.3</v>
      </c>
      <c r="G65" s="249">
        <f t="shared" si="1"/>
        <v>-1.940721343898455E-2</v>
      </c>
    </row>
    <row r="66" spans="1:7" s="247" customFormat="1" x14ac:dyDescent="0.45">
      <c r="A66"/>
      <c r="B66" s="48">
        <v>45158</v>
      </c>
      <c r="C66" s="246">
        <v>1096.55</v>
      </c>
      <c r="D66" s="249">
        <f t="shared" si="0"/>
        <v>-2.4380702855636427E-3</v>
      </c>
      <c r="F66" s="246">
        <v>19265.8</v>
      </c>
      <c r="G66" s="249">
        <f t="shared" si="1"/>
        <v>-8.7212443337638668E-3</v>
      </c>
    </row>
    <row r="67" spans="1:7" s="247" customFormat="1" x14ac:dyDescent="0.45">
      <c r="A67"/>
      <c r="B67" s="48">
        <v>45151</v>
      </c>
      <c r="C67" s="246">
        <v>1124.9000000000001</v>
      </c>
      <c r="D67" s="249">
        <f t="shared" si="0"/>
        <v>2.5853814235557104E-2</v>
      </c>
      <c r="F67" s="246">
        <v>19310.150000000001</v>
      </c>
      <c r="G67" s="249">
        <f t="shared" si="1"/>
        <v>2.3020066646597392E-3</v>
      </c>
    </row>
    <row r="68" spans="1:7" s="247" customFormat="1" x14ac:dyDescent="0.45">
      <c r="A68"/>
      <c r="B68" s="48">
        <v>45144</v>
      </c>
      <c r="C68" s="246">
        <v>1122.3699999999999</v>
      </c>
      <c r="D68" s="249">
        <f t="shared" si="0"/>
        <v>-2.2490888078942062E-3</v>
      </c>
      <c r="F68" s="246">
        <v>19428.3</v>
      </c>
      <c r="G68" s="249">
        <f t="shared" si="1"/>
        <v>6.1185438745943177E-3</v>
      </c>
    </row>
    <row r="69" spans="1:7" s="247" customFormat="1" x14ac:dyDescent="0.45">
      <c r="A69"/>
      <c r="B69" s="48">
        <v>45137</v>
      </c>
      <c r="C69" s="246">
        <v>1128.9100000000001</v>
      </c>
      <c r="D69" s="249">
        <f t="shared" si="0"/>
        <v>5.8269554603207485E-3</v>
      </c>
      <c r="F69" s="246">
        <v>19517</v>
      </c>
      <c r="G69" s="249">
        <f t="shared" si="1"/>
        <v>4.5655049592605579E-3</v>
      </c>
    </row>
    <row r="70" spans="1:7" s="247" customFormat="1" x14ac:dyDescent="0.45">
      <c r="A70"/>
      <c r="B70" s="48">
        <v>45130</v>
      </c>
      <c r="C70" s="246">
        <v>1124.54</v>
      </c>
      <c r="D70" s="249">
        <f t="shared" si="0"/>
        <v>-3.8709906015538253E-3</v>
      </c>
      <c r="F70" s="246">
        <v>19646.05</v>
      </c>
      <c r="G70" s="249">
        <f t="shared" si="1"/>
        <v>6.6121842496285055E-3</v>
      </c>
    </row>
    <row r="71" spans="1:7" s="247" customFormat="1" x14ac:dyDescent="0.45">
      <c r="A71"/>
      <c r="B71" s="48">
        <v>45123</v>
      </c>
      <c r="C71" s="246">
        <v>1083.6500000000001</v>
      </c>
      <c r="D71" s="249">
        <f t="shared" si="0"/>
        <v>-3.6361534494104175E-2</v>
      </c>
      <c r="F71" s="246">
        <v>19745</v>
      </c>
      <c r="G71" s="249">
        <f t="shared" si="1"/>
        <v>5.0366358631888097E-3</v>
      </c>
    </row>
    <row r="72" spans="1:7" s="247" customFormat="1" x14ac:dyDescent="0.45">
      <c r="A72"/>
      <c r="B72" s="48">
        <v>45116</v>
      </c>
      <c r="C72" s="246">
        <v>1059.75</v>
      </c>
      <c r="D72" s="249">
        <f t="shared" si="0"/>
        <v>-2.205509158861263E-2</v>
      </c>
      <c r="F72" s="246">
        <v>19564.5</v>
      </c>
      <c r="G72" s="249">
        <f t="shared" si="1"/>
        <v>-9.1415548240060263E-3</v>
      </c>
    </row>
    <row r="73" spans="1:7" s="247" customFormat="1" x14ac:dyDescent="0.45">
      <c r="A73"/>
      <c r="B73" s="48">
        <v>45109</v>
      </c>
      <c r="C73" s="246">
        <v>1022.96</v>
      </c>
      <c r="D73" s="249">
        <f t="shared" si="0"/>
        <v>-3.4715734843123291E-2</v>
      </c>
      <c r="F73" s="246">
        <v>19331.8</v>
      </c>
      <c r="G73" s="249">
        <f t="shared" si="1"/>
        <v>-1.1893991668583404E-2</v>
      </c>
    </row>
    <row r="74" spans="1:7" s="247" customFormat="1" x14ac:dyDescent="0.45">
      <c r="A74"/>
      <c r="B74" s="48">
        <v>45102</v>
      </c>
      <c r="C74" s="246">
        <v>1038.6600000000001</v>
      </c>
      <c r="D74" s="249">
        <f t="shared" ref="D74:D112" si="2">C74/C73-1</f>
        <v>1.5347618675217056E-2</v>
      </c>
      <c r="F74" s="246">
        <v>19189.05</v>
      </c>
      <c r="G74" s="249">
        <f t="shared" ref="G74:G112" si="3">F74/F73-1</f>
        <v>-7.3842063336058139E-3</v>
      </c>
    </row>
    <row r="75" spans="1:7" s="247" customFormat="1" x14ac:dyDescent="0.45">
      <c r="A75"/>
      <c r="B75" s="48">
        <v>45095</v>
      </c>
      <c r="C75" s="246">
        <v>979.25</v>
      </c>
      <c r="D75" s="249">
        <f t="shared" si="2"/>
        <v>-5.7198698322839081E-2</v>
      </c>
      <c r="F75" s="246">
        <v>18665.5</v>
      </c>
      <c r="G75" s="249">
        <f t="shared" si="3"/>
        <v>-2.7283789452838936E-2</v>
      </c>
    </row>
    <row r="76" spans="1:7" s="247" customFormat="1" x14ac:dyDescent="0.45">
      <c r="A76"/>
      <c r="B76" s="48">
        <v>45088</v>
      </c>
      <c r="C76" s="246">
        <v>979.79</v>
      </c>
      <c r="D76" s="249">
        <f t="shared" si="2"/>
        <v>5.5144243043137031E-4</v>
      </c>
      <c r="F76" s="246">
        <v>18826</v>
      </c>
      <c r="G76" s="249">
        <f t="shared" si="3"/>
        <v>8.598751707695973E-3</v>
      </c>
    </row>
    <row r="77" spans="1:7" s="247" customFormat="1" x14ac:dyDescent="0.45">
      <c r="A77"/>
      <c r="B77" s="48">
        <v>45081</v>
      </c>
      <c r="C77" s="246">
        <v>971.84</v>
      </c>
      <c r="D77" s="249">
        <f t="shared" si="2"/>
        <v>-8.1139836087323891E-3</v>
      </c>
      <c r="F77" s="246">
        <v>18563.400000000001</v>
      </c>
      <c r="G77" s="249">
        <f t="shared" si="3"/>
        <v>-1.3948794220758454E-2</v>
      </c>
    </row>
    <row r="78" spans="1:7" s="247" customFormat="1" x14ac:dyDescent="0.45">
      <c r="A78"/>
      <c r="B78" s="48">
        <v>45074</v>
      </c>
      <c r="C78" s="246">
        <v>987.3</v>
      </c>
      <c r="D78" s="249">
        <f t="shared" si="2"/>
        <v>1.5907968389858418E-2</v>
      </c>
      <c r="F78" s="246">
        <v>18534.099999999999</v>
      </c>
      <c r="G78" s="249">
        <f t="shared" si="3"/>
        <v>-1.5783746511954799E-3</v>
      </c>
    </row>
    <row r="79" spans="1:7" s="247" customFormat="1" x14ac:dyDescent="0.45">
      <c r="A79"/>
      <c r="B79" s="48">
        <v>45067</v>
      </c>
      <c r="C79" s="246">
        <v>957.97</v>
      </c>
      <c r="D79" s="249">
        <f t="shared" si="2"/>
        <v>-2.9707282487592357E-2</v>
      </c>
      <c r="F79" s="246">
        <v>18499.349999999999</v>
      </c>
      <c r="G79" s="249">
        <f t="shared" si="3"/>
        <v>-1.874922440258775E-3</v>
      </c>
    </row>
    <row r="80" spans="1:7" s="247" customFormat="1" x14ac:dyDescent="0.45">
      <c r="A80"/>
      <c r="B80" s="48">
        <v>45060</v>
      </c>
      <c r="C80" s="246">
        <v>914.46</v>
      </c>
      <c r="D80" s="249">
        <f t="shared" si="2"/>
        <v>-4.5418958840047208E-2</v>
      </c>
      <c r="F80" s="246">
        <v>18203.400000000001</v>
      </c>
      <c r="G80" s="249">
        <f t="shared" si="3"/>
        <v>-1.599785938424847E-2</v>
      </c>
    </row>
    <row r="81" spans="1:7" s="247" customFormat="1" x14ac:dyDescent="0.45">
      <c r="A81"/>
      <c r="B81" s="48">
        <v>45053</v>
      </c>
      <c r="C81" s="246">
        <v>944.24</v>
      </c>
      <c r="D81" s="249">
        <f t="shared" si="2"/>
        <v>3.2565667169695667E-2</v>
      </c>
      <c r="F81" s="246">
        <v>18314.8</v>
      </c>
      <c r="G81" s="249">
        <f t="shared" si="3"/>
        <v>6.1197358735181062E-3</v>
      </c>
    </row>
    <row r="82" spans="1:7" s="247" customFormat="1" x14ac:dyDescent="0.45">
      <c r="A82"/>
      <c r="B82" s="48">
        <v>45046</v>
      </c>
      <c r="C82" s="246">
        <v>958.51</v>
      </c>
      <c r="D82" s="249">
        <f t="shared" si="2"/>
        <v>1.5112683216131462E-2</v>
      </c>
      <c r="F82" s="246">
        <v>18069</v>
      </c>
      <c r="G82" s="249">
        <f t="shared" si="3"/>
        <v>-1.3420839976412524E-2</v>
      </c>
    </row>
    <row r="83" spans="1:7" s="247" customFormat="1" x14ac:dyDescent="0.45">
      <c r="A83"/>
      <c r="B83" s="48">
        <v>45039</v>
      </c>
      <c r="C83" s="246">
        <v>975.5</v>
      </c>
      <c r="D83" s="249">
        <f t="shared" si="2"/>
        <v>1.77254280080541E-2</v>
      </c>
      <c r="F83" s="246">
        <v>18065</v>
      </c>
      <c r="G83" s="249">
        <f t="shared" si="3"/>
        <v>-2.2137362333274346E-4</v>
      </c>
    </row>
    <row r="84" spans="1:7" s="247" customFormat="1" x14ac:dyDescent="0.45">
      <c r="A84"/>
      <c r="B84" s="48">
        <v>45032</v>
      </c>
      <c r="C84" s="246">
        <v>977.28</v>
      </c>
      <c r="D84" s="249">
        <f t="shared" si="2"/>
        <v>1.8247052793438634E-3</v>
      </c>
      <c r="F84" s="246">
        <v>17624.05</v>
      </c>
      <c r="G84" s="249">
        <f t="shared" si="3"/>
        <v>-2.4409078328259115E-2</v>
      </c>
    </row>
    <row r="85" spans="1:7" s="247" customFormat="1" x14ac:dyDescent="0.45">
      <c r="A85"/>
      <c r="B85" s="48">
        <v>45025</v>
      </c>
      <c r="C85" s="246">
        <v>991.15</v>
      </c>
      <c r="D85" s="249">
        <f t="shared" si="2"/>
        <v>1.4192452521283538E-2</v>
      </c>
      <c r="F85" s="246">
        <v>17828</v>
      </c>
      <c r="G85" s="249">
        <f t="shared" si="3"/>
        <v>1.15722549584234E-2</v>
      </c>
    </row>
    <row r="86" spans="1:7" s="247" customFormat="1" x14ac:dyDescent="0.45">
      <c r="A86"/>
      <c r="B86" s="48">
        <v>45018</v>
      </c>
      <c r="C86" s="246">
        <v>999.65</v>
      </c>
      <c r="D86" s="249">
        <f t="shared" si="2"/>
        <v>8.5758966856681607E-3</v>
      </c>
      <c r="F86" s="246">
        <v>17599.150000000001</v>
      </c>
      <c r="G86" s="249">
        <f t="shared" si="3"/>
        <v>-1.2836549248373297E-2</v>
      </c>
    </row>
    <row r="87" spans="1:7" s="247" customFormat="1" x14ac:dyDescent="0.45">
      <c r="A87"/>
      <c r="B87" s="48">
        <v>45011</v>
      </c>
      <c r="C87" s="246">
        <v>971</v>
      </c>
      <c r="D87" s="249">
        <f t="shared" si="2"/>
        <v>-2.8660031010853793E-2</v>
      </c>
      <c r="F87" s="246">
        <v>17359.75</v>
      </c>
      <c r="G87" s="249">
        <f t="shared" si="3"/>
        <v>-1.3602929686945209E-2</v>
      </c>
    </row>
    <row r="88" spans="1:7" s="247" customFormat="1" x14ac:dyDescent="0.45">
      <c r="A88"/>
      <c r="B88" s="48">
        <v>45004</v>
      </c>
      <c r="C88" s="246">
        <v>960.88</v>
      </c>
      <c r="D88" s="249">
        <f t="shared" si="2"/>
        <v>-1.0422245108135941E-2</v>
      </c>
      <c r="F88" s="246">
        <v>16945.05</v>
      </c>
      <c r="G88" s="249">
        <f t="shared" si="3"/>
        <v>-2.388859286568068E-2</v>
      </c>
    </row>
    <row r="89" spans="1:7" s="247" customFormat="1" x14ac:dyDescent="0.45">
      <c r="A89"/>
      <c r="B89" s="48">
        <v>44997</v>
      </c>
      <c r="C89" s="246">
        <v>945.92</v>
      </c>
      <c r="D89" s="249">
        <f t="shared" si="2"/>
        <v>-1.5569061693447739E-2</v>
      </c>
      <c r="F89" s="246">
        <v>17100.05</v>
      </c>
      <c r="G89" s="249">
        <f t="shared" si="3"/>
        <v>9.1472140831687643E-3</v>
      </c>
    </row>
    <row r="90" spans="1:7" s="247" customFormat="1" x14ac:dyDescent="0.45">
      <c r="A90"/>
      <c r="B90" s="48">
        <v>44990</v>
      </c>
      <c r="C90" s="246">
        <v>943.79</v>
      </c>
      <c r="D90" s="249">
        <f t="shared" si="2"/>
        <v>-2.2517760487145155E-3</v>
      </c>
      <c r="F90" s="246">
        <v>17412.900000000001</v>
      </c>
      <c r="G90" s="249">
        <f t="shared" si="3"/>
        <v>1.829526814249105E-2</v>
      </c>
    </row>
    <row r="91" spans="1:7" s="247" customFormat="1" x14ac:dyDescent="0.45">
      <c r="A91"/>
      <c r="B91" s="48">
        <v>44983</v>
      </c>
      <c r="C91" s="246">
        <v>955</v>
      </c>
      <c r="D91" s="249">
        <f t="shared" si="2"/>
        <v>1.1877642272115629E-2</v>
      </c>
      <c r="F91" s="246">
        <v>17594.349999999999</v>
      </c>
      <c r="G91" s="249">
        <f t="shared" si="3"/>
        <v>1.0420435424311592E-2</v>
      </c>
    </row>
    <row r="92" spans="1:7" s="247" customFormat="1" x14ac:dyDescent="0.45">
      <c r="A92"/>
      <c r="B92" s="48">
        <v>44976</v>
      </c>
      <c r="C92" s="246">
        <v>958.56</v>
      </c>
      <c r="D92" s="249">
        <f t="shared" si="2"/>
        <v>3.7277486910993751E-3</v>
      </c>
      <c r="F92" s="246">
        <v>17465.8</v>
      </c>
      <c r="G92" s="249">
        <f t="shared" si="3"/>
        <v>-7.3063227683887177E-3</v>
      </c>
    </row>
    <row r="93" spans="1:7" s="247" customFormat="1" x14ac:dyDescent="0.45">
      <c r="A93"/>
      <c r="B93" s="48">
        <v>44969</v>
      </c>
      <c r="C93" s="246">
        <v>972.39</v>
      </c>
      <c r="D93" s="249">
        <f t="shared" si="2"/>
        <v>1.4427891837756723E-2</v>
      </c>
      <c r="F93" s="246">
        <v>17944.2</v>
      </c>
      <c r="G93" s="249">
        <f t="shared" si="3"/>
        <v>2.7390672056247123E-2</v>
      </c>
    </row>
    <row r="94" spans="1:7" s="247" customFormat="1" x14ac:dyDescent="0.45">
      <c r="A94"/>
      <c r="B94" s="48">
        <v>44962</v>
      </c>
      <c r="C94" s="246">
        <v>986.8</v>
      </c>
      <c r="D94" s="249">
        <f t="shared" si="2"/>
        <v>1.4819156922633914E-2</v>
      </c>
      <c r="F94" s="246">
        <v>17856.5</v>
      </c>
      <c r="G94" s="249">
        <f t="shared" si="3"/>
        <v>-4.8873730787664105E-3</v>
      </c>
    </row>
    <row r="95" spans="1:7" s="247" customFormat="1" x14ac:dyDescent="0.45">
      <c r="A95"/>
      <c r="B95" s="48">
        <v>44955</v>
      </c>
      <c r="C95" s="246">
        <v>1007.93</v>
      </c>
      <c r="D95" s="249">
        <f t="shared" si="2"/>
        <v>2.1412646939602764E-2</v>
      </c>
      <c r="F95" s="246">
        <v>17854.05</v>
      </c>
      <c r="G95" s="249">
        <f t="shared" si="3"/>
        <v>-1.3720493937785516E-4</v>
      </c>
    </row>
    <row r="96" spans="1:7" s="247" customFormat="1" x14ac:dyDescent="0.45">
      <c r="A96"/>
      <c r="B96" s="48">
        <v>44948</v>
      </c>
      <c r="C96" s="246">
        <v>1022.88</v>
      </c>
      <c r="D96" s="249">
        <f t="shared" si="2"/>
        <v>1.4832379232684767E-2</v>
      </c>
      <c r="F96" s="246">
        <v>17604.349999999999</v>
      </c>
      <c r="G96" s="249">
        <f t="shared" si="3"/>
        <v>-1.3985622309784063E-2</v>
      </c>
    </row>
    <row r="97" spans="1:7" s="247" customFormat="1" x14ac:dyDescent="0.45">
      <c r="A97"/>
      <c r="B97" s="48">
        <v>44941</v>
      </c>
      <c r="C97" s="246">
        <v>1010.09</v>
      </c>
      <c r="D97" s="249">
        <f t="shared" si="2"/>
        <v>-1.2503910527139062E-2</v>
      </c>
      <c r="F97" s="246">
        <v>18027.650000000001</v>
      </c>
      <c r="G97" s="249">
        <f t="shared" si="3"/>
        <v>2.4045193375501039E-2</v>
      </c>
    </row>
    <row r="98" spans="1:7" s="247" customFormat="1" x14ac:dyDescent="0.45">
      <c r="A98"/>
      <c r="B98" s="48">
        <v>44934</v>
      </c>
      <c r="C98" s="246">
        <v>1011.31</v>
      </c>
      <c r="D98" s="249">
        <f t="shared" si="2"/>
        <v>1.207813165163385E-3</v>
      </c>
      <c r="F98" s="246">
        <v>17956.599999999999</v>
      </c>
      <c r="G98" s="249">
        <f t="shared" si="3"/>
        <v>-3.9411681500363116E-3</v>
      </c>
    </row>
    <row r="99" spans="1:7" s="247" customFormat="1" x14ac:dyDescent="0.45">
      <c r="A99"/>
      <c r="B99" s="48">
        <v>44927</v>
      </c>
      <c r="C99" s="246">
        <v>988.86</v>
      </c>
      <c r="D99" s="249">
        <f t="shared" si="2"/>
        <v>-2.2198930100562619E-2</v>
      </c>
      <c r="F99" s="246">
        <v>17859.45</v>
      </c>
      <c r="G99" s="249">
        <f t="shared" si="3"/>
        <v>-5.4102669770444978E-3</v>
      </c>
    </row>
    <row r="100" spans="1:7" s="247" customFormat="1" x14ac:dyDescent="0.45">
      <c r="A100"/>
      <c r="B100" s="48">
        <v>44920</v>
      </c>
      <c r="C100" s="246">
        <v>981.71</v>
      </c>
      <c r="D100" s="249">
        <f t="shared" si="2"/>
        <v>-7.2305483081528399E-3</v>
      </c>
      <c r="F100" s="246">
        <v>18105.3</v>
      </c>
      <c r="G100" s="249">
        <f t="shared" si="3"/>
        <v>1.3765821455867799E-2</v>
      </c>
    </row>
    <row r="101" spans="1:7" s="247" customFormat="1" x14ac:dyDescent="0.45">
      <c r="A101"/>
      <c r="B101" s="48">
        <v>44913</v>
      </c>
      <c r="C101" s="246">
        <v>981.85</v>
      </c>
      <c r="D101" s="249">
        <f t="shared" si="2"/>
        <v>1.4260830591528162E-4</v>
      </c>
      <c r="F101" s="246">
        <v>17806.8</v>
      </c>
      <c r="G101" s="249">
        <f t="shared" si="3"/>
        <v>-1.6486885055757128E-2</v>
      </c>
    </row>
    <row r="102" spans="1:7" s="247" customFormat="1" x14ac:dyDescent="0.45">
      <c r="A102"/>
      <c r="B102" s="48">
        <v>44906</v>
      </c>
      <c r="C102" s="246">
        <v>974.11</v>
      </c>
      <c r="D102" s="249">
        <f t="shared" si="2"/>
        <v>-7.8830778632174026E-3</v>
      </c>
      <c r="F102" s="246">
        <v>18269</v>
      </c>
      <c r="G102" s="249">
        <f t="shared" si="3"/>
        <v>2.5956376215827692E-2</v>
      </c>
    </row>
    <row r="103" spans="1:7" s="247" customFormat="1" x14ac:dyDescent="0.45">
      <c r="A103"/>
      <c r="B103" s="48">
        <v>44899</v>
      </c>
      <c r="C103" s="246">
        <v>973.33</v>
      </c>
      <c r="D103" s="249">
        <f t="shared" si="2"/>
        <v>-8.0073092361232501E-4</v>
      </c>
      <c r="F103" s="246">
        <v>18496.599999999999</v>
      </c>
      <c r="G103" s="249">
        <f t="shared" si="3"/>
        <v>1.2458262630685724E-2</v>
      </c>
    </row>
    <row r="104" spans="1:7" s="247" customFormat="1" x14ac:dyDescent="0.45">
      <c r="A104"/>
      <c r="B104" s="48">
        <v>44892</v>
      </c>
      <c r="C104" s="246">
        <v>1019.55</v>
      </c>
      <c r="D104" s="249">
        <f t="shared" si="2"/>
        <v>4.7486463994739658E-2</v>
      </c>
      <c r="F104" s="246">
        <v>18696.099999999999</v>
      </c>
      <c r="G104" s="249">
        <f t="shared" si="3"/>
        <v>1.0785766032676225E-2</v>
      </c>
    </row>
    <row r="105" spans="1:7" s="247" customFormat="1" x14ac:dyDescent="0.45">
      <c r="A105"/>
      <c r="B105" s="48">
        <v>44885</v>
      </c>
      <c r="C105" s="246">
        <v>1013.52</v>
      </c>
      <c r="D105" s="249">
        <f t="shared" si="2"/>
        <v>-5.9143739885243463E-3</v>
      </c>
      <c r="F105" s="246">
        <v>18512.75</v>
      </c>
      <c r="G105" s="249">
        <f t="shared" si="3"/>
        <v>-9.8068581147938705E-3</v>
      </c>
    </row>
    <row r="106" spans="1:7" s="247" customFormat="1" x14ac:dyDescent="0.45">
      <c r="A106"/>
      <c r="B106" s="48">
        <v>44878</v>
      </c>
      <c r="C106" s="246">
        <v>989.75</v>
      </c>
      <c r="D106" s="249">
        <f t="shared" si="2"/>
        <v>-2.3452916568000637E-2</v>
      </c>
      <c r="F106" s="246">
        <v>18307.650000000001</v>
      </c>
      <c r="G106" s="249">
        <f t="shared" si="3"/>
        <v>-1.1078851062105821E-2</v>
      </c>
    </row>
    <row r="107" spans="1:7" s="247" customFormat="1" x14ac:dyDescent="0.45">
      <c r="A107"/>
      <c r="B107" s="48">
        <v>44871</v>
      </c>
      <c r="C107" s="246">
        <v>993.62</v>
      </c>
      <c r="D107" s="249">
        <f t="shared" si="2"/>
        <v>3.9100783026015939E-3</v>
      </c>
      <c r="F107" s="246">
        <v>18349.7</v>
      </c>
      <c r="G107" s="249">
        <f t="shared" si="3"/>
        <v>2.296854047351804E-3</v>
      </c>
    </row>
    <row r="108" spans="1:7" s="247" customFormat="1" x14ac:dyDescent="0.45">
      <c r="A108"/>
      <c r="B108" s="48">
        <v>44864</v>
      </c>
      <c r="C108" s="246">
        <v>1019.45</v>
      </c>
      <c r="D108" s="249">
        <f t="shared" si="2"/>
        <v>2.5995853545621062E-2</v>
      </c>
      <c r="F108" s="246">
        <v>18117.150000000001</v>
      </c>
      <c r="G108" s="249">
        <f t="shared" si="3"/>
        <v>-1.2673231714959932E-2</v>
      </c>
    </row>
    <row r="109" spans="1:7" s="247" customFormat="1" x14ac:dyDescent="0.45">
      <c r="A109"/>
      <c r="B109" s="48">
        <v>44857</v>
      </c>
      <c r="C109" s="246">
        <v>970.53</v>
      </c>
      <c r="D109" s="249">
        <f t="shared" si="2"/>
        <v>-4.798665947324543E-2</v>
      </c>
      <c r="F109" s="246">
        <v>17786.8</v>
      </c>
      <c r="G109" s="249">
        <f t="shared" si="3"/>
        <v>-1.8234104149935426E-2</v>
      </c>
    </row>
    <row r="110" spans="1:7" s="247" customFormat="1" x14ac:dyDescent="0.45">
      <c r="A110"/>
      <c r="B110" s="48">
        <v>44850</v>
      </c>
      <c r="C110" s="246">
        <v>958.47</v>
      </c>
      <c r="D110" s="249">
        <f t="shared" si="2"/>
        <v>-1.2426200117461539E-2</v>
      </c>
      <c r="F110" s="246">
        <v>17576.3</v>
      </c>
      <c r="G110" s="249">
        <f t="shared" si="3"/>
        <v>-1.1834618930892549E-2</v>
      </c>
    </row>
    <row r="111" spans="1:7" s="247" customFormat="1" x14ac:dyDescent="0.45">
      <c r="A111"/>
      <c r="B111" s="48">
        <v>44843</v>
      </c>
      <c r="C111" s="246">
        <v>957.1</v>
      </c>
      <c r="D111" s="249">
        <f t="shared" si="2"/>
        <v>-1.4293613780296255E-3</v>
      </c>
      <c r="F111" s="246">
        <v>17185.7</v>
      </c>
      <c r="G111" s="249">
        <f t="shared" si="3"/>
        <v>-2.2223107252379526E-2</v>
      </c>
    </row>
    <row r="112" spans="1:7" s="247" customFormat="1" x14ac:dyDescent="0.45">
      <c r="A112"/>
      <c r="B112" s="48">
        <v>44836</v>
      </c>
      <c r="C112" s="246">
        <v>936.37</v>
      </c>
      <c r="D112" s="249">
        <f t="shared" si="2"/>
        <v>-2.165917876919865E-2</v>
      </c>
      <c r="F112" s="246">
        <v>17314.650000000001</v>
      </c>
      <c r="G112" s="249">
        <f t="shared" si="3"/>
        <v>7.5033312579644296E-3</v>
      </c>
    </row>
  </sheetData>
  <mergeCells count="3">
    <mergeCell ref="B5:D5"/>
    <mergeCell ref="F5:G5"/>
    <mergeCell ref="I5:J5"/>
  </mergeCells>
  <pageMargins left="0.7" right="0.7" top="0.75" bottom="0.75" header="0.3" footer="0.3"/>
  <pageSetup paperSize="9" scale="53" fitToHeight="0" orientation="landscape" r:id="rId1"/>
  <customProperties>
    <customPr name="Smart" r:id="rId2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D693-C970-45A5-8A5A-834B0C7356AD}">
  <sheetPr>
    <tabColor theme="5" tint="-0.249977111117893"/>
    <pageSetUpPr fitToPage="1"/>
  </sheetPr>
  <dimension ref="A3:N44"/>
  <sheetViews>
    <sheetView showGridLines="0" zoomScaleNormal="100" workbookViewId="0">
      <selection activeCell="P22" sqref="P22"/>
    </sheetView>
  </sheetViews>
  <sheetFormatPr defaultRowHeight="14.25" x14ac:dyDescent="0.45"/>
  <cols>
    <col min="1" max="1" width="1.73046875" style="37" customWidth="1"/>
    <col min="4" max="4" width="6.53125" customWidth="1"/>
    <col min="5" max="5" width="4.9296875" customWidth="1"/>
    <col min="6" max="6" width="9.6640625" customWidth="1"/>
    <col min="7" max="7" width="8.9296875" customWidth="1"/>
    <col min="8" max="8" width="9" bestFit="1" customWidth="1"/>
    <col min="9" max="9" width="10.796875" customWidth="1"/>
    <col min="10" max="10" width="7.53125" customWidth="1"/>
    <col min="11" max="11" width="8.33203125" customWidth="1"/>
    <col min="12" max="12" width="9" customWidth="1"/>
    <col min="13" max="13" width="6.73046875" customWidth="1"/>
    <col min="14" max="14" width="8.86328125" customWidth="1"/>
  </cols>
  <sheetData>
    <row r="3" spans="2:14" ht="18" x14ac:dyDescent="0.55000000000000004">
      <c r="B3" s="255" t="s">
        <v>212</v>
      </c>
      <c r="C3" s="255"/>
      <c r="D3" s="255"/>
      <c r="E3" s="71"/>
      <c r="F3" s="71"/>
      <c r="G3" s="71"/>
      <c r="H3" s="71"/>
      <c r="I3" s="71"/>
      <c r="J3" s="71"/>
      <c r="K3" s="71"/>
      <c r="L3" s="71"/>
      <c r="M3" s="71"/>
      <c r="N3" s="71"/>
    </row>
    <row r="5" spans="2:14" x14ac:dyDescent="0.45">
      <c r="B5" s="38" t="s">
        <v>213</v>
      </c>
      <c r="C5" s="38"/>
      <c r="D5" s="38"/>
      <c r="E5" s="38"/>
    </row>
    <row r="7" spans="2:14" x14ac:dyDescent="0.45">
      <c r="B7" t="s">
        <v>214</v>
      </c>
    </row>
    <row r="8" spans="2:14" x14ac:dyDescent="0.45">
      <c r="B8" s="39"/>
      <c r="C8" s="39"/>
      <c r="D8" s="39"/>
      <c r="E8" s="39"/>
      <c r="F8" s="39"/>
      <c r="G8" s="39"/>
      <c r="H8" s="39"/>
      <c r="I8" s="39"/>
      <c r="J8" s="39"/>
      <c r="K8" s="39" t="s">
        <v>220</v>
      </c>
      <c r="L8" s="39" t="s">
        <v>220</v>
      </c>
      <c r="M8" s="39" t="s">
        <v>223</v>
      </c>
      <c r="N8" s="39" t="s">
        <v>224</v>
      </c>
    </row>
    <row r="9" spans="2:14" ht="15.75" x14ac:dyDescent="0.45">
      <c r="B9" s="40" t="s">
        <v>215</v>
      </c>
      <c r="C9" s="40"/>
      <c r="D9" s="40"/>
      <c r="E9" s="40"/>
      <c r="F9" s="40"/>
      <c r="G9" s="40" t="s">
        <v>216</v>
      </c>
      <c r="H9" s="40" t="s">
        <v>217</v>
      </c>
      <c r="I9" s="40" t="s">
        <v>218</v>
      </c>
      <c r="J9" s="40" t="s">
        <v>219</v>
      </c>
      <c r="K9" s="40" t="s">
        <v>221</v>
      </c>
      <c r="L9" s="40" t="s">
        <v>222</v>
      </c>
      <c r="M9" s="40" t="s">
        <v>225</v>
      </c>
      <c r="N9" s="40" t="s">
        <v>226</v>
      </c>
    </row>
    <row r="11" spans="2:14" x14ac:dyDescent="0.45">
      <c r="B11" s="14" t="s">
        <v>296</v>
      </c>
      <c r="C11" s="41"/>
      <c r="D11" s="41"/>
      <c r="E11" s="41"/>
      <c r="F11" s="41"/>
      <c r="G11" s="41" t="s">
        <v>228</v>
      </c>
      <c r="H11" s="145">
        <v>3273.67</v>
      </c>
      <c r="I11" s="145">
        <v>459436.64</v>
      </c>
      <c r="J11" s="140">
        <v>0.22</v>
      </c>
      <c r="K11" s="156">
        <f>H11/I11</f>
        <v>7.1254003598842271E-3</v>
      </c>
      <c r="L11" s="156">
        <f>H11/(H11+I11)</f>
        <v>7.0749882361601148E-3</v>
      </c>
      <c r="M11" s="157">
        <v>0.6</v>
      </c>
      <c r="N11" s="281">
        <f>M11/(1+(1-J11)*K11)</f>
        <v>0.59668374376122402</v>
      </c>
    </row>
    <row r="12" spans="2:14" x14ac:dyDescent="0.45">
      <c r="B12" s="14" t="s">
        <v>297</v>
      </c>
      <c r="C12" s="41"/>
      <c r="D12" s="41"/>
      <c r="E12" s="41"/>
      <c r="F12" s="41"/>
      <c r="G12" s="41" t="s">
        <v>228</v>
      </c>
      <c r="H12" s="145">
        <v>3</v>
      </c>
      <c r="I12" s="145">
        <v>143086.21</v>
      </c>
      <c r="J12" s="140">
        <v>0.22</v>
      </c>
      <c r="K12" s="156">
        <f t="shared" ref="K12:K15" si="0">H12/I12</f>
        <v>2.0966381036998604E-5</v>
      </c>
      <c r="L12" s="156">
        <f t="shared" ref="L12:L15" si="1">H12/(H12+I12)</f>
        <v>2.0965941457081215E-5</v>
      </c>
      <c r="M12" s="157">
        <v>0.79500000000000004</v>
      </c>
      <c r="N12" s="281">
        <f>M12/(1+(1-J12)*K12)</f>
        <v>0.79498699895973512</v>
      </c>
    </row>
    <row r="13" spans="2:14" x14ac:dyDescent="0.45">
      <c r="B13" s="14" t="s">
        <v>229</v>
      </c>
      <c r="C13" s="41"/>
      <c r="D13" s="41"/>
      <c r="E13" s="41"/>
      <c r="F13" s="41"/>
      <c r="G13" s="41" t="s">
        <v>228</v>
      </c>
      <c r="H13" s="145">
        <v>559.41</v>
      </c>
      <c r="I13" s="145">
        <v>131928.16</v>
      </c>
      <c r="J13" s="140">
        <v>0.22</v>
      </c>
      <c r="K13" s="156">
        <f t="shared" si="0"/>
        <v>4.2402622760751001E-3</v>
      </c>
      <c r="L13" s="156">
        <f t="shared" si="1"/>
        <v>4.2223583691662538E-3</v>
      </c>
      <c r="M13" s="157">
        <v>0.61799999999999999</v>
      </c>
      <c r="N13" s="281">
        <f>M13/(1+(1-J13)*K13)</f>
        <v>0.61596276194291188</v>
      </c>
    </row>
    <row r="14" spans="2:14" x14ac:dyDescent="0.45">
      <c r="B14" s="14" t="s">
        <v>298</v>
      </c>
      <c r="C14" s="41"/>
      <c r="D14" s="41"/>
      <c r="E14" s="41"/>
      <c r="F14" s="41"/>
      <c r="G14" s="41" t="s">
        <v>228</v>
      </c>
      <c r="H14" s="145">
        <v>4021.94</v>
      </c>
      <c r="I14" s="145">
        <v>114739.69</v>
      </c>
      <c r="J14" s="140">
        <v>0.22</v>
      </c>
      <c r="K14" s="156">
        <f t="shared" si="0"/>
        <v>3.505273545710294E-2</v>
      </c>
      <c r="L14" s="156">
        <f t="shared" si="1"/>
        <v>3.3865651726066745E-2</v>
      </c>
      <c r="M14" s="157">
        <v>0.40699999999999997</v>
      </c>
      <c r="N14" s="281">
        <f>M14/(1+(1-J14)*K14)</f>
        <v>0.39616830930481151</v>
      </c>
    </row>
    <row r="15" spans="2:14" x14ac:dyDescent="0.45">
      <c r="B15" s="14" t="s">
        <v>230</v>
      </c>
      <c r="C15" s="41"/>
      <c r="D15" s="41"/>
      <c r="E15" s="41"/>
      <c r="F15" s="41"/>
      <c r="G15" s="41" t="s">
        <v>228</v>
      </c>
      <c r="H15" s="145">
        <v>2002</v>
      </c>
      <c r="I15" s="145">
        <v>111306.93</v>
      </c>
      <c r="J15" s="140">
        <v>0.22</v>
      </c>
      <c r="K15" s="156">
        <f t="shared" si="0"/>
        <v>1.7986301481857422E-2</v>
      </c>
      <c r="L15" s="156">
        <f t="shared" si="1"/>
        <v>1.7668510328356292E-2</v>
      </c>
      <c r="M15" s="157">
        <v>0.625</v>
      </c>
      <c r="N15" s="281">
        <f>M15/(1+(1-J15)*K15)</f>
        <v>0.61635298966079899</v>
      </c>
    </row>
    <row r="17" spans="2:14" x14ac:dyDescent="0.45">
      <c r="I17" s="43" t="s">
        <v>233</v>
      </c>
      <c r="J17" s="152">
        <f>AVERAGE(J11:J15)</f>
        <v>0.22000000000000003</v>
      </c>
      <c r="K17" s="152">
        <f>AVERAGE(K11:K15)</f>
        <v>1.2885133191191339E-2</v>
      </c>
      <c r="L17" s="152">
        <f>AVERAGE(L11:L15)</f>
        <v>1.2570494920241298E-2</v>
      </c>
      <c r="M17" s="153">
        <f>AVERAGE(M11:M15)</f>
        <v>0.60899999999999999</v>
      </c>
      <c r="N17" s="153">
        <f>AVERAGE(N11:N15)</f>
        <v>0.60403096072589624</v>
      </c>
    </row>
    <row r="18" spans="2:14" x14ac:dyDescent="0.45">
      <c r="I18" s="44" t="s">
        <v>182</v>
      </c>
      <c r="J18" s="154">
        <f>MEDIAN(J11:J15)</f>
        <v>0.22</v>
      </c>
      <c r="K18" s="154">
        <f>MEDIAN(K11:K15)</f>
        <v>7.1254003598842271E-3</v>
      </c>
      <c r="L18" s="154">
        <f>MEDIAN(L11:L15)</f>
        <v>7.0749882361601148E-3</v>
      </c>
      <c r="M18" s="155">
        <f>MEDIAN(M11:M15)</f>
        <v>0.61799999999999999</v>
      </c>
      <c r="N18" s="155">
        <f>MEDIAN(N11:N15)</f>
        <v>0.61596276194291188</v>
      </c>
    </row>
    <row r="21" spans="2:14" x14ac:dyDescent="0.45">
      <c r="B21" s="44" t="s">
        <v>234</v>
      </c>
      <c r="C21" s="40"/>
      <c r="D21" s="40"/>
      <c r="E21" s="40"/>
      <c r="F21" s="40"/>
      <c r="G21" s="40"/>
      <c r="H21" s="40"/>
      <c r="J21" s="44" t="s">
        <v>241</v>
      </c>
      <c r="K21" s="40"/>
      <c r="L21" s="40"/>
      <c r="M21" s="40"/>
      <c r="N21" s="40"/>
    </row>
    <row r="23" spans="2:14" x14ac:dyDescent="0.45">
      <c r="B23" t="s">
        <v>235</v>
      </c>
      <c r="H23" s="59">
        <f>62/3274</f>
        <v>1.8937080024434942E-2</v>
      </c>
      <c r="J23" t="s">
        <v>238</v>
      </c>
      <c r="N23" s="121">
        <v>6.9199999999999998E-2</v>
      </c>
    </row>
    <row r="24" spans="2:14" x14ac:dyDescent="0.45">
      <c r="B24" s="30" t="s">
        <v>236</v>
      </c>
      <c r="C24" s="30"/>
      <c r="D24" s="30"/>
      <c r="E24" s="30"/>
      <c r="F24" s="30"/>
      <c r="G24" s="30"/>
      <c r="H24" s="279">
        <f>J18</f>
        <v>0.22</v>
      </c>
      <c r="J24" t="s">
        <v>239</v>
      </c>
      <c r="N24" s="123">
        <f>Rm!H8-'WACC Analysis'!N23</f>
        <v>9.939166666666667E-2</v>
      </c>
    </row>
    <row r="25" spans="2:14" ht="15.75" x14ac:dyDescent="0.45">
      <c r="B25" t="s">
        <v>237</v>
      </c>
      <c r="H25" s="59">
        <f>H23*(1-H24)</f>
        <v>1.4770922419059255E-2</v>
      </c>
      <c r="J25" t="s">
        <v>240</v>
      </c>
      <c r="N25" s="143">
        <f>N34</f>
        <v>0.62207915430264782</v>
      </c>
    </row>
    <row r="26" spans="2:14" x14ac:dyDescent="0.45">
      <c r="J26" s="29" t="s">
        <v>241</v>
      </c>
      <c r="K26" s="29"/>
      <c r="L26" s="29"/>
      <c r="M26" s="29"/>
      <c r="N26" s="158">
        <f>N23+(N24*N25)</f>
        <v>0.13102948394473068</v>
      </c>
    </row>
    <row r="29" spans="2:14" x14ac:dyDescent="0.45">
      <c r="B29" s="44" t="s">
        <v>242</v>
      </c>
      <c r="C29" s="40"/>
      <c r="D29" s="40"/>
      <c r="E29" s="40"/>
      <c r="F29" s="40"/>
      <c r="G29" s="40"/>
      <c r="H29" s="40"/>
      <c r="J29" s="44" t="s">
        <v>246</v>
      </c>
      <c r="K29" s="40"/>
      <c r="L29" s="40"/>
      <c r="M29" s="40"/>
      <c r="N29" s="40"/>
    </row>
    <row r="31" spans="2:14" x14ac:dyDescent="0.45">
      <c r="G31" s="47" t="s">
        <v>243</v>
      </c>
      <c r="H31" s="47" t="s">
        <v>244</v>
      </c>
      <c r="J31" t="s">
        <v>247</v>
      </c>
      <c r="N31" s="143">
        <f>N18</f>
        <v>0.61596276194291188</v>
      </c>
    </row>
    <row r="32" spans="2:14" x14ac:dyDescent="0.45">
      <c r="B32" t="s">
        <v>217</v>
      </c>
      <c r="F32" s="146">
        <f>H11</f>
        <v>3273.67</v>
      </c>
      <c r="G32" s="148">
        <f>F32/$F$34</f>
        <v>7.0749882361601148E-3</v>
      </c>
      <c r="H32" s="123">
        <f>L17</f>
        <v>1.2570494920241298E-2</v>
      </c>
      <c r="J32" t="s">
        <v>248</v>
      </c>
      <c r="N32" s="123">
        <f>H36</f>
        <v>1.2730523906337929E-2</v>
      </c>
    </row>
    <row r="33" spans="2:14" x14ac:dyDescent="0.45">
      <c r="B33" t="s">
        <v>70</v>
      </c>
      <c r="F33" s="146">
        <f>I11</f>
        <v>459436.64</v>
      </c>
      <c r="G33" s="148">
        <f t="shared" ref="G33" si="2">F33/$F$34</f>
        <v>0.99292501176383996</v>
      </c>
      <c r="H33" s="123">
        <f>H34-H32</f>
        <v>0.98742950507975868</v>
      </c>
      <c r="J33" t="s">
        <v>236</v>
      </c>
      <c r="N33" s="159">
        <f>H24</f>
        <v>0.22</v>
      </c>
    </row>
    <row r="34" spans="2:14" x14ac:dyDescent="0.45">
      <c r="B34" s="45" t="s">
        <v>245</v>
      </c>
      <c r="C34" s="45"/>
      <c r="D34" s="45"/>
      <c r="E34" s="45"/>
      <c r="F34" s="147">
        <f>SUM(F32:F33)</f>
        <v>462710.31</v>
      </c>
      <c r="G34" s="149">
        <f>F34/$F$34</f>
        <v>1</v>
      </c>
      <c r="H34" s="151">
        <f>G34</f>
        <v>1</v>
      </c>
      <c r="J34" s="45" t="s">
        <v>246</v>
      </c>
      <c r="K34" s="45"/>
      <c r="L34" s="45"/>
      <c r="M34" s="46"/>
      <c r="N34" s="280">
        <f>N31*(1+(1-N33)*N32)</f>
        <v>0.62207915430264782</v>
      </c>
    </row>
    <row r="36" spans="2:14" x14ac:dyDescent="0.45">
      <c r="B36" t="s">
        <v>249</v>
      </c>
      <c r="G36" s="150">
        <f>G32/G33</f>
        <v>7.1254003598842262E-3</v>
      </c>
      <c r="H36" s="150">
        <f>H32/H33</f>
        <v>1.2730523906337929E-2</v>
      </c>
      <c r="J36" s="44" t="s">
        <v>250</v>
      </c>
      <c r="K36" s="40"/>
      <c r="L36" s="40"/>
      <c r="M36" s="40"/>
      <c r="N36" s="40"/>
    </row>
    <row r="38" spans="2:14" x14ac:dyDescent="0.45">
      <c r="B38" s="57" t="s">
        <v>299</v>
      </c>
      <c r="C38" s="57"/>
      <c r="D38" s="57"/>
      <c r="E38" s="57"/>
      <c r="F38" s="57"/>
      <c r="G38" s="57"/>
      <c r="J38" t="s">
        <v>241</v>
      </c>
      <c r="N38" s="123">
        <f>N26</f>
        <v>0.13102948394473068</v>
      </c>
    </row>
    <row r="39" spans="2:14" x14ac:dyDescent="0.45">
      <c r="B39" s="57" t="s">
        <v>300</v>
      </c>
      <c r="C39" s="57"/>
      <c r="D39" s="57"/>
      <c r="E39" s="57"/>
      <c r="F39" s="57"/>
      <c r="G39" s="57"/>
      <c r="J39" t="s">
        <v>309</v>
      </c>
      <c r="N39" s="123">
        <f>H33</f>
        <v>0.98742950507975868</v>
      </c>
    </row>
    <row r="40" spans="2:14" x14ac:dyDescent="0.45">
      <c r="B40" s="57" t="s">
        <v>301</v>
      </c>
      <c r="C40" s="57"/>
      <c r="D40" s="57"/>
      <c r="E40" s="57"/>
      <c r="F40" s="57"/>
      <c r="G40" s="57"/>
    </row>
    <row r="41" spans="2:14" x14ac:dyDescent="0.45">
      <c r="B41" s="57" t="s">
        <v>302</v>
      </c>
      <c r="C41" s="57"/>
      <c r="D41" s="57"/>
      <c r="E41" s="57"/>
      <c r="F41" s="57"/>
      <c r="G41" s="57"/>
      <c r="J41" t="s">
        <v>234</v>
      </c>
      <c r="N41" s="123">
        <f>H25</f>
        <v>1.4770922419059255E-2</v>
      </c>
    </row>
    <row r="42" spans="2:14" x14ac:dyDescent="0.45">
      <c r="B42" s="57" t="s">
        <v>433</v>
      </c>
      <c r="C42" s="57"/>
      <c r="D42" s="57"/>
      <c r="E42" s="57"/>
      <c r="F42" s="57"/>
      <c r="G42" s="57"/>
      <c r="J42" t="s">
        <v>310</v>
      </c>
      <c r="N42" s="123">
        <f>H32</f>
        <v>1.2570494920241298E-2</v>
      </c>
    </row>
    <row r="44" spans="2:14" x14ac:dyDescent="0.45">
      <c r="J44" s="60" t="s">
        <v>311</v>
      </c>
      <c r="K44" s="56"/>
      <c r="L44" s="56"/>
      <c r="M44" s="56"/>
      <c r="N44" s="160">
        <f>(N38*N39)+(N41*N42)</f>
        <v>0.12956805628763768</v>
      </c>
    </row>
  </sheetData>
  <pageMargins left="0.7" right="0.7" top="0.75" bottom="0.75" header="0.3" footer="0.3"/>
  <pageSetup scale="82" orientation="portrait" r:id="rId1"/>
  <customProperties>
    <customPr name="Smart" r:id="rId2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1E353-A065-41DE-9CD7-941302675A8A}">
  <sheetPr>
    <tabColor theme="5" tint="-0.249977111117893"/>
  </sheetPr>
  <dimension ref="B4:N42"/>
  <sheetViews>
    <sheetView showGridLines="0" workbookViewId="0">
      <pane ySplit="4" topLeftCell="A21" activePane="bottomLeft" state="frozen"/>
      <selection pane="bottomLeft" activeCell="J42" sqref="J42"/>
    </sheetView>
  </sheetViews>
  <sheetFormatPr defaultRowHeight="14.25" x14ac:dyDescent="0.45"/>
  <cols>
    <col min="1" max="1" width="1.73046875" customWidth="1"/>
    <col min="2" max="2" width="21.73046875" bestFit="1" customWidth="1"/>
  </cols>
  <sheetData>
    <row r="4" spans="2:14" x14ac:dyDescent="0.45">
      <c r="B4" s="61" t="s">
        <v>342</v>
      </c>
      <c r="C4" s="62">
        <v>41334</v>
      </c>
      <c r="D4" s="62">
        <v>41699</v>
      </c>
      <c r="E4" s="62">
        <v>42064</v>
      </c>
      <c r="F4" s="62">
        <v>42430</v>
      </c>
      <c r="G4" s="62">
        <v>42795</v>
      </c>
      <c r="H4" s="62">
        <v>43160</v>
      </c>
      <c r="I4" s="62">
        <v>43525</v>
      </c>
      <c r="J4" s="62">
        <v>43891</v>
      </c>
      <c r="K4" s="62">
        <v>44256</v>
      </c>
      <c r="L4" s="62">
        <v>44621</v>
      </c>
      <c r="M4" s="62">
        <v>44986</v>
      </c>
      <c r="N4" s="62">
        <v>45352</v>
      </c>
    </row>
    <row r="5" spans="2:14" s="54" customFormat="1" x14ac:dyDescent="0.45">
      <c r="B5" s="63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</row>
    <row r="6" spans="2:14" x14ac:dyDescent="0.45">
      <c r="B6" s="2" t="s">
        <v>312</v>
      </c>
      <c r="C6" s="164">
        <v>104</v>
      </c>
      <c r="D6" s="164">
        <v>207</v>
      </c>
      <c r="E6" s="164">
        <v>207</v>
      </c>
      <c r="F6" s="164">
        <v>241</v>
      </c>
      <c r="G6" s="164">
        <v>240</v>
      </c>
      <c r="H6" s="164">
        <v>240</v>
      </c>
      <c r="I6" s="164">
        <v>240</v>
      </c>
      <c r="J6" s="164">
        <v>240</v>
      </c>
      <c r="K6" s="164">
        <v>240</v>
      </c>
      <c r="L6" s="164">
        <v>240</v>
      </c>
      <c r="M6" s="164">
        <v>240</v>
      </c>
      <c r="N6" s="164">
        <v>240</v>
      </c>
    </row>
    <row r="7" spans="2:14" x14ac:dyDescent="0.45">
      <c r="B7" s="2" t="s">
        <v>25</v>
      </c>
      <c r="C7" s="164">
        <v>14886</v>
      </c>
      <c r="D7" s="164">
        <v>18318</v>
      </c>
      <c r="E7" s="164">
        <v>25431</v>
      </c>
      <c r="F7" s="164">
        <v>32742</v>
      </c>
      <c r="G7" s="164">
        <v>36400</v>
      </c>
      <c r="H7" s="164">
        <v>38074</v>
      </c>
      <c r="I7" s="164">
        <v>41169</v>
      </c>
      <c r="J7" s="164">
        <v>45025</v>
      </c>
      <c r="K7" s="164">
        <v>46223</v>
      </c>
      <c r="L7" s="164">
        <v>47771</v>
      </c>
      <c r="M7" s="164">
        <v>55755</v>
      </c>
      <c r="N7" s="164">
        <v>63427</v>
      </c>
    </row>
    <row r="8" spans="2:14" x14ac:dyDescent="0.45">
      <c r="B8" s="2" t="s">
        <v>338</v>
      </c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</row>
    <row r="9" spans="2:14" x14ac:dyDescent="0.45">
      <c r="B9" t="s">
        <v>313</v>
      </c>
      <c r="C9" s="164">
        <v>115</v>
      </c>
      <c r="D9" s="164">
        <v>49</v>
      </c>
      <c r="E9" s="164">
        <v>1368</v>
      </c>
      <c r="F9" s="164">
        <v>3110</v>
      </c>
      <c r="G9" s="164">
        <v>1436</v>
      </c>
      <c r="H9" s="164">
        <v>1772</v>
      </c>
      <c r="I9" s="164">
        <v>1523</v>
      </c>
      <c r="J9" s="164">
        <v>2029</v>
      </c>
      <c r="K9" s="164">
        <v>655</v>
      </c>
      <c r="L9" s="164">
        <v>230</v>
      </c>
      <c r="M9" s="164">
        <v>0</v>
      </c>
      <c r="N9" s="164">
        <v>1</v>
      </c>
    </row>
    <row r="10" spans="2:14" x14ac:dyDescent="0.45">
      <c r="B10" t="s">
        <v>314</v>
      </c>
      <c r="C10" s="164">
        <v>83</v>
      </c>
      <c r="D10" s="164">
        <v>2440</v>
      </c>
      <c r="E10" s="164">
        <v>6228</v>
      </c>
      <c r="F10" s="164">
        <v>5206</v>
      </c>
      <c r="G10" s="164">
        <v>6655</v>
      </c>
      <c r="H10" s="164">
        <v>7980</v>
      </c>
      <c r="I10" s="164">
        <v>8371</v>
      </c>
      <c r="J10" s="164">
        <v>5549</v>
      </c>
      <c r="K10" s="164">
        <v>2869</v>
      </c>
      <c r="L10" s="164">
        <v>701</v>
      </c>
      <c r="M10" s="164">
        <v>6198</v>
      </c>
      <c r="N10" s="164">
        <v>2844</v>
      </c>
    </row>
    <row r="11" spans="2:14" x14ac:dyDescent="0.45">
      <c r="B11" t="s">
        <v>315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345</v>
      </c>
      <c r="L11" s="164">
        <v>360</v>
      </c>
      <c r="M11" s="164">
        <v>688</v>
      </c>
      <c r="N11" s="164">
        <v>428</v>
      </c>
    </row>
    <row r="12" spans="2:14" x14ac:dyDescent="0.45">
      <c r="B12" t="s">
        <v>316</v>
      </c>
      <c r="C12" s="164">
        <v>62</v>
      </c>
      <c r="D12" s="164">
        <v>72</v>
      </c>
      <c r="E12" s="164">
        <v>1400</v>
      </c>
      <c r="F12" s="164">
        <v>180</v>
      </c>
      <c r="G12" s="164">
        <v>1741</v>
      </c>
      <c r="H12" s="164">
        <v>633</v>
      </c>
      <c r="I12" s="164">
        <v>621</v>
      </c>
      <c r="J12" s="164">
        <v>737</v>
      </c>
      <c r="K12" s="164">
        <v>0</v>
      </c>
      <c r="L12" s="164">
        <v>0</v>
      </c>
      <c r="M12" s="164">
        <v>0</v>
      </c>
      <c r="N12" s="164">
        <v>0</v>
      </c>
    </row>
    <row r="13" spans="2:14" x14ac:dyDescent="0.45">
      <c r="B13" s="2" t="s">
        <v>339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</row>
    <row r="14" spans="2:14" x14ac:dyDescent="0.45">
      <c r="B14" t="s">
        <v>317</v>
      </c>
      <c r="C14" s="164">
        <v>1635</v>
      </c>
      <c r="D14" s="164">
        <v>1921</v>
      </c>
      <c r="E14" s="164">
        <v>2851</v>
      </c>
      <c r="F14" s="164">
        <v>4085</v>
      </c>
      <c r="G14" s="164">
        <v>3791</v>
      </c>
      <c r="H14" s="164">
        <v>3884</v>
      </c>
      <c r="I14" s="164">
        <v>3314</v>
      </c>
      <c r="J14" s="164">
        <v>3860</v>
      </c>
      <c r="K14" s="164">
        <v>3017</v>
      </c>
      <c r="L14" s="164">
        <v>3055</v>
      </c>
      <c r="M14" s="164">
        <v>3320</v>
      </c>
      <c r="N14" s="164">
        <v>3439</v>
      </c>
    </row>
    <row r="15" spans="2:14" x14ac:dyDescent="0.45">
      <c r="B15" t="s">
        <v>318</v>
      </c>
      <c r="C15" s="164">
        <v>1058</v>
      </c>
      <c r="D15" s="164">
        <v>1328</v>
      </c>
      <c r="E15" s="164">
        <v>3287</v>
      </c>
      <c r="F15" s="164">
        <v>3583</v>
      </c>
      <c r="G15" s="164">
        <v>4395</v>
      </c>
      <c r="H15" s="164">
        <v>4766</v>
      </c>
      <c r="I15" s="164">
        <v>4148</v>
      </c>
      <c r="J15" s="164">
        <v>3584</v>
      </c>
      <c r="K15" s="164">
        <v>3974</v>
      </c>
      <c r="L15" s="164">
        <v>4490</v>
      </c>
      <c r="M15" s="164">
        <v>5682</v>
      </c>
      <c r="N15" s="164">
        <v>5653</v>
      </c>
    </row>
    <row r="16" spans="2:14" x14ac:dyDescent="0.45">
      <c r="B16" t="s">
        <v>319</v>
      </c>
      <c r="C16" s="164">
        <v>9</v>
      </c>
      <c r="D16" s="164">
        <v>10</v>
      </c>
      <c r="E16" s="164">
        <v>37</v>
      </c>
      <c r="F16" s="164">
        <v>72</v>
      </c>
      <c r="G16" s="164">
        <v>121</v>
      </c>
      <c r="H16" s="164">
        <v>30</v>
      </c>
      <c r="I16" s="164">
        <v>69</v>
      </c>
      <c r="J16" s="164">
        <v>53</v>
      </c>
      <c r="K16" s="164">
        <v>47</v>
      </c>
      <c r="L16" s="164">
        <v>29</v>
      </c>
      <c r="M16" s="164">
        <v>41</v>
      </c>
      <c r="N16" s="164">
        <v>43</v>
      </c>
    </row>
    <row r="17" spans="2:14" x14ac:dyDescent="0.45">
      <c r="B17" t="s">
        <v>320</v>
      </c>
      <c r="C17" s="164">
        <v>2426</v>
      </c>
      <c r="D17" s="164">
        <v>4750</v>
      </c>
      <c r="E17" s="164">
        <v>7914</v>
      </c>
      <c r="F17" s="164">
        <v>6208</v>
      </c>
      <c r="G17" s="164">
        <v>6317</v>
      </c>
      <c r="H17" s="164">
        <v>6918</v>
      </c>
      <c r="I17" s="164">
        <v>5135</v>
      </c>
      <c r="J17" s="164">
        <v>7118</v>
      </c>
      <c r="K17" s="164">
        <v>10253</v>
      </c>
      <c r="L17" s="164">
        <v>12901</v>
      </c>
      <c r="M17" s="164">
        <v>8788</v>
      </c>
      <c r="N17" s="164">
        <v>9232</v>
      </c>
    </row>
    <row r="18" spans="2:14" x14ac:dyDescent="0.45">
      <c r="B18" s="66" t="s">
        <v>321</v>
      </c>
      <c r="C18" s="161">
        <f>SUM(C6:C17)</f>
        <v>20378</v>
      </c>
      <c r="D18" s="161">
        <f>SUM(D6:D17)</f>
        <v>29095</v>
      </c>
      <c r="E18" s="161">
        <f>SUM(E6:E17)</f>
        <v>48723</v>
      </c>
      <c r="F18" s="165">
        <v>55428</v>
      </c>
      <c r="G18" s="165">
        <v>61095</v>
      </c>
      <c r="H18" s="165">
        <v>64297</v>
      </c>
      <c r="I18" s="165">
        <v>64590</v>
      </c>
      <c r="J18" s="165">
        <v>68194</v>
      </c>
      <c r="K18" s="165">
        <v>67622</v>
      </c>
      <c r="L18" s="165">
        <v>69776</v>
      </c>
      <c r="M18" s="165">
        <v>80712</v>
      </c>
      <c r="N18" s="165">
        <v>85308</v>
      </c>
    </row>
    <row r="19" spans="2:14" x14ac:dyDescent="0.45">
      <c r="B19" s="2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</row>
    <row r="20" spans="2:14" x14ac:dyDescent="0.45">
      <c r="B20" s="2" t="s">
        <v>340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</row>
    <row r="21" spans="2:14" x14ac:dyDescent="0.45">
      <c r="B21" t="s">
        <v>322</v>
      </c>
      <c r="C21" s="164">
        <v>214</v>
      </c>
      <c r="D21" s="164">
        <v>241</v>
      </c>
      <c r="E21" s="164">
        <v>379</v>
      </c>
      <c r="F21" s="164">
        <v>416</v>
      </c>
      <c r="G21" s="164">
        <v>475</v>
      </c>
      <c r="H21" s="164">
        <v>523</v>
      </c>
      <c r="I21" s="164">
        <v>651</v>
      </c>
      <c r="J21" s="164">
        <v>686</v>
      </c>
      <c r="K21" s="164">
        <v>642</v>
      </c>
      <c r="L21" s="164">
        <v>862</v>
      </c>
      <c r="M21" s="164">
        <v>898</v>
      </c>
      <c r="N21" s="164">
        <v>1047</v>
      </c>
    </row>
    <row r="22" spans="2:14" x14ac:dyDescent="0.45">
      <c r="B22" t="s">
        <v>323</v>
      </c>
      <c r="C22" s="164">
        <v>1793</v>
      </c>
      <c r="D22" s="164">
        <v>2016</v>
      </c>
      <c r="E22" s="164">
        <v>4036</v>
      </c>
      <c r="F22" s="164">
        <v>4412</v>
      </c>
      <c r="G22" s="164">
        <v>4742</v>
      </c>
      <c r="H22" s="164">
        <v>4877</v>
      </c>
      <c r="I22" s="164">
        <v>5414</v>
      </c>
      <c r="J22" s="164">
        <v>5844</v>
      </c>
      <c r="K22" s="164">
        <v>5937</v>
      </c>
      <c r="L22" s="164">
        <v>6048</v>
      </c>
      <c r="M22" s="164">
        <v>6820</v>
      </c>
      <c r="N22" s="164">
        <v>6803</v>
      </c>
    </row>
    <row r="23" spans="2:14" x14ac:dyDescent="0.45">
      <c r="B23" t="s">
        <v>324</v>
      </c>
      <c r="C23" s="164">
        <v>3359</v>
      </c>
      <c r="D23" s="164">
        <v>3851</v>
      </c>
      <c r="E23" s="164">
        <v>7935</v>
      </c>
      <c r="F23" s="164">
        <v>6918</v>
      </c>
      <c r="G23" s="164">
        <v>7556</v>
      </c>
      <c r="H23" s="164">
        <v>8723</v>
      </c>
      <c r="I23" s="164">
        <v>9814</v>
      </c>
      <c r="J23" s="164">
        <v>10976</v>
      </c>
      <c r="K23" s="164">
        <v>11629</v>
      </c>
      <c r="L23" s="164">
        <v>12363</v>
      </c>
      <c r="M23" s="164">
        <v>13077</v>
      </c>
      <c r="N23" s="164">
        <v>13706</v>
      </c>
    </row>
    <row r="24" spans="2:14" x14ac:dyDescent="0.45">
      <c r="B24" t="s">
        <v>325</v>
      </c>
      <c r="C24" s="164">
        <v>68</v>
      </c>
      <c r="D24" s="164">
        <v>80</v>
      </c>
      <c r="E24" s="164">
        <v>184</v>
      </c>
      <c r="F24" s="164">
        <v>130</v>
      </c>
      <c r="G24" s="164">
        <v>170</v>
      </c>
      <c r="H24" s="164">
        <v>195</v>
      </c>
      <c r="I24" s="164">
        <v>221</v>
      </c>
      <c r="J24" s="164">
        <v>233</v>
      </c>
      <c r="K24" s="164">
        <v>273</v>
      </c>
      <c r="L24" s="164">
        <v>305</v>
      </c>
      <c r="M24" s="164">
        <v>327</v>
      </c>
      <c r="N24" s="164">
        <v>345</v>
      </c>
    </row>
    <row r="25" spans="2:14" x14ac:dyDescent="0.45">
      <c r="B25" t="s">
        <v>326</v>
      </c>
      <c r="C25" s="164">
        <v>127</v>
      </c>
      <c r="D25" s="164">
        <v>144</v>
      </c>
      <c r="E25" s="164">
        <v>358</v>
      </c>
      <c r="F25" s="164">
        <v>313</v>
      </c>
      <c r="G25" s="164">
        <v>349</v>
      </c>
      <c r="H25" s="164">
        <v>373</v>
      </c>
      <c r="I25" s="164">
        <v>400</v>
      </c>
      <c r="J25" s="164">
        <v>427</v>
      </c>
      <c r="K25" s="164">
        <v>421</v>
      </c>
      <c r="L25" s="164">
        <v>423</v>
      </c>
      <c r="M25" s="164">
        <v>444</v>
      </c>
      <c r="N25" s="164">
        <v>454</v>
      </c>
    </row>
    <row r="26" spans="2:14" x14ac:dyDescent="0.45">
      <c r="B26" t="s">
        <v>327</v>
      </c>
      <c r="C26" s="164">
        <v>42</v>
      </c>
      <c r="D26" s="164">
        <v>56</v>
      </c>
      <c r="E26" s="164">
        <v>145</v>
      </c>
      <c r="F26" s="164">
        <v>114</v>
      </c>
      <c r="G26" s="164">
        <v>107</v>
      </c>
      <c r="H26" s="164">
        <v>184</v>
      </c>
      <c r="I26" s="164">
        <v>246</v>
      </c>
      <c r="J26" s="164">
        <v>319</v>
      </c>
      <c r="K26" s="164">
        <v>371</v>
      </c>
      <c r="L26" s="164">
        <v>408</v>
      </c>
      <c r="M26" s="164">
        <v>447</v>
      </c>
      <c r="N26" s="164">
        <v>414</v>
      </c>
    </row>
    <row r="27" spans="2:14" x14ac:dyDescent="0.45">
      <c r="B27" t="s">
        <v>328</v>
      </c>
      <c r="C27" s="164">
        <v>3107</v>
      </c>
      <c r="D27" s="164">
        <v>4097</v>
      </c>
      <c r="E27" s="164">
        <v>7145</v>
      </c>
      <c r="F27" s="164">
        <v>5635</v>
      </c>
      <c r="G27" s="164">
        <v>5536</v>
      </c>
      <c r="H27" s="164">
        <v>11897</v>
      </c>
      <c r="I27" s="164">
        <v>14678</v>
      </c>
      <c r="J27" s="164">
        <v>16322</v>
      </c>
      <c r="K27" s="164">
        <v>15934</v>
      </c>
      <c r="L27" s="164">
        <v>6591</v>
      </c>
      <c r="M27" s="164">
        <v>8358</v>
      </c>
      <c r="N27" s="164">
        <v>8599</v>
      </c>
    </row>
    <row r="28" spans="2:14" x14ac:dyDescent="0.45">
      <c r="B28" t="s">
        <v>329</v>
      </c>
      <c r="C28" s="164">
        <v>0</v>
      </c>
      <c r="D28" s="164">
        <v>0</v>
      </c>
      <c r="E28" s="164">
        <v>225</v>
      </c>
      <c r="F28" s="164">
        <v>4242</v>
      </c>
      <c r="G28" s="164">
        <v>5531</v>
      </c>
      <c r="H28" s="164">
        <v>175</v>
      </c>
      <c r="I28" s="164">
        <v>264</v>
      </c>
      <c r="J28" s="164">
        <v>310</v>
      </c>
      <c r="K28" s="164">
        <v>371</v>
      </c>
      <c r="L28" s="164">
        <v>11707</v>
      </c>
      <c r="M28" s="164">
        <v>12729</v>
      </c>
      <c r="N28" s="164">
        <v>12916</v>
      </c>
    </row>
    <row r="29" spans="2:14" x14ac:dyDescent="0.45">
      <c r="B29" s="2" t="s">
        <v>330</v>
      </c>
      <c r="C29" s="166">
        <v>8709</v>
      </c>
      <c r="D29" s="166">
        <v>10485</v>
      </c>
      <c r="E29" s="166">
        <v>20407</v>
      </c>
      <c r="F29" s="166">
        <v>22180</v>
      </c>
      <c r="G29" s="166">
        <v>24466</v>
      </c>
      <c r="H29" s="166">
        <v>26949</v>
      </c>
      <c r="I29" s="166">
        <v>31687</v>
      </c>
      <c r="J29" s="166">
        <v>35116</v>
      </c>
      <c r="K29" s="166">
        <v>35579</v>
      </c>
      <c r="L29" s="166">
        <v>38707</v>
      </c>
      <c r="M29" s="166">
        <v>43100</v>
      </c>
      <c r="N29" s="166">
        <v>44284</v>
      </c>
    </row>
    <row r="30" spans="2:14" ht="14.65" thickBot="1" x14ac:dyDescent="0.5">
      <c r="B30" s="2" t="s">
        <v>331</v>
      </c>
      <c r="C30" s="166">
        <v>3062</v>
      </c>
      <c r="D30" s="166">
        <v>3668</v>
      </c>
      <c r="E30" s="166">
        <v>7724</v>
      </c>
      <c r="F30" s="166">
        <v>6308</v>
      </c>
      <c r="G30" s="166">
        <v>6791</v>
      </c>
      <c r="H30" s="166">
        <v>8096</v>
      </c>
      <c r="I30" s="166">
        <v>9850</v>
      </c>
      <c r="J30" s="166">
        <v>12269</v>
      </c>
      <c r="K30" s="166">
        <v>14026</v>
      </c>
      <c r="L30" s="166">
        <v>16042</v>
      </c>
      <c r="M30" s="166">
        <v>19035</v>
      </c>
      <c r="N30" s="166">
        <v>21072</v>
      </c>
    </row>
    <row r="31" spans="2:14" x14ac:dyDescent="0.45">
      <c r="B31" s="69" t="s">
        <v>27</v>
      </c>
      <c r="C31" s="162">
        <f>C29-C30</f>
        <v>5647</v>
      </c>
      <c r="D31" s="162">
        <f t="shared" ref="D31:N31" si="0">D29-D30</f>
        <v>6817</v>
      </c>
      <c r="E31" s="162">
        <f t="shared" si="0"/>
        <v>12683</v>
      </c>
      <c r="F31" s="162">
        <f t="shared" si="0"/>
        <v>15872</v>
      </c>
      <c r="G31" s="162">
        <f t="shared" si="0"/>
        <v>17675</v>
      </c>
      <c r="H31" s="162">
        <f t="shared" si="0"/>
        <v>18853</v>
      </c>
      <c r="I31" s="162">
        <f t="shared" si="0"/>
        <v>21837</v>
      </c>
      <c r="J31" s="162">
        <f t="shared" si="0"/>
        <v>22847</v>
      </c>
      <c r="K31" s="162">
        <f t="shared" si="0"/>
        <v>21553</v>
      </c>
      <c r="L31" s="162">
        <f t="shared" si="0"/>
        <v>22665</v>
      </c>
      <c r="M31" s="162">
        <f t="shared" si="0"/>
        <v>24065</v>
      </c>
      <c r="N31" s="162">
        <f t="shared" si="0"/>
        <v>23212</v>
      </c>
    </row>
    <row r="32" spans="2:14" x14ac:dyDescent="0.45">
      <c r="B32" s="2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</row>
    <row r="33" spans="2:14" x14ac:dyDescent="0.45">
      <c r="B33" s="2" t="s">
        <v>332</v>
      </c>
      <c r="C33" s="167">
        <v>563</v>
      </c>
      <c r="D33" s="167">
        <v>842</v>
      </c>
      <c r="E33" s="167">
        <v>2039</v>
      </c>
      <c r="F33" s="167">
        <v>2175</v>
      </c>
      <c r="G33" s="167">
        <v>2801</v>
      </c>
      <c r="H33" s="167">
        <v>2465</v>
      </c>
      <c r="I33" s="167">
        <v>1411</v>
      </c>
      <c r="J33" s="167">
        <v>1220</v>
      </c>
      <c r="K33" s="167">
        <v>1567</v>
      </c>
      <c r="L33" s="167">
        <v>1287</v>
      </c>
      <c r="M33" s="167">
        <v>4973</v>
      </c>
      <c r="N33" s="167">
        <v>5354</v>
      </c>
    </row>
    <row r="34" spans="2:14" x14ac:dyDescent="0.45">
      <c r="B34" s="2" t="s">
        <v>29</v>
      </c>
      <c r="C34" s="167">
        <v>2412</v>
      </c>
      <c r="D34" s="167">
        <v>2786</v>
      </c>
      <c r="E34" s="167">
        <v>2716</v>
      </c>
      <c r="F34" s="167">
        <v>1830</v>
      </c>
      <c r="G34" s="167">
        <v>1192</v>
      </c>
      <c r="H34" s="167">
        <v>7143</v>
      </c>
      <c r="I34" s="167">
        <v>7903</v>
      </c>
      <c r="J34" s="167">
        <v>10143</v>
      </c>
      <c r="K34" s="167">
        <v>9612</v>
      </c>
      <c r="L34" s="167">
        <v>12849</v>
      </c>
      <c r="M34" s="167">
        <v>14824</v>
      </c>
      <c r="N34" s="167">
        <v>15026</v>
      </c>
    </row>
    <row r="35" spans="2:14" x14ac:dyDescent="0.45">
      <c r="B35" s="2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</row>
    <row r="36" spans="2:14" x14ac:dyDescent="0.45">
      <c r="B36" s="2" t="s">
        <v>341</v>
      </c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</row>
    <row r="37" spans="2:14" x14ac:dyDescent="0.45">
      <c r="B37" t="s">
        <v>333</v>
      </c>
      <c r="C37" s="167">
        <v>2578</v>
      </c>
      <c r="D37" s="167">
        <v>3123</v>
      </c>
      <c r="E37" s="167">
        <v>5668</v>
      </c>
      <c r="F37" s="167">
        <v>6423</v>
      </c>
      <c r="G37" s="167">
        <v>6833</v>
      </c>
      <c r="H37" s="167">
        <v>6881</v>
      </c>
      <c r="I37" s="167">
        <v>7886</v>
      </c>
      <c r="J37" s="167">
        <v>7875</v>
      </c>
      <c r="K37" s="167">
        <v>8997</v>
      </c>
      <c r="L37" s="167">
        <v>8925</v>
      </c>
      <c r="M37" s="167">
        <v>10513</v>
      </c>
      <c r="N37" s="167">
        <v>9868</v>
      </c>
    </row>
    <row r="38" spans="2:14" x14ac:dyDescent="0.45">
      <c r="B38" t="s">
        <v>334</v>
      </c>
      <c r="C38" s="167">
        <v>2412</v>
      </c>
      <c r="D38" s="167">
        <v>2200</v>
      </c>
      <c r="E38" s="167">
        <v>5106</v>
      </c>
      <c r="F38" s="167">
        <v>6776</v>
      </c>
      <c r="G38" s="167">
        <v>7203</v>
      </c>
      <c r="H38" s="167">
        <v>7815</v>
      </c>
      <c r="I38" s="167">
        <v>8884</v>
      </c>
      <c r="J38" s="167">
        <v>9421</v>
      </c>
      <c r="K38" s="167">
        <v>9061</v>
      </c>
      <c r="L38" s="167">
        <v>10485</v>
      </c>
      <c r="M38" s="167">
        <v>11439</v>
      </c>
      <c r="N38" s="167">
        <v>11249</v>
      </c>
    </row>
    <row r="39" spans="2:14" x14ac:dyDescent="0.45">
      <c r="B39" t="s">
        <v>335</v>
      </c>
      <c r="C39" s="167">
        <v>4059</v>
      </c>
      <c r="D39" s="167">
        <v>7590</v>
      </c>
      <c r="E39" s="167">
        <v>10998</v>
      </c>
      <c r="F39" s="167">
        <v>13182</v>
      </c>
      <c r="G39" s="167">
        <v>15141</v>
      </c>
      <c r="H39" s="167">
        <v>9929</v>
      </c>
      <c r="I39" s="167">
        <v>7276</v>
      </c>
      <c r="J39" s="167">
        <v>6488</v>
      </c>
      <c r="K39" s="167">
        <v>6446</v>
      </c>
      <c r="L39" s="167">
        <v>5033</v>
      </c>
      <c r="M39" s="167">
        <v>5770</v>
      </c>
      <c r="N39" s="167">
        <v>10521</v>
      </c>
    </row>
    <row r="40" spans="2:14" x14ac:dyDescent="0.45">
      <c r="B40" t="s">
        <v>336</v>
      </c>
      <c r="C40" s="167">
        <v>315</v>
      </c>
      <c r="D40" s="167">
        <v>482</v>
      </c>
      <c r="E40" s="167">
        <v>51</v>
      </c>
      <c r="F40" s="167">
        <v>1123</v>
      </c>
      <c r="G40" s="167">
        <v>1071</v>
      </c>
      <c r="H40" s="167">
        <v>92</v>
      </c>
      <c r="I40" s="167">
        <v>310</v>
      </c>
      <c r="J40" s="167">
        <v>149</v>
      </c>
      <c r="K40" s="167">
        <v>58</v>
      </c>
      <c r="L40" s="167">
        <v>172</v>
      </c>
      <c r="M40" s="167">
        <v>188</v>
      </c>
      <c r="N40" s="167">
        <v>213</v>
      </c>
    </row>
    <row r="41" spans="2:14" x14ac:dyDescent="0.45">
      <c r="B41" t="s">
        <v>337</v>
      </c>
      <c r="C41" s="167">
        <v>2392</v>
      </c>
      <c r="D41" s="167">
        <v>5254</v>
      </c>
      <c r="E41" s="167">
        <v>9462</v>
      </c>
      <c r="F41" s="167">
        <v>8047</v>
      </c>
      <c r="G41" s="167">
        <v>9180</v>
      </c>
      <c r="H41" s="167">
        <v>11119</v>
      </c>
      <c r="I41" s="167">
        <v>9083</v>
      </c>
      <c r="J41" s="167">
        <v>10051</v>
      </c>
      <c r="K41" s="167">
        <v>10328</v>
      </c>
      <c r="L41" s="167">
        <v>8361</v>
      </c>
      <c r="M41" s="167">
        <v>8939</v>
      </c>
      <c r="N41" s="167">
        <v>9865</v>
      </c>
    </row>
    <row r="42" spans="2:14" x14ac:dyDescent="0.45">
      <c r="B42" s="66" t="s">
        <v>109</v>
      </c>
      <c r="C42" s="163">
        <f t="shared" ref="C42:N42" si="1">SUM(C31:C41)</f>
        <v>20378</v>
      </c>
      <c r="D42" s="163">
        <f t="shared" si="1"/>
        <v>29094</v>
      </c>
      <c r="E42" s="163">
        <f t="shared" si="1"/>
        <v>48723</v>
      </c>
      <c r="F42" s="163">
        <f t="shared" si="1"/>
        <v>55428</v>
      </c>
      <c r="G42" s="163">
        <f t="shared" si="1"/>
        <v>61096</v>
      </c>
      <c r="H42" s="163">
        <f t="shared" si="1"/>
        <v>64297</v>
      </c>
      <c r="I42" s="163">
        <f t="shared" si="1"/>
        <v>64590</v>
      </c>
      <c r="J42" s="163">
        <f t="shared" si="1"/>
        <v>68194</v>
      </c>
      <c r="K42" s="163">
        <f t="shared" si="1"/>
        <v>67622</v>
      </c>
      <c r="L42" s="163">
        <f t="shared" si="1"/>
        <v>69777</v>
      </c>
      <c r="M42" s="163">
        <f t="shared" si="1"/>
        <v>80711</v>
      </c>
      <c r="N42" s="163">
        <f t="shared" si="1"/>
        <v>85308</v>
      </c>
    </row>
  </sheetData>
  <pageMargins left="0.7" right="0.7" top="0.75" bottom="0.75" header="0.3" footer="0.3"/>
  <customProperties>
    <customPr name="Smart" r:id="rId1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2CE80-9FB4-40F3-9322-18A3B8C852DA}">
  <sheetPr>
    <tabColor theme="5" tint="-0.249977111117893"/>
  </sheetPr>
  <dimension ref="A2:K62"/>
  <sheetViews>
    <sheetView showGridLines="0" workbookViewId="0">
      <pane ySplit="2" topLeftCell="A3" activePane="bottomLeft" state="frozen"/>
      <selection pane="bottomLeft" activeCell="I46" sqref="I46"/>
    </sheetView>
  </sheetViews>
  <sheetFormatPr defaultRowHeight="14.25" x14ac:dyDescent="0.45"/>
  <cols>
    <col min="1" max="1" width="1.73046875" customWidth="1"/>
    <col min="6" max="6" width="9.1328125" bestFit="1" customWidth="1"/>
    <col min="7" max="7" width="8.86328125" bestFit="1" customWidth="1"/>
    <col min="8" max="10" width="9.1328125" bestFit="1" customWidth="1"/>
  </cols>
  <sheetData>
    <row r="2" spans="2:11" ht="14.65" thickBot="1" x14ac:dyDescent="0.5">
      <c r="B2" s="61" t="s">
        <v>343</v>
      </c>
      <c r="C2" s="71"/>
      <c r="D2" s="71"/>
      <c r="E2" s="71"/>
      <c r="F2" s="169">
        <f>'Data Room&gt;'!$J$4</f>
        <v>43891</v>
      </c>
      <c r="G2" s="169">
        <f>'Data Room&gt;'!$K$4</f>
        <v>44256</v>
      </c>
      <c r="H2" s="136">
        <f>'Data Room&gt;'!$L$4</f>
        <v>44621</v>
      </c>
      <c r="I2" s="136">
        <f>'Data Room&gt;'!$M$4</f>
        <v>44986</v>
      </c>
      <c r="J2" s="136">
        <f>'Data Room&gt;'!$N$4</f>
        <v>45352</v>
      </c>
      <c r="K2" s="72"/>
    </row>
    <row r="3" spans="2:11" ht="14.65" thickTop="1" x14ac:dyDescent="0.45"/>
    <row r="4" spans="2:11" x14ac:dyDescent="0.45">
      <c r="B4" s="2" t="s">
        <v>344</v>
      </c>
    </row>
    <row r="5" spans="2:11" x14ac:dyDescent="0.45">
      <c r="B5" s="76" t="s">
        <v>333</v>
      </c>
      <c r="C5" s="76"/>
      <c r="D5" s="76"/>
      <c r="E5" s="76"/>
      <c r="F5" s="170">
        <f>'Data Room&gt;'!J37</f>
        <v>7875</v>
      </c>
      <c r="G5" s="170">
        <f>'Data Room&gt;'!K37</f>
        <v>8997</v>
      </c>
      <c r="H5" s="170">
        <f>'Data Room&gt;'!L37</f>
        <v>8925</v>
      </c>
      <c r="I5" s="170">
        <f>'Data Room&gt;'!M37</f>
        <v>10513</v>
      </c>
      <c r="J5" s="170">
        <f>'Data Room&gt;'!N37</f>
        <v>9868</v>
      </c>
    </row>
    <row r="6" spans="2:11" x14ac:dyDescent="0.45">
      <c r="B6" s="76" t="s">
        <v>334</v>
      </c>
      <c r="C6" s="76"/>
      <c r="D6" s="76"/>
      <c r="E6" s="76"/>
      <c r="F6" s="170">
        <f>'Data Room&gt;'!J38</f>
        <v>9421</v>
      </c>
      <c r="G6" s="170">
        <f>'Data Room&gt;'!K38</f>
        <v>9061</v>
      </c>
      <c r="H6" s="170">
        <f>'Data Room&gt;'!L38</f>
        <v>10485</v>
      </c>
      <c r="I6" s="170">
        <f>'Data Room&gt;'!M38</f>
        <v>11439</v>
      </c>
      <c r="J6" s="170">
        <f>'Data Room&gt;'!N38</f>
        <v>11249</v>
      </c>
    </row>
    <row r="7" spans="2:11" x14ac:dyDescent="0.45">
      <c r="B7" s="76" t="s">
        <v>336</v>
      </c>
      <c r="C7" s="76"/>
      <c r="D7" s="76"/>
      <c r="E7" s="76"/>
      <c r="F7" s="170">
        <f>'Data Room&gt;'!J40</f>
        <v>149</v>
      </c>
      <c r="G7" s="170">
        <f>'Data Room&gt;'!K40</f>
        <v>58</v>
      </c>
      <c r="H7" s="170">
        <f>'Data Room&gt;'!L40</f>
        <v>172</v>
      </c>
      <c r="I7" s="170">
        <f>'Data Room&gt;'!M40</f>
        <v>188</v>
      </c>
      <c r="J7" s="170">
        <f>'Data Room&gt;'!N40</f>
        <v>213</v>
      </c>
    </row>
    <row r="8" spans="2:11" x14ac:dyDescent="0.45">
      <c r="B8" s="76" t="s">
        <v>337</v>
      </c>
      <c r="C8" s="76"/>
      <c r="D8" s="76"/>
      <c r="E8" s="76"/>
      <c r="F8" s="170">
        <f>'Data Room&gt;'!J41</f>
        <v>10051</v>
      </c>
      <c r="G8" s="170">
        <f>'Data Room&gt;'!K41</f>
        <v>10328</v>
      </c>
      <c r="H8" s="170">
        <f>'Data Room&gt;'!L41</f>
        <v>8361</v>
      </c>
      <c r="I8" s="170">
        <f>'Data Room&gt;'!M41</f>
        <v>8939</v>
      </c>
      <c r="J8" s="170">
        <f>'Data Room&gt;'!N41</f>
        <v>9865</v>
      </c>
    </row>
    <row r="9" spans="2:11" x14ac:dyDescent="0.45">
      <c r="B9" s="2" t="s">
        <v>112</v>
      </c>
      <c r="C9" s="2"/>
      <c r="D9" s="2"/>
      <c r="E9" s="2"/>
      <c r="F9" s="171">
        <f>SUM(F5:F8)</f>
        <v>27496</v>
      </c>
      <c r="G9" s="171">
        <f t="shared" ref="G9:J9" si="0">SUM(G5:G8)</f>
        <v>28444</v>
      </c>
      <c r="H9" s="171">
        <f t="shared" si="0"/>
        <v>27943</v>
      </c>
      <c r="I9" s="171">
        <f t="shared" si="0"/>
        <v>31079</v>
      </c>
      <c r="J9" s="171">
        <f t="shared" si="0"/>
        <v>31195</v>
      </c>
    </row>
    <row r="11" spans="2:11" x14ac:dyDescent="0.45">
      <c r="B11" s="2" t="s">
        <v>345</v>
      </c>
    </row>
    <row r="12" spans="2:11" x14ac:dyDescent="0.45">
      <c r="B12" s="168" t="str">
        <f>'Data Room&gt;'!B15</f>
        <v>Trade Payables</v>
      </c>
      <c r="C12" s="76"/>
      <c r="D12" s="76"/>
      <c r="E12" s="76"/>
      <c r="F12" s="170">
        <f>'Data Room&gt;'!J15</f>
        <v>3584</v>
      </c>
      <c r="G12" s="170">
        <f>'Data Room&gt;'!K15</f>
        <v>3974</v>
      </c>
      <c r="H12" s="170">
        <f>'Data Room&gt;'!L15</f>
        <v>4490</v>
      </c>
      <c r="I12" s="170">
        <f>'Data Room&gt;'!M15</f>
        <v>5682</v>
      </c>
      <c r="J12" s="170">
        <f>'Data Room&gt;'!N15</f>
        <v>5653</v>
      </c>
    </row>
    <row r="13" spans="2:11" x14ac:dyDescent="0.45">
      <c r="B13" s="168" t="str">
        <f>'Data Room&gt;'!B16</f>
        <v>Advance from Customers</v>
      </c>
      <c r="C13" s="76"/>
      <c r="D13" s="76"/>
      <c r="E13" s="76"/>
      <c r="F13" s="170">
        <f>'Data Room&gt;'!J16</f>
        <v>53</v>
      </c>
      <c r="G13" s="170">
        <f>'Data Room&gt;'!K16</f>
        <v>47</v>
      </c>
      <c r="H13" s="170">
        <f>'Data Room&gt;'!L16</f>
        <v>29</v>
      </c>
      <c r="I13" s="170">
        <f>'Data Room&gt;'!M16</f>
        <v>41</v>
      </c>
      <c r="J13" s="170">
        <f>'Data Room&gt;'!N16</f>
        <v>43</v>
      </c>
    </row>
    <row r="14" spans="2:11" x14ac:dyDescent="0.45">
      <c r="B14" s="168" t="str">
        <f>'Data Room&gt;'!B17</f>
        <v>Other liability items</v>
      </c>
      <c r="C14" s="76"/>
      <c r="D14" s="76"/>
      <c r="E14" s="76"/>
      <c r="F14" s="170">
        <f>'Data Room&gt;'!J17</f>
        <v>7118</v>
      </c>
      <c r="G14" s="170">
        <f>'Data Room&gt;'!K17</f>
        <v>10253</v>
      </c>
      <c r="H14" s="170">
        <f>'Data Room&gt;'!L17</f>
        <v>12901</v>
      </c>
      <c r="I14" s="170">
        <f>'Data Room&gt;'!M17</f>
        <v>8788</v>
      </c>
      <c r="J14" s="170">
        <f>'Data Room&gt;'!N17</f>
        <v>9232</v>
      </c>
    </row>
    <row r="15" spans="2:11" x14ac:dyDescent="0.45">
      <c r="B15" s="2" t="s">
        <v>346</v>
      </c>
      <c r="C15" s="2"/>
      <c r="D15" s="2"/>
      <c r="E15" s="2"/>
      <c r="F15" s="171">
        <f>SUM(F12:F14)</f>
        <v>10755</v>
      </c>
      <c r="G15" s="171">
        <f>SUM(G12:G14)</f>
        <v>14274</v>
      </c>
      <c r="H15" s="171">
        <f>SUM(H12:H14)</f>
        <v>17420</v>
      </c>
      <c r="I15" s="171">
        <f>SUM(I12:I14)</f>
        <v>14511</v>
      </c>
      <c r="J15" s="171">
        <f>SUM(J12:J14)</f>
        <v>14928</v>
      </c>
    </row>
    <row r="17" spans="1:10" ht="14.65" thickBot="1" x14ac:dyDescent="0.5">
      <c r="A17" t="s">
        <v>83</v>
      </c>
      <c r="B17" s="73" t="s">
        <v>347</v>
      </c>
      <c r="C17" s="73"/>
      <c r="D17" s="73"/>
      <c r="E17" s="73"/>
      <c r="F17" s="172">
        <f>F9-F15</f>
        <v>16741</v>
      </c>
      <c r="G17" s="172">
        <f t="shared" ref="G17:J17" si="1">G9-G15</f>
        <v>14170</v>
      </c>
      <c r="H17" s="172">
        <f t="shared" si="1"/>
        <v>10523</v>
      </c>
      <c r="I17" s="172">
        <f t="shared" si="1"/>
        <v>16568</v>
      </c>
      <c r="J17" s="172">
        <f t="shared" si="1"/>
        <v>16267</v>
      </c>
    </row>
    <row r="18" spans="1:10" ht="14.65" thickTop="1" x14ac:dyDescent="0.45"/>
    <row r="19" spans="1:10" x14ac:dyDescent="0.45">
      <c r="B19" s="2" t="s">
        <v>348</v>
      </c>
    </row>
    <row r="20" spans="1:10" x14ac:dyDescent="0.45">
      <c r="B20" s="168" t="str">
        <f>'Data Room&gt;'!B21</f>
        <v>Land</v>
      </c>
      <c r="C20" s="76"/>
      <c r="D20" s="76"/>
      <c r="E20" s="76"/>
      <c r="F20" s="170">
        <f>'Data Room&gt;'!J21</f>
        <v>686</v>
      </c>
      <c r="G20" s="170">
        <f>'Data Room&gt;'!K21</f>
        <v>642</v>
      </c>
      <c r="H20" s="170">
        <f>'Data Room&gt;'!L21</f>
        <v>862</v>
      </c>
      <c r="I20" s="170">
        <f>'Data Room&gt;'!M21</f>
        <v>898</v>
      </c>
      <c r="J20" s="170">
        <f>'Data Room&gt;'!N21</f>
        <v>1047</v>
      </c>
    </row>
    <row r="21" spans="1:10" x14ac:dyDescent="0.45">
      <c r="B21" s="168" t="str">
        <f>'Data Room&gt;'!B22</f>
        <v>Building</v>
      </c>
      <c r="C21" s="76"/>
      <c r="D21" s="76"/>
      <c r="E21" s="76"/>
      <c r="F21" s="170">
        <f>'Data Room&gt;'!J22</f>
        <v>5844</v>
      </c>
      <c r="G21" s="170">
        <f>'Data Room&gt;'!K22</f>
        <v>5937</v>
      </c>
      <c r="H21" s="170">
        <f>'Data Room&gt;'!L22</f>
        <v>6048</v>
      </c>
      <c r="I21" s="170">
        <f>'Data Room&gt;'!M22</f>
        <v>6820</v>
      </c>
      <c r="J21" s="170">
        <f>'Data Room&gt;'!N22</f>
        <v>6803</v>
      </c>
    </row>
    <row r="22" spans="1:10" x14ac:dyDescent="0.45">
      <c r="B22" s="168" t="str">
        <f>'Data Room&gt;'!B23</f>
        <v>Plant Machinery</v>
      </c>
      <c r="C22" s="76"/>
      <c r="D22" s="76"/>
      <c r="E22" s="76"/>
      <c r="F22" s="170">
        <f>'Data Room&gt;'!J23</f>
        <v>10976</v>
      </c>
      <c r="G22" s="170">
        <f>'Data Room&gt;'!K23</f>
        <v>11629</v>
      </c>
      <c r="H22" s="170">
        <f>'Data Room&gt;'!L23</f>
        <v>12363</v>
      </c>
      <c r="I22" s="170">
        <f>'Data Room&gt;'!M23</f>
        <v>13077</v>
      </c>
      <c r="J22" s="170">
        <f>'Data Room&gt;'!N23</f>
        <v>13706</v>
      </c>
    </row>
    <row r="23" spans="1:10" x14ac:dyDescent="0.45">
      <c r="B23" s="168" t="str">
        <f>'Data Room&gt;'!B24</f>
        <v>Equipments</v>
      </c>
      <c r="C23" s="76"/>
      <c r="D23" s="76"/>
      <c r="E23" s="76"/>
      <c r="F23" s="170">
        <f>'Data Room&gt;'!J24</f>
        <v>233</v>
      </c>
      <c r="G23" s="170">
        <f>'Data Room&gt;'!K24</f>
        <v>273</v>
      </c>
      <c r="H23" s="170">
        <f>'Data Room&gt;'!L24</f>
        <v>305</v>
      </c>
      <c r="I23" s="170">
        <f>'Data Room&gt;'!M24</f>
        <v>327</v>
      </c>
      <c r="J23" s="170">
        <f>'Data Room&gt;'!N24</f>
        <v>345</v>
      </c>
    </row>
    <row r="24" spans="1:10" x14ac:dyDescent="0.45">
      <c r="B24" s="168" t="str">
        <f>'Data Room&gt;'!B25</f>
        <v>Furniture n fittings</v>
      </c>
      <c r="C24" s="76"/>
      <c r="D24" s="76"/>
      <c r="E24" s="76"/>
      <c r="F24" s="170">
        <f>'Data Room&gt;'!J25</f>
        <v>427</v>
      </c>
      <c r="G24" s="170">
        <f>'Data Room&gt;'!K25</f>
        <v>421</v>
      </c>
      <c r="H24" s="170">
        <f>'Data Room&gt;'!L25</f>
        <v>423</v>
      </c>
      <c r="I24" s="170">
        <f>'Data Room&gt;'!M25</f>
        <v>444</v>
      </c>
      <c r="J24" s="170">
        <f>'Data Room&gt;'!N25</f>
        <v>454</v>
      </c>
    </row>
    <row r="25" spans="1:10" x14ac:dyDescent="0.45">
      <c r="B25" s="168" t="str">
        <f>'Data Room&gt;'!B26</f>
        <v>Vehicles</v>
      </c>
      <c r="C25" s="76"/>
      <c r="D25" s="76"/>
      <c r="E25" s="76"/>
      <c r="F25" s="170">
        <f>'Data Room&gt;'!J26</f>
        <v>319</v>
      </c>
      <c r="G25" s="170">
        <f>'Data Room&gt;'!K26</f>
        <v>371</v>
      </c>
      <c r="H25" s="170">
        <f>'Data Room&gt;'!L26</f>
        <v>408</v>
      </c>
      <c r="I25" s="170">
        <f>'Data Room&gt;'!M26</f>
        <v>447</v>
      </c>
      <c r="J25" s="170">
        <f>'Data Room&gt;'!N26</f>
        <v>414</v>
      </c>
    </row>
    <row r="26" spans="1:10" x14ac:dyDescent="0.45">
      <c r="B26" s="168" t="str">
        <f>'Data Room&gt;'!B27</f>
        <v>Intangible Assets</v>
      </c>
      <c r="C26" s="76"/>
      <c r="D26" s="76"/>
      <c r="E26" s="76"/>
      <c r="F26" s="170">
        <f>'Data Room&gt;'!J27</f>
        <v>16322</v>
      </c>
      <c r="G26" s="170">
        <f>'Data Room&gt;'!K27</f>
        <v>15934</v>
      </c>
      <c r="H26" s="170">
        <f>'Data Room&gt;'!L27</f>
        <v>6591</v>
      </c>
      <c r="I26" s="170">
        <f>'Data Room&gt;'!M27</f>
        <v>8358</v>
      </c>
      <c r="J26" s="170">
        <f>'Data Room&gt;'!N27</f>
        <v>8599</v>
      </c>
    </row>
    <row r="27" spans="1:10" x14ac:dyDescent="0.45">
      <c r="B27" s="168" t="str">
        <f>'Data Room&gt;'!B28</f>
        <v>Other fixed assets</v>
      </c>
      <c r="C27" s="76"/>
      <c r="D27" s="76"/>
      <c r="E27" s="76"/>
      <c r="F27" s="170">
        <f>'Data Room&gt;'!J28</f>
        <v>310</v>
      </c>
      <c r="G27" s="170">
        <f>'Data Room&gt;'!K28</f>
        <v>371</v>
      </c>
      <c r="H27" s="170">
        <f>'Data Room&gt;'!L28</f>
        <v>11707</v>
      </c>
      <c r="I27" s="170">
        <f>'Data Room&gt;'!M28</f>
        <v>12729</v>
      </c>
      <c r="J27" s="170">
        <f>'Data Room&gt;'!N28</f>
        <v>12916</v>
      </c>
    </row>
    <row r="28" spans="1:10" ht="3.85" customHeight="1" x14ac:dyDescent="0.45">
      <c r="B28" s="76"/>
      <c r="C28" s="76"/>
      <c r="D28" s="76"/>
      <c r="E28" s="76"/>
      <c r="F28" s="77"/>
      <c r="G28" s="77"/>
      <c r="H28" s="77"/>
      <c r="I28" s="77"/>
      <c r="J28" s="77"/>
    </row>
    <row r="29" spans="1:10" x14ac:dyDescent="0.45">
      <c r="B29" s="79" t="s">
        <v>330</v>
      </c>
      <c r="C29" s="79"/>
      <c r="D29" s="79"/>
      <c r="E29" s="79"/>
      <c r="F29" s="173">
        <f>SUM(F20:F27)</f>
        <v>35117</v>
      </c>
      <c r="G29" s="173">
        <f t="shared" ref="G29:J29" si="2">SUM(G20:G27)</f>
        <v>35578</v>
      </c>
      <c r="H29" s="173">
        <f t="shared" si="2"/>
        <v>38707</v>
      </c>
      <c r="I29" s="173">
        <f t="shared" si="2"/>
        <v>43100</v>
      </c>
      <c r="J29" s="173">
        <f t="shared" si="2"/>
        <v>44284</v>
      </c>
    </row>
    <row r="30" spans="1:10" x14ac:dyDescent="0.45">
      <c r="B30" s="76" t="s">
        <v>331</v>
      </c>
      <c r="C30" s="76"/>
      <c r="D30" s="76"/>
      <c r="E30" s="76"/>
      <c r="F30" s="174">
        <f>-'Data Room&gt;'!J30</f>
        <v>-12269</v>
      </c>
      <c r="G30" s="174">
        <f>-'Data Room&gt;'!K30</f>
        <v>-14026</v>
      </c>
      <c r="H30" s="174">
        <f>-'Data Room&gt;'!L30</f>
        <v>-16042</v>
      </c>
      <c r="I30" s="174">
        <f>-'Data Room&gt;'!M30</f>
        <v>-19035</v>
      </c>
      <c r="J30" s="174">
        <f>-'Data Room&gt;'!N30</f>
        <v>-21072</v>
      </c>
    </row>
    <row r="31" spans="1:10" ht="14.65" thickBot="1" x14ac:dyDescent="0.5">
      <c r="A31" t="s">
        <v>83</v>
      </c>
      <c r="B31" s="78" t="s">
        <v>349</v>
      </c>
      <c r="C31" s="78"/>
      <c r="D31" s="78"/>
      <c r="E31" s="78"/>
      <c r="F31" s="175">
        <f>SUM(F29:F30)</f>
        <v>22848</v>
      </c>
      <c r="G31" s="175">
        <f t="shared" ref="G31:J31" si="3">SUM(G29:G30)</f>
        <v>21552</v>
      </c>
      <c r="H31" s="175">
        <f t="shared" si="3"/>
        <v>22665</v>
      </c>
      <c r="I31" s="175">
        <f t="shared" si="3"/>
        <v>24065</v>
      </c>
      <c r="J31" s="175">
        <f t="shared" si="3"/>
        <v>23212</v>
      </c>
    </row>
    <row r="32" spans="1:10" ht="14.65" thickTop="1" x14ac:dyDescent="0.45"/>
    <row r="33" spans="1:10" x14ac:dyDescent="0.45">
      <c r="A33" t="s">
        <v>83</v>
      </c>
      <c r="B33" s="81" t="s">
        <v>350</v>
      </c>
      <c r="C33" s="80"/>
      <c r="D33" s="80"/>
      <c r="E33" s="80"/>
      <c r="F33" s="176">
        <f>F17+F31</f>
        <v>39589</v>
      </c>
      <c r="G33" s="176">
        <f t="shared" ref="G33:J33" si="4">G17+G31</f>
        <v>35722</v>
      </c>
      <c r="H33" s="176">
        <f t="shared" si="4"/>
        <v>33188</v>
      </c>
      <c r="I33" s="176">
        <f t="shared" si="4"/>
        <v>40633</v>
      </c>
      <c r="J33" s="176">
        <f t="shared" si="4"/>
        <v>39479</v>
      </c>
    </row>
    <row r="34" spans="1:10" x14ac:dyDescent="0.45">
      <c r="B34" s="81" t="s">
        <v>351</v>
      </c>
      <c r="C34" s="80"/>
      <c r="D34" s="80"/>
      <c r="E34" s="80"/>
      <c r="F34" s="177">
        <f>'Historical Data'!H18-'Historical Data'!I24</f>
        <v>40712.270000000004</v>
      </c>
      <c r="G34" s="177">
        <f>'Historical Data'!I18-'Historical Data'!J24</f>
        <v>42132.58</v>
      </c>
      <c r="H34" s="177">
        <f>'Historical Data'!J18-'Historical Data'!K24</f>
        <v>48199.86</v>
      </c>
      <c r="I34" s="177">
        <f>'Historical Data'!K18-'Historical Data'!L24</f>
        <v>52543.820000000007</v>
      </c>
      <c r="J34" s="177">
        <f>'Historical Data'!L18-'Historical Data'!M24</f>
        <v>59095.909999999996</v>
      </c>
    </row>
    <row r="36" spans="1:10" ht="14.65" thickBot="1" x14ac:dyDescent="0.5">
      <c r="A36" t="s">
        <v>83</v>
      </c>
      <c r="B36" s="73" t="s">
        <v>352</v>
      </c>
      <c r="C36" s="74"/>
      <c r="D36" s="74"/>
      <c r="E36" s="74"/>
      <c r="F36" s="178">
        <f>F34/F33</f>
        <v>1.028373285508601</v>
      </c>
      <c r="G36" s="178">
        <f t="shared" ref="G36:J36" si="5">G34/G33</f>
        <v>1.179457477184928</v>
      </c>
      <c r="H36" s="178">
        <f t="shared" si="5"/>
        <v>1.4523279498613957</v>
      </c>
      <c r="I36" s="178">
        <f t="shared" si="5"/>
        <v>1.2931316909900821</v>
      </c>
      <c r="J36" s="178">
        <f t="shared" si="5"/>
        <v>1.4968948048329491</v>
      </c>
    </row>
    <row r="37" spans="1:10" ht="14.65" thickTop="1" x14ac:dyDescent="0.45"/>
    <row r="38" spans="1:10" ht="14.65" thickBot="1" x14ac:dyDescent="0.5">
      <c r="B38" s="61" t="s">
        <v>353</v>
      </c>
      <c r="C38" s="71"/>
      <c r="D38" s="71"/>
      <c r="E38" s="71"/>
      <c r="F38" s="169">
        <f>'Data Room&gt;'!$J$4</f>
        <v>43891</v>
      </c>
      <c r="G38" s="169">
        <f>'Data Room&gt;'!$K$4</f>
        <v>44256</v>
      </c>
      <c r="H38" s="136">
        <f>'Data Room&gt;'!$L$4</f>
        <v>44621</v>
      </c>
      <c r="I38" s="136">
        <f>'Data Room&gt;'!$M$4</f>
        <v>44986</v>
      </c>
      <c r="J38" s="136">
        <f>'Data Room&gt;'!$N$4</f>
        <v>45352</v>
      </c>
    </row>
    <row r="39" spans="1:10" ht="14.65" thickTop="1" x14ac:dyDescent="0.45"/>
    <row r="40" spans="1:10" x14ac:dyDescent="0.45">
      <c r="B40" s="76" t="s">
        <v>354</v>
      </c>
      <c r="C40" s="76"/>
      <c r="D40" s="76"/>
      <c r="E40" s="76"/>
      <c r="F40" s="179">
        <f>-SUM('Cash Flow Data'!J13:J14)</f>
        <v>1450</v>
      </c>
      <c r="G40" s="179">
        <f>-SUM('Cash Flow Data'!K13:K14)</f>
        <v>1073</v>
      </c>
      <c r="H40" s="179">
        <f>-SUM('Cash Flow Data'!L13:L14)</f>
        <v>1434</v>
      </c>
      <c r="I40" s="179">
        <f>-SUM('Cash Flow Data'!M13:M14)</f>
        <v>2065</v>
      </c>
      <c r="J40" s="179">
        <f>-SUM('Cash Flow Data'!N13:N14)</f>
        <v>2171</v>
      </c>
    </row>
    <row r="41" spans="1:10" x14ac:dyDescent="0.45">
      <c r="B41" s="76" t="s">
        <v>355</v>
      </c>
      <c r="C41" s="76"/>
      <c r="D41" s="76"/>
      <c r="E41" s="76"/>
      <c r="F41" s="76"/>
      <c r="G41" s="174">
        <f>G17-F17</f>
        <v>-2571</v>
      </c>
      <c r="H41" s="174">
        <f t="shared" ref="H41:J41" si="6">H17-G17</f>
        <v>-3647</v>
      </c>
      <c r="I41" s="174">
        <f t="shared" si="6"/>
        <v>6045</v>
      </c>
      <c r="J41" s="174">
        <f t="shared" si="6"/>
        <v>-301</v>
      </c>
    </row>
    <row r="43" spans="1:10" x14ac:dyDescent="0.45">
      <c r="B43" s="80" t="s">
        <v>351</v>
      </c>
      <c r="C43" s="80"/>
      <c r="D43" s="80"/>
      <c r="E43" s="80"/>
      <c r="F43" s="180">
        <f>F34</f>
        <v>40712.270000000004</v>
      </c>
      <c r="G43" s="180">
        <f t="shared" ref="G43:J43" si="7">G34</f>
        <v>42132.58</v>
      </c>
      <c r="H43" s="180">
        <f t="shared" si="7"/>
        <v>48199.86</v>
      </c>
      <c r="I43" s="180">
        <f t="shared" si="7"/>
        <v>52543.820000000007</v>
      </c>
      <c r="J43" s="180">
        <f t="shared" si="7"/>
        <v>59095.909999999996</v>
      </c>
    </row>
    <row r="44" spans="1:10" x14ac:dyDescent="0.45">
      <c r="B44" s="80" t="s">
        <v>356</v>
      </c>
      <c r="C44" s="80"/>
      <c r="D44" s="80"/>
      <c r="E44" s="80"/>
      <c r="F44" s="184">
        <v>0.22</v>
      </c>
      <c r="G44" s="184">
        <v>0.22</v>
      </c>
      <c r="H44" s="184">
        <v>0.22</v>
      </c>
      <c r="I44" s="184">
        <v>0.22</v>
      </c>
      <c r="J44" s="184">
        <v>0.22</v>
      </c>
    </row>
    <row r="45" spans="1:10" x14ac:dyDescent="0.45">
      <c r="B45" s="80" t="s">
        <v>358</v>
      </c>
      <c r="C45" s="80"/>
      <c r="D45" s="80"/>
      <c r="E45" s="80"/>
      <c r="F45" s="181">
        <f>F43*(1-F44)</f>
        <v>31755.570600000003</v>
      </c>
      <c r="G45" s="181">
        <f t="shared" ref="G45:J45" si="8">G43*(1-G44)</f>
        <v>32863.412400000001</v>
      </c>
      <c r="H45" s="181">
        <f t="shared" si="8"/>
        <v>37595.890800000001</v>
      </c>
      <c r="I45" s="181">
        <f t="shared" si="8"/>
        <v>40984.17960000001</v>
      </c>
      <c r="J45" s="181">
        <f t="shared" si="8"/>
        <v>46094.809799999995</v>
      </c>
    </row>
    <row r="47" spans="1:10" x14ac:dyDescent="0.45">
      <c r="B47" s="80" t="s">
        <v>357</v>
      </c>
      <c r="C47" s="80"/>
      <c r="D47" s="80"/>
      <c r="E47" s="80"/>
      <c r="F47" s="80"/>
      <c r="G47" s="182">
        <f>SUM(G40:G41)</f>
        <v>-1498</v>
      </c>
      <c r="H47" s="182">
        <f t="shared" ref="H47:J47" si="9">SUM(H40:H41)</f>
        <v>-2213</v>
      </c>
      <c r="I47" s="182">
        <f t="shared" si="9"/>
        <v>8110</v>
      </c>
      <c r="J47" s="182">
        <f t="shared" si="9"/>
        <v>1870</v>
      </c>
    </row>
    <row r="48" spans="1:10" ht="2.25" customHeight="1" x14ac:dyDescent="0.45">
      <c r="G48" s="25"/>
      <c r="H48" s="25"/>
      <c r="I48" s="25"/>
      <c r="J48" s="25"/>
    </row>
    <row r="49" spans="2:10" ht="14.65" thickBot="1" x14ac:dyDescent="0.5">
      <c r="B49" s="73" t="s">
        <v>359</v>
      </c>
      <c r="C49" s="74"/>
      <c r="D49" s="74"/>
      <c r="E49" s="74"/>
      <c r="F49" s="75"/>
      <c r="G49" s="178">
        <f>G47/G45</f>
        <v>-4.5582606631562092E-2</v>
      </c>
      <c r="H49" s="178">
        <f t="shared" ref="H49:J49" si="10">H47/H45</f>
        <v>-5.886281593306468E-2</v>
      </c>
      <c r="I49" s="178">
        <f t="shared" si="10"/>
        <v>0.19788123317710618</v>
      </c>
      <c r="J49" s="178">
        <f t="shared" si="10"/>
        <v>4.0568558762119032E-2</v>
      </c>
    </row>
    <row r="50" spans="2:10" ht="14.65" thickTop="1" x14ac:dyDescent="0.45"/>
    <row r="51" spans="2:10" x14ac:dyDescent="0.45">
      <c r="H51" s="60" t="s">
        <v>360</v>
      </c>
      <c r="I51" s="60"/>
      <c r="J51" s="160">
        <f>AVERAGE(G49:J49)</f>
        <v>3.3501092343649612E-2</v>
      </c>
    </row>
    <row r="52" spans="2:10" x14ac:dyDescent="0.45">
      <c r="H52" s="60" t="s">
        <v>361</v>
      </c>
      <c r="I52" s="60"/>
      <c r="J52" s="160">
        <f>MEDIAN(G49:J49)</f>
        <v>-2.5070239347215334E-3</v>
      </c>
    </row>
    <row r="54" spans="2:10" ht="14.65" thickBot="1" x14ac:dyDescent="0.5">
      <c r="B54" s="61" t="s">
        <v>362</v>
      </c>
      <c r="C54" s="71"/>
      <c r="D54" s="71"/>
      <c r="E54" s="71"/>
      <c r="F54" s="169">
        <f>'Data Room&gt;'!$J$4</f>
        <v>43891</v>
      </c>
      <c r="G54" s="169">
        <f>'Data Room&gt;'!$K$4</f>
        <v>44256</v>
      </c>
      <c r="H54" s="136">
        <f>'Data Room&gt;'!$L$4</f>
        <v>44621</v>
      </c>
      <c r="I54" s="136">
        <f>'Data Room&gt;'!$M$4</f>
        <v>44986</v>
      </c>
      <c r="J54" s="136">
        <f>'Data Room&gt;'!$N$4</f>
        <v>45352</v>
      </c>
    </row>
    <row r="55" spans="2:10" ht="14.65" thickTop="1" x14ac:dyDescent="0.45"/>
    <row r="56" spans="2:10" x14ac:dyDescent="0.45">
      <c r="B56" s="80" t="s">
        <v>359</v>
      </c>
      <c r="C56" s="80"/>
      <c r="D56" s="80"/>
      <c r="E56" s="80"/>
      <c r="F56" s="80"/>
      <c r="G56" s="183">
        <f>G49</f>
        <v>-4.5582606631562092E-2</v>
      </c>
      <c r="H56" s="183">
        <f t="shared" ref="H56:J56" si="11">H49</f>
        <v>-5.886281593306468E-2</v>
      </c>
      <c r="I56" s="183">
        <f t="shared" si="11"/>
        <v>0.19788123317710618</v>
      </c>
      <c r="J56" s="183">
        <f t="shared" si="11"/>
        <v>4.0568558762119032E-2</v>
      </c>
    </row>
    <row r="57" spans="2:10" x14ac:dyDescent="0.45">
      <c r="B57" s="80" t="s">
        <v>363</v>
      </c>
      <c r="C57" s="80"/>
      <c r="D57" s="80"/>
      <c r="E57" s="80"/>
      <c r="F57" s="80"/>
      <c r="G57" s="183">
        <f>G36</f>
        <v>1.179457477184928</v>
      </c>
      <c r="H57" s="183">
        <f t="shared" ref="H57:J57" si="12">H36</f>
        <v>1.4523279498613957</v>
      </c>
      <c r="I57" s="183">
        <f t="shared" si="12"/>
        <v>1.2931316909900821</v>
      </c>
      <c r="J57" s="183">
        <f t="shared" si="12"/>
        <v>1.4968948048329491</v>
      </c>
    </row>
    <row r="58" spans="2:10" ht="3" customHeight="1" x14ac:dyDescent="0.45"/>
    <row r="59" spans="2:10" ht="14.65" thickBot="1" x14ac:dyDescent="0.5">
      <c r="B59" s="73" t="s">
        <v>364</v>
      </c>
      <c r="C59" s="74"/>
      <c r="D59" s="74"/>
      <c r="E59" s="74"/>
      <c r="F59" s="75"/>
      <c r="G59" s="178">
        <f>G56*G57</f>
        <v>-5.3762746221175196E-2</v>
      </c>
      <c r="H59" s="178">
        <f t="shared" ref="H59:J59" si="13">H56*H57</f>
        <v>-8.5488112787136528E-2</v>
      </c>
      <c r="I59" s="178">
        <f t="shared" si="13"/>
        <v>0.25588649367351407</v>
      </c>
      <c r="J59" s="178">
        <f t="shared" si="13"/>
        <v>6.0726864850576198E-2</v>
      </c>
    </row>
    <row r="60" spans="2:10" ht="14.65" thickTop="1" x14ac:dyDescent="0.45"/>
    <row r="61" spans="2:10" x14ac:dyDescent="0.45">
      <c r="H61" s="60" t="s">
        <v>360</v>
      </c>
      <c r="I61" s="60"/>
      <c r="J61" s="160">
        <f>AVERAGE(G59:J59)</f>
        <v>4.4340624878944634E-2</v>
      </c>
    </row>
    <row r="62" spans="2:10" x14ac:dyDescent="0.45">
      <c r="H62" s="60" t="s">
        <v>361</v>
      </c>
      <c r="I62" s="60"/>
      <c r="J62" s="160">
        <f>MEDIAN(G59:J59)</f>
        <v>3.4820593147005044E-3</v>
      </c>
    </row>
  </sheetData>
  <pageMargins left="0.7" right="0.7" top="0.75" bottom="0.75" header="0.3" footer="0.3"/>
  <customProperties>
    <customPr name="Smart" r:id="rId1"/>
  </customProperties>
  <ignoredErrors>
    <ignoredError sqref="F40:J40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B184F-F15F-4AF0-BDB1-702B66CAF7EC}">
  <sheetPr>
    <tabColor theme="5" tint="-0.249977111117893"/>
  </sheetPr>
  <dimension ref="A2:J41"/>
  <sheetViews>
    <sheetView showGridLines="0" topLeftCell="A14" workbookViewId="0">
      <selection activeCell="E29" sqref="E29"/>
    </sheetView>
  </sheetViews>
  <sheetFormatPr defaultRowHeight="14.25" outlineLevelRow="1" x14ac:dyDescent="0.45"/>
  <cols>
    <col min="1" max="1" width="1.73046875" style="37" customWidth="1"/>
    <col min="3" max="3" width="12.86328125" customWidth="1"/>
    <col min="4" max="4" width="12.59765625" bestFit="1" customWidth="1"/>
    <col min="6" max="6" width="9.19921875" bestFit="1" customWidth="1"/>
    <col min="7" max="7" width="10.1328125" bestFit="1" customWidth="1"/>
    <col min="8" max="10" width="9.1328125" bestFit="1" customWidth="1"/>
  </cols>
  <sheetData>
    <row r="2" spans="2:10" x14ac:dyDescent="0.45">
      <c r="B2" s="61" t="s">
        <v>365</v>
      </c>
      <c r="C2" s="71"/>
      <c r="D2" s="71"/>
      <c r="E2" s="85">
        <f>'Intrisic Growth'!J2</f>
        <v>45352</v>
      </c>
      <c r="F2" s="86">
        <f>E2+366</f>
        <v>45718</v>
      </c>
      <c r="G2" s="86">
        <f t="shared" ref="G2:J2" si="0">F2+365</f>
        <v>46083</v>
      </c>
      <c r="H2" s="86">
        <f t="shared" si="0"/>
        <v>46448</v>
      </c>
      <c r="I2" s="86">
        <f t="shared" si="0"/>
        <v>46813</v>
      </c>
      <c r="J2" s="86">
        <f t="shared" si="0"/>
        <v>47178</v>
      </c>
    </row>
    <row r="4" spans="2:10" x14ac:dyDescent="0.45">
      <c r="B4" s="89" t="s">
        <v>351</v>
      </c>
      <c r="C4" s="89"/>
      <c r="D4" s="89"/>
      <c r="E4" s="258">
        <f>'Historical Data'!L18-'Historical Data'!L24</f>
        <v>56539.27</v>
      </c>
      <c r="F4" s="259">
        <f>E4*(1+$D$14)</f>
        <v>62080.118459999998</v>
      </c>
      <c r="G4" s="259">
        <f>F4*(1+$D$14)</f>
        <v>68163.970069080009</v>
      </c>
      <c r="H4" s="259">
        <f>G4*(1+$D$14)</f>
        <v>74844.03913584986</v>
      </c>
      <c r="I4" s="259">
        <f>H4*(1+$D$14)</f>
        <v>82178.754971163158</v>
      </c>
      <c r="J4" s="259">
        <f>I4*(1+$D$14)</f>
        <v>90232.272958337155</v>
      </c>
    </row>
    <row r="5" spans="2:10" x14ac:dyDescent="0.45">
      <c r="B5" s="89" t="s">
        <v>236</v>
      </c>
      <c r="C5" s="89"/>
      <c r="D5" s="89"/>
      <c r="E5" s="192">
        <v>0.3</v>
      </c>
      <c r="F5" s="90">
        <f>E5</f>
        <v>0.3</v>
      </c>
      <c r="G5" s="90">
        <f t="shared" ref="G5:J5" si="1">F5</f>
        <v>0.3</v>
      </c>
      <c r="H5" s="90">
        <f t="shared" si="1"/>
        <v>0.3</v>
      </c>
      <c r="I5" s="90">
        <f t="shared" si="1"/>
        <v>0.3</v>
      </c>
      <c r="J5" s="90">
        <f t="shared" si="1"/>
        <v>0.3</v>
      </c>
    </row>
    <row r="6" spans="2:10" x14ac:dyDescent="0.45">
      <c r="B6" s="89" t="s">
        <v>366</v>
      </c>
      <c r="C6" s="89"/>
      <c r="D6" s="89"/>
      <c r="E6" s="258">
        <f t="shared" ref="E6:J6" si="2">E4*(1-E5)</f>
        <v>39577.488999999994</v>
      </c>
      <c r="F6" s="259">
        <f t="shared" si="2"/>
        <v>43456.082921999994</v>
      </c>
      <c r="G6" s="259">
        <f t="shared" si="2"/>
        <v>47714.779048356002</v>
      </c>
      <c r="H6" s="259">
        <f t="shared" si="2"/>
        <v>52390.827395094901</v>
      </c>
      <c r="I6" s="259">
        <f t="shared" si="2"/>
        <v>57525.128479814208</v>
      </c>
      <c r="J6" s="259">
        <f t="shared" si="2"/>
        <v>63162.591070836002</v>
      </c>
    </row>
    <row r="7" spans="2:10" x14ac:dyDescent="0.45">
      <c r="B7" s="89" t="s">
        <v>367</v>
      </c>
      <c r="C7" s="89"/>
      <c r="D7" s="89"/>
      <c r="E7" s="192">
        <v>0.44269999999999998</v>
      </c>
      <c r="F7" s="90">
        <f>E7</f>
        <v>0.44269999999999998</v>
      </c>
      <c r="G7" s="90">
        <f t="shared" ref="G7:J7" si="3">F7</f>
        <v>0.44269999999999998</v>
      </c>
      <c r="H7" s="90">
        <f t="shared" si="3"/>
        <v>0.44269999999999998</v>
      </c>
      <c r="I7" s="90">
        <f t="shared" si="3"/>
        <v>0.44269999999999998</v>
      </c>
      <c r="J7" s="90">
        <f t="shared" si="3"/>
        <v>0.44269999999999998</v>
      </c>
    </row>
    <row r="8" spans="2:10" x14ac:dyDescent="0.45">
      <c r="B8" s="89" t="s">
        <v>368</v>
      </c>
      <c r="C8" s="89"/>
      <c r="D8" s="89"/>
      <c r="E8" s="258">
        <f t="shared" ref="E8:J8" si="4">E6*(1-E7)</f>
        <v>22056.534619699996</v>
      </c>
      <c r="F8" s="259">
        <f t="shared" si="4"/>
        <v>24218.075012430596</v>
      </c>
      <c r="G8" s="259">
        <f t="shared" si="4"/>
        <v>26591.4463636488</v>
      </c>
      <c r="H8" s="259">
        <f t="shared" si="4"/>
        <v>29197.408107286388</v>
      </c>
      <c r="I8" s="259">
        <f t="shared" si="4"/>
        <v>32058.754101800459</v>
      </c>
      <c r="J8" s="259">
        <f t="shared" si="4"/>
        <v>35200.512003776908</v>
      </c>
    </row>
    <row r="9" spans="2:10" x14ac:dyDescent="0.45">
      <c r="B9" s="89" t="s">
        <v>369</v>
      </c>
      <c r="C9" s="89"/>
      <c r="D9" s="89"/>
      <c r="E9" s="260"/>
      <c r="F9" s="189">
        <v>0.5</v>
      </c>
      <c r="G9" s="261">
        <f>F9+1</f>
        <v>1.5</v>
      </c>
      <c r="H9" s="261">
        <f t="shared" ref="H9:J9" si="5">G9+1</f>
        <v>2.5</v>
      </c>
      <c r="I9" s="261">
        <f t="shared" si="5"/>
        <v>3.5</v>
      </c>
      <c r="J9" s="261">
        <f t="shared" si="5"/>
        <v>4.5</v>
      </c>
    </row>
    <row r="10" spans="2:10" x14ac:dyDescent="0.45">
      <c r="B10" s="89" t="s">
        <v>370</v>
      </c>
      <c r="C10" s="89"/>
      <c r="D10" s="89"/>
      <c r="E10" s="260"/>
      <c r="F10" s="262">
        <f>1/(1+$D$16)^F9</f>
        <v>0.94090071572598322</v>
      </c>
      <c r="G10" s="262">
        <f t="shared" ref="G10:J10" si="6">1/(1+$D$16)^G9</f>
        <v>0.83297390581164654</v>
      </c>
      <c r="H10" s="262">
        <f t="shared" si="6"/>
        <v>0.73742693162662776</v>
      </c>
      <c r="I10" s="262">
        <f t="shared" si="6"/>
        <v>0.65283975367558245</v>
      </c>
      <c r="J10" s="262">
        <f t="shared" si="6"/>
        <v>0.57795521929078064</v>
      </c>
    </row>
    <row r="11" spans="2:10" ht="4.1500000000000004" customHeight="1" thickBot="1" x14ac:dyDescent="0.5">
      <c r="E11" s="56"/>
    </row>
    <row r="12" spans="2:10" ht="14.65" thickBot="1" x14ac:dyDescent="0.5">
      <c r="B12" s="91" t="s">
        <v>371</v>
      </c>
      <c r="C12" s="91"/>
      <c r="D12" s="91"/>
      <c r="E12" s="91"/>
      <c r="F12" s="187">
        <f>F8*F10</f>
        <v>22786.804112701499</v>
      </c>
      <c r="G12" s="187">
        <f t="shared" ref="G12:J12" si="7">G8*G10</f>
        <v>22149.980938709446</v>
      </c>
      <c r="H12" s="187">
        <f t="shared" si="7"/>
        <v>21530.955072006625</v>
      </c>
      <c r="I12" s="187">
        <f t="shared" si="7"/>
        <v>20929.229130965479</v>
      </c>
      <c r="J12" s="187">
        <f t="shared" si="7"/>
        <v>20344.319634290638</v>
      </c>
    </row>
    <row r="13" spans="2:10" ht="14.65" thickTop="1" x14ac:dyDescent="0.45"/>
    <row r="14" spans="2:10" outlineLevel="1" x14ac:dyDescent="0.45">
      <c r="B14" s="88" t="s">
        <v>372</v>
      </c>
      <c r="C14" s="88"/>
      <c r="D14" s="256">
        <v>9.8000000000000004E-2</v>
      </c>
    </row>
    <row r="15" spans="2:10" outlineLevel="1" x14ac:dyDescent="0.45">
      <c r="B15" s="88" t="s">
        <v>373</v>
      </c>
      <c r="C15" s="88"/>
      <c r="D15" s="256">
        <v>6.5000000000000002E-2</v>
      </c>
    </row>
    <row r="16" spans="2:10" outlineLevel="1" x14ac:dyDescent="0.45">
      <c r="B16" s="88" t="s">
        <v>311</v>
      </c>
      <c r="C16" s="88"/>
      <c r="D16" s="256">
        <f>'WACC Analysis'!N44</f>
        <v>0.12956805628763768</v>
      </c>
    </row>
    <row r="17" spans="2:10" outlineLevel="1" x14ac:dyDescent="0.45"/>
    <row r="19" spans="2:10" x14ac:dyDescent="0.45">
      <c r="B19" s="61" t="s">
        <v>374</v>
      </c>
      <c r="C19" s="71"/>
      <c r="D19" s="71"/>
      <c r="F19" s="61" t="s">
        <v>424</v>
      </c>
      <c r="G19" s="61"/>
      <c r="H19" s="61"/>
      <c r="I19" s="61"/>
      <c r="J19" s="61"/>
    </row>
    <row r="20" spans="2:10" ht="15.75" x14ac:dyDescent="0.5">
      <c r="F20" s="188">
        <f>D38</f>
        <v>1879.6072531097766</v>
      </c>
      <c r="G20" s="257">
        <v>0.08</v>
      </c>
      <c r="H20" s="257">
        <v>0.12959999999999999</v>
      </c>
      <c r="I20" s="257">
        <v>0.14000000000000001</v>
      </c>
      <c r="J20" s="257">
        <v>0.16</v>
      </c>
    </row>
    <row r="21" spans="2:10" ht="15.75" x14ac:dyDescent="0.5">
      <c r="B21" t="s">
        <v>375</v>
      </c>
      <c r="D21" s="237">
        <f>J8*(1+D15)</f>
        <v>37488.545284022402</v>
      </c>
      <c r="F21" s="257">
        <v>0.03</v>
      </c>
      <c r="G21" s="190">
        <f t="dataTable" ref="G21:J26" dt2D="1" dtr="1" r1="D22" r2="D23"/>
        <v>2287.0961595875292</v>
      </c>
      <c r="H21" s="190">
        <v>1387.6933702544525</v>
      </c>
      <c r="I21" s="190">
        <v>1301.9731630599508</v>
      </c>
      <c r="J21" s="190">
        <v>1175.6753429923131</v>
      </c>
    </row>
    <row r="22" spans="2:10" ht="15.75" x14ac:dyDescent="0.5">
      <c r="B22" t="s">
        <v>311</v>
      </c>
      <c r="D22" s="123">
        <f>D16</f>
        <v>0.12956805628763768</v>
      </c>
      <c r="F22" s="257">
        <v>0.04</v>
      </c>
      <c r="G22" s="190">
        <v>2738.6108663293348</v>
      </c>
      <c r="H22" s="190">
        <v>1488.8826601689784</v>
      </c>
      <c r="I22" s="190">
        <v>1384.0667461039159</v>
      </c>
      <c r="J22" s="190">
        <v>1233.5618438566473</v>
      </c>
    </row>
    <row r="23" spans="2:10" ht="15.75" x14ac:dyDescent="0.5">
      <c r="B23" t="s">
        <v>376</v>
      </c>
      <c r="D23" s="123">
        <f>D15</f>
        <v>6.5000000000000002E-2</v>
      </c>
      <c r="F23" s="257">
        <v>0.05</v>
      </c>
      <c r="G23" s="190">
        <v>3491.1353775656794</v>
      </c>
      <c r="H23" s="190">
        <v>1615.4963947856459</v>
      </c>
      <c r="I23" s="190">
        <v>1484.403347602095</v>
      </c>
      <c r="J23" s="190">
        <v>1301.973163059951</v>
      </c>
    </row>
    <row r="24" spans="2:10" ht="4.1500000000000004" customHeight="1" thickBot="1" x14ac:dyDescent="0.55000000000000004">
      <c r="F24" s="257"/>
      <c r="G24" s="190">
        <v>1609.8240994748189</v>
      </c>
      <c r="H24" s="190">
        <v>1177.81928746877</v>
      </c>
      <c r="I24" s="190">
        <v>1126.0583422514551</v>
      </c>
      <c r="J24" s="190">
        <v>1045.430716047561</v>
      </c>
    </row>
    <row r="25" spans="2:10" ht="16.149999999999999" thickBot="1" x14ac:dyDescent="0.55000000000000004">
      <c r="B25" s="91" t="s">
        <v>377</v>
      </c>
      <c r="C25" s="87"/>
      <c r="D25" s="185">
        <f>D21/(D22-D23)</f>
        <v>580605.13881691732</v>
      </c>
      <c r="F25" s="257">
        <v>6.5000000000000002E-2</v>
      </c>
      <c r="G25" s="190">
        <v>6501.2334225110553</v>
      </c>
      <c r="H25" s="191">
        <v>1878.9156816661437</v>
      </c>
      <c r="I25" s="190">
        <v>1685.0765505984532</v>
      </c>
      <c r="J25" s="190">
        <v>1431.5946099714745</v>
      </c>
    </row>
    <row r="26" spans="2:10" ht="16.149999999999999" thickTop="1" x14ac:dyDescent="0.5">
      <c r="F26" s="257">
        <v>7.0000000000000007E-2</v>
      </c>
      <c r="G26" s="190">
        <v>9511.3314674564372</v>
      </c>
      <c r="H26" s="190">
        <v>1996.1873552438149</v>
      </c>
      <c r="I26" s="190">
        <v>1771.0793518826072</v>
      </c>
      <c r="J26" s="190">
        <v>1484.403347602095</v>
      </c>
    </row>
    <row r="27" spans="2:10" x14ac:dyDescent="0.45">
      <c r="B27" s="61" t="s">
        <v>382</v>
      </c>
      <c r="C27" s="71"/>
      <c r="D27" s="71"/>
    </row>
    <row r="29" spans="2:10" x14ac:dyDescent="0.45">
      <c r="B29" t="s">
        <v>371</v>
      </c>
      <c r="D29" s="146">
        <f>SUM(F12:J12)</f>
        <v>107741.28888867371</v>
      </c>
    </row>
    <row r="30" spans="2:10" x14ac:dyDescent="0.45">
      <c r="B30" t="s">
        <v>378</v>
      </c>
      <c r="D30" s="146">
        <f>D25*J10</f>
        <v>335563.77032628556</v>
      </c>
    </row>
    <row r="31" spans="2:10" x14ac:dyDescent="0.45">
      <c r="B31" s="2" t="s">
        <v>379</v>
      </c>
      <c r="C31" s="2"/>
      <c r="D31" s="263">
        <f>SUM(D29:D30)</f>
        <v>443305.05921495927</v>
      </c>
    </row>
    <row r="32" spans="2:10" x14ac:dyDescent="0.45">
      <c r="B32" s="2"/>
      <c r="C32" s="2"/>
      <c r="D32" s="263"/>
    </row>
    <row r="33" spans="2:4" x14ac:dyDescent="0.45">
      <c r="B33" t="s">
        <v>380</v>
      </c>
      <c r="C33" s="2"/>
      <c r="D33" s="237">
        <f>'Data Sheet'!K69</f>
        <v>10520.68</v>
      </c>
    </row>
    <row r="34" spans="2:4" x14ac:dyDescent="0.45">
      <c r="B34" t="s">
        <v>381</v>
      </c>
      <c r="D34" s="237">
        <f>SUM('Data Room&gt;'!N9:N10)</f>
        <v>2845</v>
      </c>
    </row>
    <row r="35" spans="2:4" x14ac:dyDescent="0.45">
      <c r="B35" s="2" t="s">
        <v>383</v>
      </c>
      <c r="D35" s="237">
        <f>D31+D33-D34</f>
        <v>450980.73921495926</v>
      </c>
    </row>
    <row r="36" spans="2:4" x14ac:dyDescent="0.45">
      <c r="B36" t="s">
        <v>384</v>
      </c>
      <c r="D36" s="264">
        <f>'Data Sheet'!B6</f>
        <v>239.9334959305034</v>
      </c>
    </row>
    <row r="37" spans="2:4" ht="4.9000000000000004" customHeight="1" thickBot="1" x14ac:dyDescent="0.5"/>
    <row r="38" spans="2:4" ht="14.65" thickBot="1" x14ac:dyDescent="0.5">
      <c r="B38" s="91" t="s">
        <v>386</v>
      </c>
      <c r="C38" s="87"/>
      <c r="D38" s="185">
        <f>D35/D36</f>
        <v>1879.6072531097766</v>
      </c>
    </row>
    <row r="39" spans="2:4" ht="14.65" thickTop="1" x14ac:dyDescent="0.45">
      <c r="C39" t="s">
        <v>385</v>
      </c>
    </row>
    <row r="40" spans="2:4" x14ac:dyDescent="0.45">
      <c r="B40" t="s">
        <v>387</v>
      </c>
      <c r="D40" s="135">
        <v>1897</v>
      </c>
    </row>
    <row r="41" spans="2:4" x14ac:dyDescent="0.45">
      <c r="B41" t="s">
        <v>388</v>
      </c>
      <c r="D41" s="186">
        <f>D40/D38</f>
        <v>1.0092533942191633</v>
      </c>
    </row>
  </sheetData>
  <pageMargins left="0.7" right="0.7" top="0.75" bottom="0.75" header="0.3" footer="0.3"/>
  <pageSetup paperSize="9" orientation="portrait" r:id="rId1"/>
  <customProperties>
    <customPr name="Smart" r:id="rId2"/>
  </customProperties>
  <ignoredErrors>
    <ignoredError sqref="D34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4666-55E8-48DE-A842-DD22D1178B16}">
  <sheetPr>
    <tabColor theme="5" tint="-0.249977111117893"/>
  </sheetPr>
  <dimension ref="B3:O42"/>
  <sheetViews>
    <sheetView topLeftCell="B1" workbookViewId="0">
      <selection activeCell="I20" sqref="I20"/>
    </sheetView>
  </sheetViews>
  <sheetFormatPr defaultRowHeight="14.25" x14ac:dyDescent="0.45"/>
  <cols>
    <col min="1" max="1" width="1.73046875" customWidth="1"/>
    <col min="3" max="3" width="16.06640625" customWidth="1"/>
    <col min="4" max="4" width="9.1328125" bestFit="1" customWidth="1"/>
    <col min="5" max="6" width="12.796875" customWidth="1"/>
    <col min="7" max="7" width="9.86328125" customWidth="1"/>
    <col min="8" max="8" width="9.1328125" bestFit="1" customWidth="1"/>
    <col min="9" max="10" width="9.1328125" customWidth="1"/>
    <col min="11" max="11" width="9.1328125" bestFit="1" customWidth="1"/>
    <col min="14" max="14" width="14.6640625" customWidth="1"/>
  </cols>
  <sheetData>
    <row r="3" spans="2:14" x14ac:dyDescent="0.45">
      <c r="B3" t="s">
        <v>290</v>
      </c>
      <c r="C3" t="s">
        <v>291</v>
      </c>
      <c r="D3" t="s">
        <v>292</v>
      </c>
      <c r="E3" t="s">
        <v>293</v>
      </c>
      <c r="G3" t="s">
        <v>294</v>
      </c>
      <c r="H3" t="s">
        <v>295</v>
      </c>
    </row>
    <row r="4" spans="2:14" x14ac:dyDescent="0.45">
      <c r="B4" s="133">
        <v>1</v>
      </c>
      <c r="C4" t="s">
        <v>296</v>
      </c>
      <c r="D4" s="133">
        <v>1914.85</v>
      </c>
      <c r="E4" s="133">
        <v>459436.64</v>
      </c>
      <c r="G4" s="133">
        <v>3273.67</v>
      </c>
      <c r="H4" s="133">
        <v>0.05</v>
      </c>
    </row>
    <row r="5" spans="2:14" x14ac:dyDescent="0.45">
      <c r="B5" s="133">
        <v>2</v>
      </c>
      <c r="C5" t="s">
        <v>297</v>
      </c>
      <c r="D5" s="133">
        <v>5389.95</v>
      </c>
      <c r="E5" s="133">
        <v>143086.21</v>
      </c>
      <c r="G5" s="133">
        <v>3</v>
      </c>
      <c r="H5" s="133">
        <v>0</v>
      </c>
    </row>
    <row r="6" spans="2:14" x14ac:dyDescent="0.45">
      <c r="B6" s="133">
        <v>3</v>
      </c>
      <c r="C6" t="s">
        <v>229</v>
      </c>
      <c r="D6" s="133">
        <v>1633.65</v>
      </c>
      <c r="E6" s="133">
        <v>131928.16</v>
      </c>
      <c r="G6" s="133">
        <v>559.41</v>
      </c>
      <c r="H6" s="133">
        <v>0.02</v>
      </c>
    </row>
    <row r="7" spans="2:14" x14ac:dyDescent="0.45">
      <c r="B7" s="133">
        <v>4</v>
      </c>
      <c r="C7" t="s">
        <v>298</v>
      </c>
      <c r="D7" s="133">
        <v>3390.35</v>
      </c>
      <c r="E7" s="133">
        <v>114739.69</v>
      </c>
      <c r="G7" s="133">
        <v>4021.94</v>
      </c>
      <c r="H7" s="133">
        <v>0.59</v>
      </c>
    </row>
    <row r="8" spans="2:14" x14ac:dyDescent="0.45">
      <c r="B8" s="133">
        <v>5</v>
      </c>
      <c r="C8" t="s">
        <v>230</v>
      </c>
      <c r="D8" s="133">
        <v>6670</v>
      </c>
      <c r="E8" s="133">
        <v>111306.93</v>
      </c>
      <c r="G8" s="133">
        <v>2002</v>
      </c>
      <c r="H8" s="133">
        <v>7.0000000000000007E-2</v>
      </c>
    </row>
    <row r="13" spans="2:14" x14ac:dyDescent="0.45">
      <c r="B13" t="s">
        <v>290</v>
      </c>
      <c r="C13" t="s">
        <v>291</v>
      </c>
      <c r="D13" t="s">
        <v>292</v>
      </c>
      <c r="E13" t="s">
        <v>404</v>
      </c>
      <c r="F13" s="14" t="s">
        <v>408</v>
      </c>
      <c r="G13" s="14" t="s">
        <v>294</v>
      </c>
      <c r="H13" s="14" t="s">
        <v>405</v>
      </c>
      <c r="I13" s="14" t="s">
        <v>410</v>
      </c>
      <c r="J13" s="14" t="s">
        <v>409</v>
      </c>
      <c r="K13" t="s">
        <v>406</v>
      </c>
      <c r="L13" t="s">
        <v>401</v>
      </c>
      <c r="M13" t="s">
        <v>407</v>
      </c>
    </row>
    <row r="14" spans="2:14" x14ac:dyDescent="0.45">
      <c r="B14" s="133">
        <v>1</v>
      </c>
      <c r="C14" t="s">
        <v>296</v>
      </c>
      <c r="D14" s="157">
        <v>1910.35</v>
      </c>
      <c r="E14" s="157">
        <v>239.93</v>
      </c>
      <c r="F14" s="143">
        <f>E14*D14</f>
        <v>458350.27549999999</v>
      </c>
      <c r="G14" s="157">
        <v>3273.67</v>
      </c>
      <c r="H14" s="157">
        <v>10520.68</v>
      </c>
      <c r="I14" s="143">
        <f>G14-H14</f>
        <v>-7247.01</v>
      </c>
      <c r="J14" s="143">
        <f>F14+G14-H14</f>
        <v>451103.26549999998</v>
      </c>
      <c r="K14" s="157">
        <v>49208.76</v>
      </c>
      <c r="L14" s="133">
        <v>30.11</v>
      </c>
      <c r="M14" s="157">
        <v>10464.89</v>
      </c>
      <c r="N14" s="42"/>
    </row>
    <row r="15" spans="2:14" x14ac:dyDescent="0.45">
      <c r="B15" s="133">
        <v>2</v>
      </c>
      <c r="C15" t="s">
        <v>229</v>
      </c>
      <c r="D15" s="157">
        <v>1551.7</v>
      </c>
      <c r="E15" s="157">
        <v>80.760000000000005</v>
      </c>
      <c r="F15" s="143">
        <f t="shared" ref="F15:F20" si="0">E15*D15</f>
        <v>125315.29200000002</v>
      </c>
      <c r="G15" s="157">
        <v>559.41</v>
      </c>
      <c r="H15" s="157">
        <v>874.97</v>
      </c>
      <c r="I15" s="143">
        <f t="shared" ref="I15:I20" si="1">G15-H15</f>
        <v>-315.56000000000006</v>
      </c>
      <c r="J15" s="143">
        <f t="shared" ref="J15:J20" si="2">F15+G15-H15</f>
        <v>124999.73200000002</v>
      </c>
      <c r="K15" s="157">
        <v>26139.14</v>
      </c>
      <c r="L15" s="133">
        <v>17.16</v>
      </c>
      <c r="M15" s="157">
        <v>4331.1099999999997</v>
      </c>
      <c r="N15" s="42"/>
    </row>
    <row r="16" spans="2:14" x14ac:dyDescent="0.45">
      <c r="B16" s="133">
        <v>3</v>
      </c>
      <c r="C16" t="s">
        <v>230</v>
      </c>
      <c r="D16" s="157">
        <v>6741.1</v>
      </c>
      <c r="E16" s="157">
        <v>16.690000000000001</v>
      </c>
      <c r="F16" s="143">
        <f t="shared" si="0"/>
        <v>112508.95900000002</v>
      </c>
      <c r="G16" s="157">
        <v>2002</v>
      </c>
      <c r="H16" s="157">
        <v>1727.7</v>
      </c>
      <c r="I16" s="143">
        <f t="shared" si="1"/>
        <v>274.29999999999995</v>
      </c>
      <c r="J16" s="143">
        <f t="shared" si="2"/>
        <v>112783.25900000002</v>
      </c>
      <c r="K16" s="157">
        <v>28949.3</v>
      </c>
      <c r="L16" s="133">
        <v>12.64</v>
      </c>
      <c r="M16" s="157">
        <v>5565.3</v>
      </c>
      <c r="N16" s="42"/>
    </row>
    <row r="17" spans="2:15" x14ac:dyDescent="0.45">
      <c r="B17" s="133">
        <v>4</v>
      </c>
      <c r="C17" t="s">
        <v>232</v>
      </c>
      <c r="D17" s="157">
        <v>2647.2</v>
      </c>
      <c r="E17" s="157">
        <v>40.06</v>
      </c>
      <c r="F17" s="143">
        <f t="shared" si="0"/>
        <v>106046.83199999999</v>
      </c>
      <c r="G17" s="157">
        <v>8.56</v>
      </c>
      <c r="H17" s="157">
        <v>761.01</v>
      </c>
      <c r="I17" s="143">
        <f t="shared" si="1"/>
        <v>-752.45</v>
      </c>
      <c r="J17" s="143">
        <f t="shared" si="2"/>
        <v>105294.382</v>
      </c>
      <c r="K17" s="157">
        <v>9211.73</v>
      </c>
      <c r="L17" s="133">
        <v>40.04</v>
      </c>
      <c r="M17" s="157">
        <v>1927.61</v>
      </c>
      <c r="N17" s="42"/>
    </row>
    <row r="18" spans="2:15" x14ac:dyDescent="0.45">
      <c r="B18" s="133">
        <v>5</v>
      </c>
      <c r="C18" t="s">
        <v>231</v>
      </c>
      <c r="D18" s="157">
        <v>1022.45</v>
      </c>
      <c r="E18" s="157">
        <v>100.62</v>
      </c>
      <c r="F18" s="143">
        <f t="shared" si="0"/>
        <v>102878.91900000001</v>
      </c>
      <c r="G18" s="157">
        <v>804.2</v>
      </c>
      <c r="H18" s="157">
        <v>1105.0999999999999</v>
      </c>
      <c r="I18" s="143">
        <f t="shared" si="1"/>
        <v>-300.89999999999986</v>
      </c>
      <c r="J18" s="143">
        <f t="shared" si="2"/>
        <v>102578.019</v>
      </c>
      <c r="K18" s="157">
        <v>20615.3</v>
      </c>
      <c r="L18" s="133">
        <v>16.350000000000001</v>
      </c>
      <c r="M18" s="157">
        <v>4321.7</v>
      </c>
      <c r="N18" s="42"/>
    </row>
    <row r="19" spans="2:15" x14ac:dyDescent="0.45">
      <c r="B19" s="133">
        <v>6</v>
      </c>
      <c r="C19" t="s">
        <v>402</v>
      </c>
      <c r="D19" s="157">
        <v>2179.6999999999998</v>
      </c>
      <c r="E19" s="157">
        <v>45.61</v>
      </c>
      <c r="F19" s="143">
        <f t="shared" si="0"/>
        <v>99416.116999999984</v>
      </c>
      <c r="G19" s="157">
        <v>2921.77</v>
      </c>
      <c r="H19" s="157">
        <v>1202.54</v>
      </c>
      <c r="I19" s="143">
        <f t="shared" si="1"/>
        <v>1719.23</v>
      </c>
      <c r="J19" s="143">
        <f t="shared" si="2"/>
        <v>101135.34699999999</v>
      </c>
      <c r="K19" s="157">
        <v>20797.09</v>
      </c>
      <c r="L19" s="133">
        <v>23.2</v>
      </c>
      <c r="M19" s="157">
        <v>2287.7800000000002</v>
      </c>
      <c r="N19" s="42"/>
    </row>
    <row r="20" spans="2:15" x14ac:dyDescent="0.45">
      <c r="B20" s="133">
        <v>7</v>
      </c>
      <c r="C20" t="s">
        <v>403</v>
      </c>
      <c r="D20" s="157">
        <v>1472.7</v>
      </c>
      <c r="E20" s="157">
        <v>58.59</v>
      </c>
      <c r="F20" s="143">
        <f t="shared" si="0"/>
        <v>86285.493000000002</v>
      </c>
      <c r="G20" s="157">
        <v>6647.63</v>
      </c>
      <c r="H20" s="157">
        <v>6278.3</v>
      </c>
      <c r="I20" s="143">
        <f t="shared" si="1"/>
        <v>369.32999999999993</v>
      </c>
      <c r="J20" s="143">
        <f t="shared" si="2"/>
        <v>86654.823000000004</v>
      </c>
      <c r="K20" s="157">
        <v>29718.37</v>
      </c>
      <c r="L20" s="133">
        <v>12.46</v>
      </c>
      <c r="M20" s="157">
        <v>3517.48</v>
      </c>
      <c r="N20" s="42"/>
    </row>
    <row r="26" spans="2:15" x14ac:dyDescent="0.45">
      <c r="O26" t="s">
        <v>385</v>
      </c>
    </row>
    <row r="36" spans="7:9" x14ac:dyDescent="0.45">
      <c r="G36" s="28"/>
      <c r="H36" s="28"/>
      <c r="I36" s="28"/>
    </row>
    <row r="37" spans="7:9" x14ac:dyDescent="0.45">
      <c r="G37" s="28"/>
      <c r="H37" s="28"/>
      <c r="I37" s="28"/>
    </row>
    <row r="38" spans="7:9" x14ac:dyDescent="0.45">
      <c r="G38" s="28"/>
      <c r="H38" s="28"/>
      <c r="I38" s="28"/>
    </row>
    <row r="39" spans="7:9" x14ac:dyDescent="0.45">
      <c r="G39" s="28"/>
      <c r="H39" s="28"/>
      <c r="I39" s="28"/>
    </row>
    <row r="40" spans="7:9" x14ac:dyDescent="0.45">
      <c r="G40" s="28"/>
      <c r="H40" s="28"/>
      <c r="I40" s="28"/>
    </row>
    <row r="41" spans="7:9" x14ac:dyDescent="0.45">
      <c r="G41" s="28"/>
      <c r="H41" s="28"/>
      <c r="I41" s="28"/>
    </row>
    <row r="42" spans="7:9" x14ac:dyDescent="0.45">
      <c r="G42" s="28"/>
      <c r="H42" s="28"/>
      <c r="I42" s="28"/>
    </row>
  </sheetData>
  <pageMargins left="0.7" right="0.7" top="0.75" bottom="0.75" header="0.3" footer="0.3"/>
  <customProperties>
    <customPr name="Smart" r:id="rId1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8C58-2C21-4DF3-B0CC-68FD9C15D268}">
  <sheetPr>
    <tabColor theme="5" tint="-0.249977111117893"/>
    <pageSetUpPr fitToPage="1"/>
  </sheetPr>
  <dimension ref="B2:Q32"/>
  <sheetViews>
    <sheetView showGridLines="0" topLeftCell="A3" workbookViewId="0">
      <selection activeCell="F21" sqref="F21"/>
    </sheetView>
  </sheetViews>
  <sheetFormatPr defaultRowHeight="14.25" x14ac:dyDescent="0.45"/>
  <cols>
    <col min="1" max="1" width="1.73046875" customWidth="1"/>
    <col min="2" max="2" width="16.9296875" customWidth="1"/>
    <col min="3" max="3" width="8.73046875" customWidth="1"/>
    <col min="5" max="5" width="12" customWidth="1"/>
    <col min="8" max="8" width="10.1328125" customWidth="1"/>
    <col min="10" max="10" width="1.73046875" customWidth="1"/>
    <col min="12" max="12" width="10.53125" customWidth="1"/>
    <col min="13" max="13" width="10.1328125" customWidth="1"/>
    <col min="14" max="14" width="1.73046875" style="37" customWidth="1"/>
    <col min="16" max="16" width="10.265625" customWidth="1"/>
    <col min="17" max="17" width="8.33203125" customWidth="1"/>
  </cols>
  <sheetData>
    <row r="2" spans="2:17" x14ac:dyDescent="0.45">
      <c r="B2" s="38" t="s">
        <v>423</v>
      </c>
    </row>
    <row r="3" spans="2:17" ht="14.65" thickBot="1" x14ac:dyDescent="0.5">
      <c r="B3" s="78" t="s">
        <v>389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</row>
    <row r="4" spans="2:17" ht="4.9000000000000004" customHeight="1" thickTop="1" x14ac:dyDescent="0.45"/>
    <row r="5" spans="2:17" x14ac:dyDescent="0.45">
      <c r="B5" s="70"/>
      <c r="C5" s="70"/>
      <c r="D5" s="287" t="s">
        <v>396</v>
      </c>
      <c r="E5" s="287"/>
      <c r="F5" s="287"/>
      <c r="G5" s="287"/>
      <c r="H5" s="287"/>
      <c r="I5" s="287"/>
      <c r="J5" s="70"/>
      <c r="K5" s="287" t="s">
        <v>400</v>
      </c>
      <c r="L5" s="287"/>
      <c r="M5" s="287"/>
      <c r="N5" s="94"/>
      <c r="O5" s="287" t="s">
        <v>399</v>
      </c>
      <c r="P5" s="287"/>
      <c r="Q5" s="287"/>
    </row>
    <row r="6" spans="2:17" ht="27.4" customHeight="1" x14ac:dyDescent="0.45">
      <c r="B6" s="61" t="s">
        <v>390</v>
      </c>
      <c r="C6" s="61" t="s">
        <v>391</v>
      </c>
      <c r="D6" s="95" t="s">
        <v>387</v>
      </c>
      <c r="E6" s="95" t="s">
        <v>392</v>
      </c>
      <c r="F6" s="95" t="s">
        <v>393</v>
      </c>
      <c r="G6" s="95" t="s">
        <v>394</v>
      </c>
      <c r="H6" s="95" t="s">
        <v>395</v>
      </c>
      <c r="I6" s="96"/>
      <c r="J6" s="96"/>
      <c r="K6" s="84" t="s">
        <v>397</v>
      </c>
      <c r="L6" s="84" t="s">
        <v>91</v>
      </c>
      <c r="M6" s="84" t="s">
        <v>398</v>
      </c>
      <c r="N6" s="97"/>
      <c r="O6" s="84" t="s">
        <v>411</v>
      </c>
      <c r="P6" s="84" t="s">
        <v>412</v>
      </c>
      <c r="Q6" s="84" t="s">
        <v>413</v>
      </c>
    </row>
    <row r="7" spans="2:17" s="54" customFormat="1" ht="5.75" customHeight="1" x14ac:dyDescent="0.45">
      <c r="B7" s="63"/>
      <c r="C7" s="63"/>
      <c r="D7" s="98"/>
      <c r="E7" s="98"/>
      <c r="F7" s="98"/>
      <c r="G7" s="98"/>
      <c r="H7" s="98"/>
      <c r="I7" s="99"/>
      <c r="J7" s="99"/>
      <c r="K7" s="100"/>
      <c r="L7" s="100"/>
      <c r="M7" s="100"/>
      <c r="N7" s="101"/>
      <c r="O7" s="99"/>
      <c r="P7" s="99"/>
      <c r="Q7" s="99"/>
    </row>
    <row r="8" spans="2:17" x14ac:dyDescent="0.45">
      <c r="B8" s="265" t="str">
        <f>'Beta Comps&gt;'!C14</f>
        <v>Sun Pharma.Inds.</v>
      </c>
      <c r="C8" s="265"/>
      <c r="D8" s="266">
        <f>'Beta Comps&gt;'!D14</f>
        <v>1910.35</v>
      </c>
      <c r="E8" s="267">
        <f>'Beta Comps&gt;'!E14</f>
        <v>239.93</v>
      </c>
      <c r="F8" s="266">
        <f>E8*D8</f>
        <v>458350.27549999999</v>
      </c>
      <c r="G8" s="266">
        <f>'Beta Comps&gt;'!I14</f>
        <v>-7247.01</v>
      </c>
      <c r="H8" s="266">
        <f>'Beta Comps&gt;'!J14</f>
        <v>451103.26549999998</v>
      </c>
      <c r="I8" s="266"/>
      <c r="J8" s="266"/>
      <c r="K8" s="266">
        <f>'Beta Comps&gt;'!K14</f>
        <v>49208.76</v>
      </c>
      <c r="L8" s="268">
        <f t="shared" ref="L8:L14" si="0">$H8/P8</f>
        <v>14981.842095649286</v>
      </c>
      <c r="M8" s="266">
        <f>'Beta Comps&gt;'!M14</f>
        <v>10464.89</v>
      </c>
      <c r="N8" s="269"/>
      <c r="O8" s="270">
        <f>$H8/K8</f>
        <v>9.1671333620274105</v>
      </c>
      <c r="P8" s="270">
        <f>'Beta Comps&gt;'!L14</f>
        <v>30.11</v>
      </c>
      <c r="Q8" s="270">
        <f>F8/M8</f>
        <v>43.798862243176949</v>
      </c>
    </row>
    <row r="9" spans="2:17" x14ac:dyDescent="0.45">
      <c r="B9" s="271" t="str">
        <f>'Beta Comps&gt;'!C15</f>
        <v>Cipla</v>
      </c>
      <c r="C9" s="271"/>
      <c r="D9" s="272">
        <f>'Beta Comps&gt;'!D15</f>
        <v>1551.7</v>
      </c>
      <c r="E9" s="273">
        <f>'Beta Comps&gt;'!E15</f>
        <v>80.760000000000005</v>
      </c>
      <c r="F9" s="272">
        <f t="shared" ref="F9:F14" si="1">E9*D9</f>
        <v>125315.29200000002</v>
      </c>
      <c r="G9" s="272">
        <f>'Beta Comps&gt;'!I15</f>
        <v>-315.56000000000006</v>
      </c>
      <c r="H9" s="272">
        <f>'Beta Comps&gt;'!J15</f>
        <v>124999.73200000002</v>
      </c>
      <c r="I9" s="272"/>
      <c r="J9" s="272"/>
      <c r="K9" s="272">
        <f>'Beta Comps&gt;'!K15</f>
        <v>26139.14</v>
      </c>
      <c r="L9" s="274">
        <f t="shared" si="0"/>
        <v>7284.3666666666677</v>
      </c>
      <c r="M9" s="272">
        <f>'Beta Comps&gt;'!M15</f>
        <v>4331.1099999999997</v>
      </c>
      <c r="N9" s="275"/>
      <c r="O9" s="276">
        <f t="shared" ref="O9:O14" si="2">$H9/K9</f>
        <v>4.7820904589822018</v>
      </c>
      <c r="P9" s="276">
        <f>'Beta Comps&gt;'!L15</f>
        <v>17.16</v>
      </c>
      <c r="Q9" s="276">
        <f t="shared" ref="Q9:Q14" si="3">F9/M9</f>
        <v>28.933758782390662</v>
      </c>
    </row>
    <row r="10" spans="2:17" x14ac:dyDescent="0.45">
      <c r="B10" s="271" t="str">
        <f>'Beta Comps&gt;'!C16</f>
        <v>Dr Reddy's Labs</v>
      </c>
      <c r="C10" s="271"/>
      <c r="D10" s="272">
        <f>'Beta Comps&gt;'!D16</f>
        <v>6741.1</v>
      </c>
      <c r="E10" s="273">
        <f>'Beta Comps&gt;'!E16</f>
        <v>16.690000000000001</v>
      </c>
      <c r="F10" s="272">
        <f t="shared" si="1"/>
        <v>112508.95900000002</v>
      </c>
      <c r="G10" s="272">
        <f>'Beta Comps&gt;'!I16</f>
        <v>274.29999999999995</v>
      </c>
      <c r="H10" s="272">
        <f>'Beta Comps&gt;'!J16</f>
        <v>112783.25900000002</v>
      </c>
      <c r="I10" s="272"/>
      <c r="J10" s="272"/>
      <c r="K10" s="272">
        <f>'Beta Comps&gt;'!K16</f>
        <v>28949.3</v>
      </c>
      <c r="L10" s="274">
        <f t="shared" si="0"/>
        <v>8922.7261867088619</v>
      </c>
      <c r="M10" s="272">
        <f>'Beta Comps&gt;'!M16</f>
        <v>5565.3</v>
      </c>
      <c r="N10" s="275"/>
      <c r="O10" s="276">
        <f t="shared" si="2"/>
        <v>3.8958889852258958</v>
      </c>
      <c r="P10" s="276">
        <f>'Beta Comps&gt;'!L16</f>
        <v>12.64</v>
      </c>
      <c r="Q10" s="276">
        <f t="shared" si="3"/>
        <v>20.216153486784183</v>
      </c>
    </row>
    <row r="11" spans="2:17" x14ac:dyDescent="0.45">
      <c r="B11" s="271" t="str">
        <f>'Beta Comps&gt;'!C17</f>
        <v>Mankind Pharma</v>
      </c>
      <c r="C11" s="271"/>
      <c r="D11" s="272">
        <f>'Beta Comps&gt;'!D17</f>
        <v>2647.2</v>
      </c>
      <c r="E11" s="273">
        <f>'Beta Comps&gt;'!E17</f>
        <v>40.06</v>
      </c>
      <c r="F11" s="272">
        <f t="shared" si="1"/>
        <v>106046.83199999999</v>
      </c>
      <c r="G11" s="272">
        <f>'Beta Comps&gt;'!I17</f>
        <v>-752.45</v>
      </c>
      <c r="H11" s="272">
        <f>'Beta Comps&gt;'!J17</f>
        <v>105294.382</v>
      </c>
      <c r="I11" s="272"/>
      <c r="J11" s="272"/>
      <c r="K11" s="272">
        <f>'Beta Comps&gt;'!K17</f>
        <v>9211.73</v>
      </c>
      <c r="L11" s="274">
        <f t="shared" si="0"/>
        <v>2629.7298201798203</v>
      </c>
      <c r="M11" s="272">
        <f>'Beta Comps&gt;'!M17</f>
        <v>1927.61</v>
      </c>
      <c r="N11" s="275"/>
      <c r="O11" s="276">
        <f t="shared" si="2"/>
        <v>11.430467675452928</v>
      </c>
      <c r="P11" s="276">
        <f>'Beta Comps&gt;'!L17</f>
        <v>40.04</v>
      </c>
      <c r="Q11" s="276">
        <f t="shared" si="3"/>
        <v>55.01467205503188</v>
      </c>
    </row>
    <row r="12" spans="2:17" x14ac:dyDescent="0.45">
      <c r="B12" s="271" t="str">
        <f>'Beta Comps&gt;'!C18</f>
        <v>Zydus Lifesci.</v>
      </c>
      <c r="C12" s="271"/>
      <c r="D12" s="272">
        <f>'Beta Comps&gt;'!D18</f>
        <v>1022.45</v>
      </c>
      <c r="E12" s="273">
        <f>'Beta Comps&gt;'!E18</f>
        <v>100.62</v>
      </c>
      <c r="F12" s="272">
        <f t="shared" si="1"/>
        <v>102878.91900000001</v>
      </c>
      <c r="G12" s="272">
        <f>'Beta Comps&gt;'!I18</f>
        <v>-300.89999999999986</v>
      </c>
      <c r="H12" s="272">
        <f>'Beta Comps&gt;'!J18</f>
        <v>102578.019</v>
      </c>
      <c r="I12" s="272"/>
      <c r="J12" s="272"/>
      <c r="K12" s="272">
        <f>'Beta Comps&gt;'!K18</f>
        <v>20615.3</v>
      </c>
      <c r="L12" s="274">
        <f t="shared" si="0"/>
        <v>6273.8849541284399</v>
      </c>
      <c r="M12" s="272">
        <f>'Beta Comps&gt;'!M18</f>
        <v>4321.7</v>
      </c>
      <c r="N12" s="275"/>
      <c r="O12" s="276">
        <f t="shared" si="2"/>
        <v>4.975819852245662</v>
      </c>
      <c r="P12" s="276">
        <f>'Beta Comps&gt;'!L18</f>
        <v>16.350000000000001</v>
      </c>
      <c r="Q12" s="276">
        <f t="shared" si="3"/>
        <v>23.805196797556519</v>
      </c>
    </row>
    <row r="13" spans="2:17" x14ac:dyDescent="0.45">
      <c r="B13" s="271" t="str">
        <f>'Beta Comps&gt;'!C19</f>
        <v>Lupin</v>
      </c>
      <c r="C13" s="271"/>
      <c r="D13" s="272">
        <f>'Beta Comps&gt;'!D19</f>
        <v>2179.6999999999998</v>
      </c>
      <c r="E13" s="273">
        <f>'Beta Comps&gt;'!E19</f>
        <v>45.61</v>
      </c>
      <c r="F13" s="272">
        <f t="shared" si="1"/>
        <v>99416.116999999984</v>
      </c>
      <c r="G13" s="272">
        <f>'Beta Comps&gt;'!I19</f>
        <v>1719.23</v>
      </c>
      <c r="H13" s="272">
        <f>'Beta Comps&gt;'!J19</f>
        <v>101135.34699999999</v>
      </c>
      <c r="I13" s="272"/>
      <c r="J13" s="272"/>
      <c r="K13" s="272">
        <f>'Beta Comps&gt;'!K19</f>
        <v>20797.09</v>
      </c>
      <c r="L13" s="274">
        <f t="shared" si="0"/>
        <v>4359.2821982758624</v>
      </c>
      <c r="M13" s="272">
        <f>'Beta Comps&gt;'!M19</f>
        <v>2287.7800000000002</v>
      </c>
      <c r="N13" s="275"/>
      <c r="O13" s="276">
        <f t="shared" si="2"/>
        <v>4.8629566444151555</v>
      </c>
      <c r="P13" s="276">
        <f>'Beta Comps&gt;'!L19</f>
        <v>23.2</v>
      </c>
      <c r="Q13" s="276">
        <f t="shared" si="3"/>
        <v>43.455278479574076</v>
      </c>
    </row>
    <row r="14" spans="2:17" x14ac:dyDescent="0.45">
      <c r="B14" s="271" t="str">
        <f>'Beta Comps&gt;'!C20</f>
        <v>Aurobindo Pharma</v>
      </c>
      <c r="C14" s="271"/>
      <c r="D14" s="272">
        <f>'Beta Comps&gt;'!D20</f>
        <v>1472.7</v>
      </c>
      <c r="E14" s="273">
        <f>'Beta Comps&gt;'!E20</f>
        <v>58.59</v>
      </c>
      <c r="F14" s="272">
        <f t="shared" si="1"/>
        <v>86285.493000000002</v>
      </c>
      <c r="G14" s="272">
        <f>'Beta Comps&gt;'!I20</f>
        <v>369.32999999999993</v>
      </c>
      <c r="H14" s="272">
        <f>'Beta Comps&gt;'!J20</f>
        <v>86654.823000000004</v>
      </c>
      <c r="I14" s="272"/>
      <c r="J14" s="272"/>
      <c r="K14" s="272">
        <f>'Beta Comps&gt;'!K20</f>
        <v>29718.37</v>
      </c>
      <c r="L14" s="274">
        <f t="shared" si="0"/>
        <v>6954.6406902086674</v>
      </c>
      <c r="M14" s="272">
        <f>'Beta Comps&gt;'!M20</f>
        <v>3517.48</v>
      </c>
      <c r="N14" s="275"/>
      <c r="O14" s="276">
        <f t="shared" si="2"/>
        <v>2.9158672901642992</v>
      </c>
      <c r="P14" s="276">
        <f>'Beta Comps&gt;'!L20</f>
        <v>12.46</v>
      </c>
      <c r="Q14" s="276">
        <f t="shared" si="3"/>
        <v>24.530485745476877</v>
      </c>
    </row>
    <row r="15" spans="2:17" ht="6" customHeight="1" x14ac:dyDescent="0.45"/>
    <row r="16" spans="2:17" x14ac:dyDescent="0.45">
      <c r="B16" s="102" t="s">
        <v>414</v>
      </c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3"/>
      <c r="O16" s="194">
        <f>MAX(O8:O14)</f>
        <v>11.430467675452928</v>
      </c>
      <c r="P16" s="194">
        <f>MAX(P8:P14)</f>
        <v>40.04</v>
      </c>
      <c r="Q16" s="194">
        <f>MAX(Q8:Q14)</f>
        <v>55.01467205503188</v>
      </c>
    </row>
    <row r="17" spans="2:17" x14ac:dyDescent="0.45">
      <c r="B17" s="102" t="s">
        <v>415</v>
      </c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3"/>
      <c r="O17" s="195">
        <f>QUARTILE(O8:O14,3)</f>
        <v>7.0714766071365363</v>
      </c>
      <c r="P17" s="195">
        <f t="shared" ref="P17:Q17" si="4">QUARTILE(P8:P14,3)</f>
        <v>26.655000000000001</v>
      </c>
      <c r="Q17" s="195">
        <f t="shared" si="4"/>
        <v>43.627070361375516</v>
      </c>
    </row>
    <row r="18" spans="2:17" x14ac:dyDescent="0.45">
      <c r="B18" s="106" t="s">
        <v>233</v>
      </c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7"/>
      <c r="O18" s="196">
        <f>AVERAGE(O8:O14)</f>
        <v>6.0043177526447939</v>
      </c>
      <c r="P18" s="196">
        <f t="shared" ref="P18:Q18" si="5">AVERAGE(P8:P14)</f>
        <v>21.708571428571425</v>
      </c>
      <c r="Q18" s="196">
        <f t="shared" si="5"/>
        <v>34.25062965571302</v>
      </c>
    </row>
    <row r="19" spans="2:17" x14ac:dyDescent="0.45">
      <c r="B19" s="106" t="s">
        <v>182</v>
      </c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7"/>
      <c r="O19" s="196">
        <f>MEDIAN(O8:O14)</f>
        <v>4.8629566444151555</v>
      </c>
      <c r="P19" s="196">
        <f t="shared" ref="P19:Q19" si="6">MEDIAN(P8:P14)</f>
        <v>17.16</v>
      </c>
      <c r="Q19" s="196">
        <f t="shared" si="6"/>
        <v>28.933758782390662</v>
      </c>
    </row>
    <row r="20" spans="2:17" x14ac:dyDescent="0.45">
      <c r="B20" s="102" t="s">
        <v>416</v>
      </c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3"/>
      <c r="O20" s="194">
        <f>QUARTILE(O8:O14,1)</f>
        <v>4.3389897221040492</v>
      </c>
      <c r="P20" s="194">
        <f t="shared" ref="P20:Q20" si="7">QUARTILE(P8:P14,1)</f>
        <v>14.495000000000001</v>
      </c>
      <c r="Q20" s="194">
        <f t="shared" si="7"/>
        <v>24.1678412715167</v>
      </c>
    </row>
    <row r="21" spans="2:17" x14ac:dyDescent="0.45">
      <c r="B21" s="102" t="s">
        <v>417</v>
      </c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3"/>
      <c r="O21" s="194">
        <f>MIN(O8:O14)</f>
        <v>2.9158672901642992</v>
      </c>
      <c r="P21" s="194">
        <f t="shared" ref="P21:Q21" si="8">MIN(P8:P14)</f>
        <v>12.46</v>
      </c>
      <c r="Q21" s="194">
        <f t="shared" si="8"/>
        <v>20.216153486784183</v>
      </c>
    </row>
    <row r="23" spans="2:17" ht="14.65" thickBot="1" x14ac:dyDescent="0.5">
      <c r="B23" s="105" t="s">
        <v>418</v>
      </c>
      <c r="C23" s="71"/>
      <c r="D23" s="71"/>
      <c r="E23" s="71"/>
      <c r="F23" s="71"/>
      <c r="G23" s="71"/>
      <c r="H23" s="71"/>
      <c r="I23" s="71"/>
      <c r="J23" s="71"/>
      <c r="K23" s="71" t="s">
        <v>385</v>
      </c>
      <c r="L23" s="71"/>
      <c r="M23" s="71"/>
      <c r="N23" s="93"/>
      <c r="O23" s="84" t="s">
        <v>411</v>
      </c>
      <c r="P23" s="84" t="s">
        <v>412</v>
      </c>
      <c r="Q23" s="84" t="s">
        <v>413</v>
      </c>
    </row>
    <row r="24" spans="2:17" ht="5.25" customHeight="1" thickTop="1" x14ac:dyDescent="0.45"/>
    <row r="25" spans="2:17" x14ac:dyDescent="0.45">
      <c r="B25" s="76" t="s">
        <v>419</v>
      </c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104"/>
      <c r="O25" s="193">
        <f>O$19*K8</f>
        <v>239300.06640543073</v>
      </c>
      <c r="P25" s="193">
        <f t="shared" ref="P25" si="9">P$19*L8</f>
        <v>257088.41036134175</v>
      </c>
      <c r="Q25" s="193">
        <f>Q27+Q26</f>
        <v>295541.59294425219</v>
      </c>
    </row>
    <row r="26" spans="2:17" x14ac:dyDescent="0.45">
      <c r="B26" s="76" t="s">
        <v>394</v>
      </c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104"/>
      <c r="O26" s="193">
        <f>$G$8</f>
        <v>-7247.01</v>
      </c>
      <c r="P26" s="193">
        <f t="shared" ref="P26:Q26" si="10">$G$8</f>
        <v>-7247.01</v>
      </c>
      <c r="Q26" s="193">
        <f t="shared" si="10"/>
        <v>-7247.01</v>
      </c>
    </row>
    <row r="27" spans="2:17" x14ac:dyDescent="0.45">
      <c r="B27" s="76" t="s">
        <v>420</v>
      </c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104"/>
      <c r="O27" s="193">
        <f>O25-O26</f>
        <v>246547.07640543074</v>
      </c>
      <c r="P27" s="193">
        <f t="shared" ref="P27" si="11">P25-P26</f>
        <v>264335.42036134173</v>
      </c>
      <c r="Q27" s="193">
        <f>Q19*M8</f>
        <v>302788.6029442522</v>
      </c>
    </row>
    <row r="28" spans="2:17" x14ac:dyDescent="0.45">
      <c r="B28" s="110" t="s">
        <v>421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1"/>
      <c r="O28" s="197">
        <f>$E$8</f>
        <v>239.93</v>
      </c>
      <c r="P28" s="197">
        <f t="shared" ref="P28:Q28" si="12">$E$8</f>
        <v>239.93</v>
      </c>
      <c r="Q28" s="197">
        <f t="shared" si="12"/>
        <v>239.93</v>
      </c>
    </row>
    <row r="29" spans="2:17" ht="3.75" customHeight="1" thickBot="1" x14ac:dyDescent="0.5">
      <c r="O29" s="42"/>
      <c r="P29" s="42"/>
      <c r="Q29" s="42"/>
    </row>
    <row r="30" spans="2:17" ht="14.65" thickBot="1" x14ac:dyDescent="0.5">
      <c r="B30" s="108" t="s">
        <v>422</v>
      </c>
      <c r="C30" s="108"/>
      <c r="D30" s="108"/>
      <c r="E30" s="108"/>
      <c r="F30" s="108"/>
      <c r="G30" s="108"/>
      <c r="H30" s="108"/>
      <c r="I30" s="108"/>
      <c r="J30" s="108"/>
      <c r="K30" s="108"/>
      <c r="L30" s="108"/>
      <c r="M30" s="108"/>
      <c r="N30" s="109"/>
      <c r="O30" s="198">
        <f>O27/O28</f>
        <v>1027.5791956213509</v>
      </c>
      <c r="P30" s="198">
        <f t="shared" ref="P30:Q30" si="13">P27/P28</f>
        <v>1101.718919523785</v>
      </c>
      <c r="Q30" s="198">
        <f t="shared" si="13"/>
        <v>1261.9872585514615</v>
      </c>
    </row>
    <row r="32" spans="2:17" x14ac:dyDescent="0.45">
      <c r="O32" s="199" t="str">
        <f>IF(O30&gt;$D$8,"Undervalued","Overvalued")</f>
        <v>Overvalued</v>
      </c>
      <c r="P32" s="199" t="str">
        <f t="shared" ref="P32:Q32" si="14">IF(P30&gt;$D$8,"Undervalued","Overvalued")</f>
        <v>Overvalued</v>
      </c>
      <c r="Q32" s="199" t="str">
        <f t="shared" si="14"/>
        <v>Overvalued</v>
      </c>
    </row>
  </sheetData>
  <mergeCells count="3">
    <mergeCell ref="D5:I5"/>
    <mergeCell ref="K5:M5"/>
    <mergeCell ref="O5:Q5"/>
  </mergeCells>
  <pageMargins left="0.7" right="0.7" top="0.75" bottom="0.75" header="0.3" footer="0.3"/>
  <pageSetup paperSize="9" scale="56" orientation="portrait" r:id="rId1"/>
  <customProperties>
    <customPr name="Smart" r:id="rId2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E786C-8074-4BEB-9FF5-79881994E9D8}">
  <sheetPr>
    <tabColor theme="5" tint="-0.249977111117893"/>
  </sheetPr>
  <dimension ref="B2:Q18"/>
  <sheetViews>
    <sheetView showGridLines="0" workbookViewId="0">
      <selection activeCell="M17" sqref="M17"/>
    </sheetView>
  </sheetViews>
  <sheetFormatPr defaultRowHeight="14.25" x14ac:dyDescent="0.45"/>
  <cols>
    <col min="1" max="1" width="1.73046875" customWidth="1"/>
  </cols>
  <sheetData>
    <row r="2" spans="2:17" x14ac:dyDescent="0.45">
      <c r="L2" s="61" t="s">
        <v>432</v>
      </c>
      <c r="M2" s="71"/>
      <c r="N2" s="71"/>
      <c r="O2" s="71"/>
      <c r="P2" s="71"/>
      <c r="Q2" s="71"/>
    </row>
    <row r="3" spans="2:17" x14ac:dyDescent="0.45">
      <c r="B3" s="37"/>
      <c r="N3" s="34" t="s">
        <v>425</v>
      </c>
      <c r="O3" s="34" t="s">
        <v>417</v>
      </c>
      <c r="P3" s="34" t="s">
        <v>426</v>
      </c>
      <c r="Q3" s="34" t="s">
        <v>414</v>
      </c>
    </row>
    <row r="4" spans="2:17" x14ac:dyDescent="0.45">
      <c r="L4" t="s">
        <v>427</v>
      </c>
      <c r="N4" s="14">
        <v>1027.5999999999999</v>
      </c>
      <c r="O4" s="14">
        <v>1027.5999999999999</v>
      </c>
      <c r="P4" s="14">
        <v>1262</v>
      </c>
      <c r="Q4" s="14">
        <v>1262</v>
      </c>
    </row>
    <row r="5" spans="2:17" x14ac:dyDescent="0.45">
      <c r="L5" t="s">
        <v>428</v>
      </c>
      <c r="N5" s="278">
        <v>1175.6753429923131</v>
      </c>
      <c r="O5" s="278">
        <v>1175.6753429923131</v>
      </c>
      <c r="P5" s="278">
        <v>1484.403347602095</v>
      </c>
      <c r="Q5" s="278">
        <v>1484.403347602095</v>
      </c>
    </row>
    <row r="6" spans="2:17" x14ac:dyDescent="0.45">
      <c r="L6" t="s">
        <v>429</v>
      </c>
      <c r="N6" s="278">
        <v>1387.6933702544525</v>
      </c>
      <c r="O6" s="278">
        <v>1387.6933702544525</v>
      </c>
      <c r="P6" s="278">
        <v>1996.1873552438149</v>
      </c>
      <c r="Q6" s="278">
        <v>1996.1873552438149</v>
      </c>
    </row>
    <row r="7" spans="2:17" x14ac:dyDescent="0.45">
      <c r="L7" t="s">
        <v>430</v>
      </c>
      <c r="N7" s="278">
        <v>2287.0961595875292</v>
      </c>
      <c r="O7" s="278">
        <v>2287.0961595875292</v>
      </c>
      <c r="P7" s="278">
        <v>9511.3314674564372</v>
      </c>
      <c r="Q7" s="278">
        <v>9511.3314674564372</v>
      </c>
    </row>
    <row r="8" spans="2:17" x14ac:dyDescent="0.45">
      <c r="L8" t="s">
        <v>431</v>
      </c>
      <c r="N8" s="278">
        <v>1068.3499999999999</v>
      </c>
      <c r="O8" s="278">
        <v>1068.3499999999999</v>
      </c>
      <c r="P8" s="278">
        <v>1960.35</v>
      </c>
      <c r="Q8" s="278">
        <v>1960.35</v>
      </c>
    </row>
    <row r="18" spans="14:14" x14ac:dyDescent="0.45">
      <c r="N18" t="s">
        <v>385</v>
      </c>
    </row>
  </sheetData>
  <pageMargins left="0.7" right="0.7" top="0.75" bottom="0.75" header="0.3" footer="0.3"/>
  <customProperties>
    <customPr name="Smart" r:id="rId1"/>
  </customPropertie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C3293-D695-42CF-86FA-A8BBF6E29158}">
  <sheetPr>
    <pageSetUpPr fitToPage="1"/>
  </sheetPr>
  <dimension ref="B2:N23"/>
  <sheetViews>
    <sheetView showGridLines="0" zoomScale="76" workbookViewId="0">
      <selection activeCell="I4" sqref="I4:N4"/>
    </sheetView>
  </sheetViews>
  <sheetFormatPr defaultRowHeight="14.25" x14ac:dyDescent="0.45"/>
  <cols>
    <col min="1" max="1" width="1.73046875" customWidth="1"/>
    <col min="8" max="8" width="1.73046875" customWidth="1"/>
  </cols>
  <sheetData>
    <row r="2" spans="2:14" ht="28.9" thickBot="1" x14ac:dyDescent="0.9">
      <c r="B2" s="113" t="s">
        <v>434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</row>
    <row r="3" spans="2:14" ht="4.5" customHeight="1" x14ac:dyDescent="0.45">
      <c r="B3" s="112"/>
    </row>
    <row r="4" spans="2:14" ht="21" customHeight="1" x14ac:dyDescent="0.55000000000000004">
      <c r="B4" s="288" t="s">
        <v>436</v>
      </c>
      <c r="C4" s="288"/>
      <c r="D4" s="288"/>
      <c r="E4" s="288"/>
      <c r="F4" s="288"/>
      <c r="G4" s="288"/>
      <c r="I4" s="288" t="s">
        <v>435</v>
      </c>
      <c r="J4" s="288"/>
      <c r="K4" s="288"/>
      <c r="L4" s="288"/>
      <c r="M4" s="288"/>
      <c r="N4" s="288"/>
    </row>
    <row r="5" spans="2:14" ht="4.5" customHeight="1" x14ac:dyDescent="0.45"/>
    <row r="6" spans="2:14" x14ac:dyDescent="0.45">
      <c r="B6" s="36"/>
      <c r="C6" s="36"/>
      <c r="D6" s="36"/>
      <c r="E6" s="36"/>
      <c r="F6" s="36"/>
      <c r="G6" s="36"/>
    </row>
    <row r="7" spans="2:14" x14ac:dyDescent="0.45">
      <c r="B7" s="36"/>
      <c r="C7" s="36"/>
      <c r="D7" s="36"/>
      <c r="E7" s="36"/>
      <c r="F7" s="36"/>
      <c r="G7" s="36"/>
    </row>
    <row r="8" spans="2:14" x14ac:dyDescent="0.45">
      <c r="B8" s="36"/>
      <c r="C8" s="36"/>
      <c r="D8" s="36"/>
      <c r="E8" s="36"/>
      <c r="F8" s="36"/>
      <c r="G8" s="36"/>
    </row>
    <row r="9" spans="2:14" ht="18" customHeight="1" x14ac:dyDescent="0.45"/>
    <row r="10" spans="2:14" ht="6" customHeight="1" x14ac:dyDescent="0.45"/>
    <row r="11" spans="2:14" ht="18" x14ac:dyDescent="0.55000000000000004">
      <c r="B11" s="288" t="s">
        <v>437</v>
      </c>
      <c r="C11" s="288"/>
      <c r="D11" s="288"/>
      <c r="E11" s="288"/>
      <c r="F11" s="288"/>
      <c r="G11" s="288"/>
    </row>
    <row r="12" spans="2:14" ht="4.9000000000000004" customHeight="1" x14ac:dyDescent="0.45"/>
    <row r="13" spans="2:14" x14ac:dyDescent="0.45">
      <c r="B13" s="23"/>
      <c r="C13" s="23"/>
      <c r="D13" s="23"/>
      <c r="E13" s="23"/>
      <c r="F13" s="23"/>
      <c r="G13" s="23"/>
    </row>
    <row r="14" spans="2:14" x14ac:dyDescent="0.45">
      <c r="B14" s="23"/>
      <c r="C14" s="23"/>
      <c r="D14" s="23"/>
      <c r="E14" s="23"/>
      <c r="F14" s="23"/>
      <c r="G14" s="23"/>
    </row>
    <row r="15" spans="2:14" x14ac:dyDescent="0.45">
      <c r="B15" s="23"/>
      <c r="C15" s="23"/>
      <c r="D15" s="23"/>
      <c r="E15" s="23"/>
      <c r="F15" s="23"/>
      <c r="G15" s="23"/>
    </row>
    <row r="16" spans="2:14" x14ac:dyDescent="0.45">
      <c r="B16" s="23"/>
      <c r="C16" s="23"/>
      <c r="D16" s="23"/>
      <c r="E16" s="23"/>
      <c r="F16" s="23"/>
      <c r="G16" s="23"/>
    </row>
    <row r="17" spans="2:14" x14ac:dyDescent="0.45">
      <c r="B17" s="23"/>
      <c r="C17" s="23"/>
      <c r="D17" s="23"/>
      <c r="E17" s="23"/>
      <c r="F17" s="23"/>
      <c r="G17" s="23"/>
    </row>
    <row r="18" spans="2:14" x14ac:dyDescent="0.45">
      <c r="B18" s="23"/>
      <c r="C18" s="23"/>
      <c r="D18" s="23"/>
      <c r="E18" s="23"/>
      <c r="F18" s="23"/>
      <c r="G18" s="23"/>
    </row>
    <row r="19" spans="2:14" x14ac:dyDescent="0.45">
      <c r="B19" s="23"/>
      <c r="C19" s="23"/>
      <c r="D19" s="23"/>
      <c r="E19" s="23"/>
      <c r="F19" s="23"/>
      <c r="G19" s="23"/>
    </row>
    <row r="20" spans="2:14" x14ac:dyDescent="0.45">
      <c r="B20" s="23"/>
      <c r="C20" s="23"/>
      <c r="D20" s="23"/>
      <c r="E20" s="23"/>
      <c r="F20" s="23"/>
      <c r="G20" s="23"/>
    </row>
    <row r="21" spans="2:14" ht="4.1500000000000004" customHeight="1" x14ac:dyDescent="0.45">
      <c r="K21" t="s">
        <v>438</v>
      </c>
    </row>
    <row r="22" spans="2:14" ht="18" x14ac:dyDescent="0.55000000000000004">
      <c r="B22" s="288" t="s">
        <v>439</v>
      </c>
      <c r="C22" s="288"/>
      <c r="D22" s="288"/>
      <c r="E22" s="288"/>
      <c r="F22" s="288"/>
      <c r="G22" s="288"/>
      <c r="H22" s="288"/>
      <c r="I22" s="288"/>
      <c r="J22" s="288"/>
      <c r="K22" s="288"/>
      <c r="L22" s="288"/>
      <c r="M22" s="288"/>
      <c r="N22" s="288"/>
    </row>
    <row r="23" spans="2:14" ht="6" customHeight="1" x14ac:dyDescent="0.45"/>
  </sheetData>
  <mergeCells count="4">
    <mergeCell ref="B11:G11"/>
    <mergeCell ref="B4:G4"/>
    <mergeCell ref="I4:N4"/>
    <mergeCell ref="B22:N22"/>
  </mergeCells>
  <pageMargins left="0.7" right="0.7" top="0.75" bottom="0.75" header="0.3" footer="0.3"/>
  <pageSetup paperSize="9" scale="94" orientation="landscape" r:id="rId1"/>
  <customProperties>
    <customPr name="Smart" r:id="rId2"/>
  </customProperties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AC103-F2B2-4C96-BCE2-0FDA8234AD0C}">
  <sheetPr>
    <pageSetUpPr fitToPage="1"/>
  </sheetPr>
  <dimension ref="B2:P21"/>
  <sheetViews>
    <sheetView showGridLines="0" tabSelected="1" zoomScale="62" workbookViewId="0">
      <selection activeCell="T33" sqref="T33"/>
    </sheetView>
  </sheetViews>
  <sheetFormatPr defaultRowHeight="14.25" x14ac:dyDescent="0.45"/>
  <cols>
    <col min="1" max="1" width="1.73046875" customWidth="1"/>
    <col min="8" max="8" width="19.86328125" customWidth="1"/>
    <col min="9" max="9" width="1.73046875" customWidth="1"/>
    <col min="10" max="10" width="9.86328125" customWidth="1"/>
    <col min="14" max="14" width="20.796875" customWidth="1"/>
  </cols>
  <sheetData>
    <row r="2" spans="2:16" ht="28.9" thickBot="1" x14ac:dyDescent="0.9">
      <c r="B2" s="113" t="s">
        <v>434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</row>
    <row r="3" spans="2:16" ht="6" customHeight="1" x14ac:dyDescent="0.45"/>
    <row r="4" spans="2:16" ht="18" x14ac:dyDescent="0.55000000000000004">
      <c r="B4" s="288" t="s">
        <v>440</v>
      </c>
      <c r="C4" s="288"/>
      <c r="D4" s="288"/>
      <c r="E4" s="288"/>
      <c r="F4" s="288"/>
      <c r="G4" s="288"/>
      <c r="H4" s="288"/>
      <c r="J4" s="288" t="s">
        <v>441</v>
      </c>
      <c r="K4" s="288"/>
      <c r="L4" s="288"/>
      <c r="M4" s="288"/>
      <c r="N4" s="288"/>
      <c r="O4" s="288"/>
      <c r="P4" s="288"/>
    </row>
    <row r="5" spans="2:16" ht="4.9000000000000004" customHeight="1" x14ac:dyDescent="0.45"/>
    <row r="6" spans="2:16" x14ac:dyDescent="0.45">
      <c r="J6" s="277"/>
      <c r="K6" s="277"/>
      <c r="L6" s="277"/>
      <c r="M6" s="277"/>
      <c r="N6" s="277"/>
      <c r="O6" s="277"/>
      <c r="P6" s="277"/>
    </row>
    <row r="21" spans="2:8" x14ac:dyDescent="0.45">
      <c r="B21" s="277"/>
      <c r="C21" s="277"/>
      <c r="D21" s="277"/>
      <c r="E21" s="277"/>
      <c r="F21" s="277"/>
      <c r="G21" s="277"/>
      <c r="H21" s="277"/>
    </row>
  </sheetData>
  <mergeCells count="2">
    <mergeCell ref="B4:H4"/>
    <mergeCell ref="J4:P4"/>
  </mergeCells>
  <phoneticPr fontId="32" type="noConversion"/>
  <pageMargins left="0.7" right="0.7" top="0.75" bottom="0.75" header="0.3" footer="0.3"/>
  <pageSetup paperSize="9" scale="85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20632-A232-4D6E-85EB-16D3C361754C}">
  <dimension ref="B2:L41"/>
  <sheetViews>
    <sheetView showGridLines="0" topLeftCell="A17" workbookViewId="0">
      <selection activeCell="C21" sqref="C21:C23"/>
    </sheetView>
  </sheetViews>
  <sheetFormatPr defaultRowHeight="14.25" x14ac:dyDescent="0.45"/>
  <cols>
    <col min="1" max="1" width="2.1328125" customWidth="1"/>
    <col min="2" max="2" width="20.59765625" customWidth="1"/>
    <col min="3" max="12" width="13.59765625" customWidth="1"/>
  </cols>
  <sheetData>
    <row r="2" spans="2:12" x14ac:dyDescent="0.45">
      <c r="B2" s="289" t="str">
        <f>"Ratio Analysis - "&amp;'Data Sheet'!B1</f>
        <v>Ratio Analysis - SUN PHARMACEUTICALS INDUSTRIES LTD</v>
      </c>
      <c r="C2" s="290"/>
      <c r="D2" s="290"/>
      <c r="E2" s="290"/>
      <c r="F2" s="290"/>
      <c r="G2" s="290"/>
      <c r="H2" s="290"/>
      <c r="I2" s="290"/>
      <c r="J2" s="290"/>
      <c r="K2" s="290"/>
      <c r="L2" s="290"/>
    </row>
    <row r="3" spans="2:12" x14ac:dyDescent="0.45">
      <c r="B3" s="16" t="s">
        <v>81</v>
      </c>
      <c r="C3" s="200">
        <f>'Data Sheet'!B16</f>
        <v>42094</v>
      </c>
      <c r="D3" s="200">
        <f>'Data Sheet'!C16</f>
        <v>42460</v>
      </c>
      <c r="E3" s="200">
        <f>'Data Sheet'!D16</f>
        <v>42825</v>
      </c>
      <c r="F3" s="200">
        <f>'Data Sheet'!E16</f>
        <v>43190</v>
      </c>
      <c r="G3" s="200">
        <f>'Data Sheet'!F16</f>
        <v>43555</v>
      </c>
      <c r="H3" s="200">
        <f>'Data Sheet'!G16</f>
        <v>43921</v>
      </c>
      <c r="I3" s="200">
        <f>'Data Sheet'!H16</f>
        <v>44286</v>
      </c>
      <c r="J3" s="200">
        <f>'Data Sheet'!I16</f>
        <v>44651</v>
      </c>
      <c r="K3" s="200">
        <f>'Data Sheet'!J16</f>
        <v>45016</v>
      </c>
      <c r="L3" s="200">
        <f>'Data Sheet'!K16</f>
        <v>45382</v>
      </c>
    </row>
    <row r="5" spans="2:12" x14ac:dyDescent="0.45">
      <c r="B5" t="s">
        <v>22</v>
      </c>
      <c r="C5" s="201">
        <f>IFERROR('Historical Data'!D7,0)</f>
        <v>3.9975890779829548E-2</v>
      </c>
      <c r="D5" s="201">
        <f>IFERROR('Historical Data'!E7,0)</f>
        <v>0.10851991239521985</v>
      </c>
      <c r="E5" s="201">
        <f>IFERROR('Historical Data'!F7,0)</f>
        <v>-0.16115362253486876</v>
      </c>
      <c r="F5" s="201">
        <f>IFERROR('Historical Data'!G7,0)</f>
        <v>9.7263213368637969E-2</v>
      </c>
      <c r="G5" s="201">
        <f>IFERROR('Historical Data'!H7,0)</f>
        <v>0.12975991462163061</v>
      </c>
      <c r="H5" s="201">
        <f>IFERROR('Historical Data'!I7,0)</f>
        <v>2.0118462124095959E-2</v>
      </c>
      <c r="I5" s="201">
        <f>IFERROR('Historical Data'!J7,0)</f>
        <v>0.15392944205260339</v>
      </c>
      <c r="J5" s="201">
        <f>IFERROR('Historical Data'!K7,0)</f>
        <v>0.1353320144697292</v>
      </c>
      <c r="K5" s="201">
        <f>IFERROR('Historical Data'!L7,0)</f>
        <v>0.10507231516066295</v>
      </c>
      <c r="L5" s="201">
        <f>IFERROR('Historical Data'!M7,0)</f>
        <v>1.4679510112512562E-2</v>
      </c>
    </row>
    <row r="6" spans="2:12" x14ac:dyDescent="0.45">
      <c r="B6" t="s">
        <v>148</v>
      </c>
      <c r="C6" s="140">
        <f>IFERROR('Historical Data'!D18/'Historical Data'!C18-1,0)</f>
        <v>2.1341266399061531E-2</v>
      </c>
      <c r="D6" s="140">
        <f>IFERROR('Historical Data'!E18/'Historical Data'!D18-1,0)</f>
        <v>0.17322355749636742</v>
      </c>
      <c r="E6" s="140">
        <f>IFERROR('Historical Data'!F18/'Historical Data'!E18-1,0)</f>
        <v>-0.12568091494757705</v>
      </c>
      <c r="F6" s="140">
        <f>IFERROR('Historical Data'!G18/'Historical Data'!F18-1,0)</f>
        <v>8.4858877869009364E-2</v>
      </c>
      <c r="G6" s="140">
        <f>IFERROR('Historical Data'!H18/'Historical Data'!G18-1,0)</f>
        <v>9.5951617744531204E-2</v>
      </c>
      <c r="H6" s="140">
        <f>IFERROR('Historical Data'!I18/'Historical Data'!H18-1,0)</f>
        <v>3.4681537905722148E-2</v>
      </c>
      <c r="I6" s="140">
        <f>IFERROR('Historical Data'!J18/'Historical Data'!I18-1,0)</f>
        <v>0.14574314215815587</v>
      </c>
      <c r="J6" s="140">
        <f>IFERROR('Historical Data'!K18/'Historical Data'!J18-1,0)</f>
        <v>8.6166591332147657E-2</v>
      </c>
      <c r="K6" s="140">
        <f>IFERROR('Historical Data'!L18/'Historical Data'!K18-1,0)</f>
        <v>7.2512098810064263E-2</v>
      </c>
      <c r="L6" s="140">
        <f>IFERROR('Historical Data'!M18/'Historical Data'!L18-1,0)</f>
        <v>0.44034570243524485</v>
      </c>
    </row>
    <row r="7" spans="2:12" x14ac:dyDescent="0.45">
      <c r="B7" t="s">
        <v>149</v>
      </c>
      <c r="C7" s="140">
        <f>IFERROR('Historical Data'!D27/'Historical Data'!C27-1,0)</f>
        <v>2.9038940295067261E-2</v>
      </c>
      <c r="D7" s="140">
        <f>IFERROR('Historical Data'!E27/'Historical Data'!D27-1,0)</f>
        <v>0.17819222948778668</v>
      </c>
      <c r="E7" s="140">
        <f>IFERROR('Historical Data'!F27/'Historical Data'!E27-1,0)</f>
        <v>-0.13991010274514459</v>
      </c>
      <c r="F7" s="140">
        <f>IFERROR('Historical Data'!G27/'Historical Data'!F27-1,0)</f>
        <v>8.1329871481548688E-2</v>
      </c>
      <c r="G7" s="140">
        <f>IFERROR('Historical Data'!H27/'Historical Data'!G27-1,0)</f>
        <v>0.10070141398832022</v>
      </c>
      <c r="H7" s="140">
        <f>IFERROR('Historical Data'!I27/'Historical Data'!H27-1,0)</f>
        <v>4.0018834371045697E-2</v>
      </c>
      <c r="I7" s="140">
        <f>IFERROR('Historical Data'!J27/'Historical Data'!I27-1,0)</f>
        <v>0.15225940163034357</v>
      </c>
      <c r="J7" s="140">
        <f>IFERROR('Historical Data'!K27/'Historical Data'!J27-1,0)</f>
        <v>8.1324316627526372E-2</v>
      </c>
      <c r="K7" s="140">
        <f>IFERROR('Historical Data'!L27/'Historical Data'!K27-1,0)</f>
        <v>7.4462637953412347E-2</v>
      </c>
      <c r="L7" s="140">
        <f>IFERROR('Historical Data'!M27/'Historical Data'!L27-1,0)</f>
        <v>0.50796098812095059</v>
      </c>
    </row>
    <row r="8" spans="2:12" x14ac:dyDescent="0.45">
      <c r="B8" t="s">
        <v>150</v>
      </c>
      <c r="C8" s="140">
        <f>IFERROR('Historical Data'!D33/'Historical Data'!C33-1,0)</f>
        <v>2.9906807681497671E-2</v>
      </c>
      <c r="D8" s="140">
        <f>IFERROR('Historical Data'!E33/'Historical Data'!D33-1,0)</f>
        <v>0.17405355947004697</v>
      </c>
      <c r="E8" s="140">
        <f>IFERROR('Historical Data'!F33/'Historical Data'!E33-1,0)</f>
        <v>-0.13648826244976364</v>
      </c>
      <c r="F8" s="140">
        <f>IFERROR('Historical Data'!G33/'Historical Data'!F33-1,0)</f>
        <v>9.2951743440642609E-2</v>
      </c>
      <c r="G8" s="140">
        <f>IFERROR('Historical Data'!H33/'Historical Data'!G33-1,0)</f>
        <v>9.6234704455403941E-2</v>
      </c>
      <c r="H8" s="140">
        <f>IFERROR('Historical Data'!I33/'Historical Data'!H33-1,0)</f>
        <v>4.8627868342206115E-2</v>
      </c>
      <c r="I8" s="140">
        <f>IFERROR('Historical Data'!J33/'Historical Data'!I33-1,0)</f>
        <v>0.14064551850313856</v>
      </c>
      <c r="J8" s="140">
        <f>IFERROR('Historical Data'!K33/'Historical Data'!J33-1,0)</f>
        <v>8.7980212187148688E-2</v>
      </c>
      <c r="K8" s="140">
        <f>IFERROR('Historical Data'!L33/'Historical Data'!K33-1,0)</f>
        <v>6.420596592452088E-2</v>
      </c>
      <c r="L8" s="140">
        <f>IFERROR('Historical Data'!M33/'Historical Data'!L33-1,0)</f>
        <v>0.5197549823327352</v>
      </c>
    </row>
    <row r="9" spans="2:12" x14ac:dyDescent="0.45">
      <c r="B9" t="s">
        <v>151</v>
      </c>
      <c r="C9" s="140">
        <f>IFERROR('Historical Data'!D41/'Historical Data'!C41-1,0)</f>
        <v>-0.6666805168903478</v>
      </c>
      <c r="D9" s="140">
        <f>IFERROR('Historical Data'!E41/'Historical Data'!D41-1,0)</f>
        <v>2.5001662736689285</v>
      </c>
      <c r="E9" s="140">
        <f>IFERROR('Historical Data'!F41/'Historical Data'!E41-1,0)</f>
        <v>-0.42857483090406778</v>
      </c>
      <c r="F9" s="140">
        <f>IFERROR('Historical Data'!G41/'Historical Data'!F41-1,0)</f>
        <v>0.37500520985287356</v>
      </c>
      <c r="G9" s="140">
        <f>IFERROR('Historical Data'!H41/'Historical Data'!G41-1,0)</f>
        <v>0.45453994331701564</v>
      </c>
      <c r="H9" s="140">
        <f>IFERROR('Historical Data'!I41/'Historical Data'!H41-1,0)</f>
        <v>0.87500520985287378</v>
      </c>
      <c r="I9" s="140">
        <f>IFERROR('Historical Data'!J41/'Historical Data'!I41-1,0)</f>
        <v>0.33332962855936166</v>
      </c>
      <c r="J9" s="140">
        <f>IFERROR('Historical Data'!K41/'Historical Data'!J41-1,0)</f>
        <v>0.15000208394114933</v>
      </c>
      <c r="K9" s="140">
        <f>IFERROR('Historical Data'!L41/'Historical Data'!K41-1,0)</f>
        <v>0.1739127283270514</v>
      </c>
      <c r="L9" s="140">
        <f>IFERROR('Historical Data'!M41/'Historical Data'!L41-1,0)</f>
        <v>-1</v>
      </c>
    </row>
    <row r="11" spans="2:12" x14ac:dyDescent="0.45">
      <c r="B11" t="s">
        <v>152</v>
      </c>
      <c r="C11" s="201">
        <f>IFERROR('Historical Data'!C13,0)</f>
        <v>1.4829926682999899</v>
      </c>
      <c r="D11" s="201">
        <f>IFERROR('Historical Data'!D13,0)</f>
        <v>1.4723791844920302</v>
      </c>
      <c r="E11" s="201">
        <f>IFERROR('Historical Data'!E13,0)</f>
        <v>1.4918415855881417</v>
      </c>
      <c r="F11" s="201">
        <f>IFERROR('Historical Data'!F13,0)</f>
        <v>1.5730600019781451</v>
      </c>
      <c r="G11" s="201">
        <f>IFERROR('Historical Data'!G13,0)</f>
        <v>1.5619769000867338</v>
      </c>
      <c r="H11" s="201">
        <f>IFERROR('Historical Data'!H13,0)</f>
        <v>1.5452513132851162</v>
      </c>
      <c r="I11" s="201">
        <f>IFERROR('Historical Data'!I13,0)</f>
        <v>1.5344529576866059</v>
      </c>
      <c r="J11" s="201">
        <f>IFERROR('Historical Data'!J13,0)</f>
        <v>1.5235060661775643</v>
      </c>
      <c r="K11" s="201">
        <f>IFERROR('Historical Data'!K13,0)</f>
        <v>1.4950364219034546</v>
      </c>
      <c r="L11" s="201">
        <f>IFERROR('Historical Data'!L13,0)</f>
        <v>1.4750632257558995</v>
      </c>
    </row>
    <row r="12" spans="2:12" x14ac:dyDescent="0.45">
      <c r="B12" t="s">
        <v>153</v>
      </c>
      <c r="C12" s="201">
        <f>IFERROR('Historical Data'!C19,0)</f>
        <v>1.2541649919082243</v>
      </c>
      <c r="D12" s="201">
        <f>IFERROR('Historical Data'!D19,0)</f>
        <v>1.2316924579361206</v>
      </c>
      <c r="E12" s="201">
        <f>IFERROR('Historical Data'!E19,0)</f>
        <v>1.3035856109421491</v>
      </c>
      <c r="F12" s="201">
        <f>IFERROR('Historical Data'!F19,0)</f>
        <v>1.3587109741006422</v>
      </c>
      <c r="G12" s="201">
        <f>IFERROR('Historical Data'!G19,0)</f>
        <v>1.3433510253076544</v>
      </c>
      <c r="H12" s="201">
        <f>IFERROR('Historical Data'!H19,0)</f>
        <v>1.303150970688999</v>
      </c>
      <c r="I12" s="201">
        <f>IFERROR('Historical Data'!I19,0)</f>
        <v>1.3217545810006168</v>
      </c>
      <c r="J12" s="201">
        <f>IFERROR('Historical Data'!J19,0)</f>
        <v>1.3123776823856685</v>
      </c>
      <c r="K12" s="201">
        <f>IFERROR('Historical Data'!K19,0)</f>
        <v>1.255545316832279</v>
      </c>
      <c r="L12" s="201">
        <f>IFERROR('Historical Data'!L19,0)</f>
        <v>1.2185515141705079</v>
      </c>
    </row>
    <row r="13" spans="2:12" x14ac:dyDescent="0.45">
      <c r="B13" t="s">
        <v>154</v>
      </c>
      <c r="C13" s="148">
        <f>IFERROR(('Historical Data'!C18-'Historical Data'!C24)/'Historical Data'!C6,0)</f>
        <v>1.210549353625382</v>
      </c>
      <c r="D13" s="148">
        <f>IFERROR(('Historical Data'!D18-'Historical Data'!D24)/'Historical Data'!D6,0)</f>
        <v>1.1952713217207973</v>
      </c>
      <c r="E13" s="148">
        <f>IFERROR(('Historical Data'!E18-'Historical Data'!E24)/'Historical Data'!E6,0)</f>
        <v>1.2635345507884492</v>
      </c>
      <c r="F13" s="148">
        <f>IFERROR(('Historical Data'!F18-'Historical Data'!F24)/'Historical Data'!F6,0)</f>
        <v>1.3020907183460895</v>
      </c>
      <c r="G13" s="148">
        <f>IFERROR(('Historical Data'!G18-'Historical Data'!G24)/'Historical Data'!G6,0)</f>
        <v>1.2830312211109165</v>
      </c>
      <c r="H13" s="148">
        <f>IFERROR(('Historical Data'!H18-'Historical Data'!H24)/'Historical Data'!H6,0)</f>
        <v>1.2406376855728969</v>
      </c>
      <c r="I13" s="148">
        <f>IFERROR(('Historical Data'!I18-'Historical Data'!I24)/'Historical Data'!I6,0)</f>
        <v>1.259663073830368</v>
      </c>
      <c r="J13" s="148">
        <f>IFERROR(('Historical Data'!J18-'Historical Data'!J24)/'Historical Data'!J6,0)</f>
        <v>1.2569186658522724</v>
      </c>
      <c r="K13" s="148">
        <f>IFERROR(('Historical Data'!K18-'Historical Data'!K24)/'Historical Data'!K6,0)</f>
        <v>1.1979085205014484</v>
      </c>
      <c r="L13" s="148">
        <f>IFERROR(('Historical Data'!L18-'Historical Data'!L24)/'Historical Data'!L6,0)</f>
        <v>1.1658338634364913</v>
      </c>
    </row>
    <row r="14" spans="2:12" x14ac:dyDescent="0.45">
      <c r="B14" t="s">
        <v>155</v>
      </c>
      <c r="C14" s="201">
        <f>IFERROR('Historical Data'!C28,0)</f>
        <v>1.189412168000815</v>
      </c>
      <c r="D14" s="201">
        <f>IFERROR('Historical Data'!D28,0)</f>
        <v>1.1769036645799862</v>
      </c>
      <c r="E14" s="201">
        <f>IFERROR('Historical Data'!E28,0)</f>
        <v>1.2508740140424921</v>
      </c>
      <c r="F14" s="201">
        <f>IFERROR('Historical Data'!F28,0)</f>
        <v>1.2825520037026048</v>
      </c>
      <c r="G14" s="201">
        <f>IFERROR('Historical Data'!G28,0)</f>
        <v>1.2639280862013267</v>
      </c>
      <c r="H14" s="201">
        <f>IFERROR('Historical Data'!H28,0)</f>
        <v>1.2314186524552722</v>
      </c>
      <c r="I14" s="201">
        <f>IFERROR('Historical Data'!I28,0)</f>
        <v>1.2554410483686558</v>
      </c>
      <c r="J14" s="201">
        <f>IFERROR('Historical Data'!J28,0)</f>
        <v>1.2536240938633521</v>
      </c>
      <c r="K14" s="201">
        <f>IFERROR('Historical Data'!K28,0)</f>
        <v>1.1939892466061823</v>
      </c>
      <c r="L14" s="201">
        <f>IFERROR('Historical Data'!L28,0)</f>
        <v>1.1609166368537338</v>
      </c>
    </row>
    <row r="15" spans="2:12" x14ac:dyDescent="0.45">
      <c r="B15" t="s">
        <v>156</v>
      </c>
      <c r="C15" s="201">
        <f>IFERROR('Historical Data'!C34,0)</f>
        <v>1.1560195838129441</v>
      </c>
      <c r="D15" s="201">
        <f>IFERROR('Historical Data'!D34,0)</f>
        <v>1.1448269616032281</v>
      </c>
      <c r="E15" s="201">
        <f>IFERROR('Historical Data'!E34,0)</f>
        <v>1.2125070142793626</v>
      </c>
      <c r="F15" s="201">
        <f>IFERROR('Historical Data'!F34,0)</f>
        <v>1.2481594566291649</v>
      </c>
      <c r="G15" s="201">
        <f>IFERROR('Historical Data'!G34,0)</f>
        <v>1.2432550709748982</v>
      </c>
      <c r="H15" s="201">
        <f>IFERROR('Historical Data'!H34,0)</f>
        <v>1.2063619337647506</v>
      </c>
      <c r="I15" s="201">
        <f>IFERROR('Historical Data'!I34,0)</f>
        <v>1.2400763146849347</v>
      </c>
      <c r="J15" s="201">
        <f>IFERROR('Historical Data'!J34,0)</f>
        <v>1.2258006767131064</v>
      </c>
      <c r="K15" s="201">
        <f>IFERROR('Historical Data'!K34,0)</f>
        <v>1.1746756572986907</v>
      </c>
      <c r="L15" s="201">
        <f>IFERROR('Historical Data'!L34,0)</f>
        <v>1.1312353276553013</v>
      </c>
    </row>
    <row r="17" spans="2:12" x14ac:dyDescent="0.45">
      <c r="B17" t="s">
        <v>157</v>
      </c>
      <c r="C17" s="201">
        <f>IFERROR('Historical Data'!C16,0)</f>
        <v>0.22882767639176535</v>
      </c>
      <c r="D17" s="201">
        <f>IFERROR('Historical Data'!D16,0)</f>
        <v>0.24068672655590984</v>
      </c>
      <c r="E17" s="201">
        <f>IFERROR('Historical Data'!E16,0)</f>
        <v>0.18825597464599264</v>
      </c>
      <c r="F17" s="201">
        <f>IFERROR('Historical Data'!F16,0)</f>
        <v>0.21434902787750298</v>
      </c>
      <c r="G17" s="201">
        <f>IFERROR('Historical Data'!G16,0)</f>
        <v>0.21862587477907966</v>
      </c>
      <c r="H17" s="201">
        <f>IFERROR('Historical Data'!H16,0)</f>
        <v>0.24210034259611726</v>
      </c>
      <c r="I17" s="201">
        <f>IFERROR('Historical Data'!I16,0)</f>
        <v>0.21269837668598915</v>
      </c>
      <c r="J17" s="201">
        <f>IFERROR('Historical Data'!J16,0)</f>
        <v>0.21112838379189586</v>
      </c>
      <c r="K17" s="201">
        <f>IFERROR('Historical Data'!K16,0)</f>
        <v>0.23949110507117582</v>
      </c>
      <c r="L17" s="201">
        <f>IFERROR('Historical Data'!L16,0)</f>
        <v>0.25651171158539166</v>
      </c>
    </row>
    <row r="18" spans="2:12" x14ac:dyDescent="0.45">
      <c r="B18" t="s">
        <v>158</v>
      </c>
      <c r="C18" s="201">
        <f>IFERROR('Historical Data'!C25,0)</f>
        <v>4.3615638282842338E-2</v>
      </c>
      <c r="D18" s="201">
        <f>IFERROR('Historical Data'!D25,0)</f>
        <v>3.6421136215323252E-2</v>
      </c>
      <c r="E18" s="201">
        <f>IFERROR('Historical Data'!E25,0)</f>
        <v>4.0051060153699802E-2</v>
      </c>
      <c r="F18" s="201">
        <f>IFERROR('Historical Data'!F25,0)</f>
        <v>5.6620255754552942E-2</v>
      </c>
      <c r="G18" s="201">
        <f>IFERROR('Historical Data'!G25,0)</f>
        <v>6.0319804196737693E-2</v>
      </c>
      <c r="H18" s="201">
        <f>IFERROR('Historical Data'!H25,0)</f>
        <v>6.2513285116102019E-2</v>
      </c>
      <c r="I18" s="201">
        <f>IFERROR('Historical Data'!I25,0)</f>
        <v>6.2091507170248854E-2</v>
      </c>
      <c r="J18" s="201">
        <f>IFERROR('Historical Data'!J25,0)</f>
        <v>5.5459016533396244E-2</v>
      </c>
      <c r="K18" s="201">
        <f>IFERROR('Historical Data'!K25,0)</f>
        <v>5.7636796330830464E-2</v>
      </c>
      <c r="L18" s="201">
        <f>IFERROR('Historical Data'!L25,0)</f>
        <v>5.2717650734016741E-2</v>
      </c>
    </row>
    <row r="19" spans="2:12" x14ac:dyDescent="0.45">
      <c r="B19" t="s">
        <v>159</v>
      </c>
      <c r="C19" s="123">
        <f>C13</f>
        <v>1.210549353625382</v>
      </c>
      <c r="D19" s="123">
        <f t="shared" ref="D19:L19" si="0">D13</f>
        <v>1.1952713217207973</v>
      </c>
      <c r="E19" s="123">
        <f t="shared" si="0"/>
        <v>1.2635345507884492</v>
      </c>
      <c r="F19" s="123">
        <f t="shared" si="0"/>
        <v>1.3020907183460895</v>
      </c>
      <c r="G19" s="123">
        <f t="shared" si="0"/>
        <v>1.2830312211109165</v>
      </c>
      <c r="H19" s="123">
        <f t="shared" si="0"/>
        <v>1.2406376855728969</v>
      </c>
      <c r="I19" s="123">
        <f t="shared" si="0"/>
        <v>1.259663073830368</v>
      </c>
      <c r="J19" s="123">
        <f t="shared" si="0"/>
        <v>1.2569186658522724</v>
      </c>
      <c r="K19" s="123">
        <f t="shared" si="0"/>
        <v>1.1979085205014484</v>
      </c>
      <c r="L19" s="123">
        <f t="shared" si="0"/>
        <v>1.1658338634364913</v>
      </c>
    </row>
    <row r="21" spans="2:12" x14ac:dyDescent="0.45">
      <c r="B21" t="s">
        <v>160</v>
      </c>
      <c r="C21" s="144">
        <f>IFERROR(('Historical Data'!C18-'Historical Data'!C24)/(SUM('Historical Data'!C47:C49)),0)</f>
        <v>0.9574172349873824</v>
      </c>
    </row>
    <row r="22" spans="2:12" x14ac:dyDescent="0.45">
      <c r="B22" t="s">
        <v>161</v>
      </c>
      <c r="C22" s="202">
        <f>IFERROR('Historical Data'!C44,0)</f>
        <v>0.9803775062607174</v>
      </c>
    </row>
    <row r="23" spans="2:12" x14ac:dyDescent="0.45">
      <c r="B23" t="s">
        <v>162</v>
      </c>
      <c r="C23" s="144">
        <f>IFERROR('Historical Data'!C33/SUM('Historical Data'!C47:C48),0)</f>
        <v>1.2351037070234172</v>
      </c>
    </row>
    <row r="24" spans="2:12" x14ac:dyDescent="0.45">
      <c r="B24" t="s">
        <v>163</v>
      </c>
    </row>
    <row r="25" spans="2:12" x14ac:dyDescent="0.45">
      <c r="B25" t="s">
        <v>164</v>
      </c>
    </row>
    <row r="27" spans="2:12" x14ac:dyDescent="0.45">
      <c r="B27" t="s">
        <v>165</v>
      </c>
    </row>
    <row r="28" spans="2:12" x14ac:dyDescent="0.45">
      <c r="B28" t="s">
        <v>166</v>
      </c>
    </row>
    <row r="29" spans="2:12" x14ac:dyDescent="0.45">
      <c r="B29" t="s">
        <v>168</v>
      </c>
    </row>
    <row r="30" spans="2:12" x14ac:dyDescent="0.45">
      <c r="B30" t="s">
        <v>167</v>
      </c>
    </row>
    <row r="31" spans="2:12" x14ac:dyDescent="0.45">
      <c r="B31" t="s">
        <v>169</v>
      </c>
    </row>
    <row r="34" spans="2:2" x14ac:dyDescent="0.45">
      <c r="B34" t="s">
        <v>46</v>
      </c>
    </row>
    <row r="35" spans="2:2" x14ac:dyDescent="0.45">
      <c r="B35" t="s">
        <v>170</v>
      </c>
    </row>
    <row r="36" spans="2:2" x14ac:dyDescent="0.45">
      <c r="B36" t="s">
        <v>171</v>
      </c>
    </row>
    <row r="37" spans="2:2" x14ac:dyDescent="0.45">
      <c r="B37" t="s">
        <v>172</v>
      </c>
    </row>
    <row r="39" spans="2:2" x14ac:dyDescent="0.45">
      <c r="B39" t="s">
        <v>173</v>
      </c>
    </row>
    <row r="40" spans="2:2" x14ac:dyDescent="0.45">
      <c r="B40" t="s">
        <v>174</v>
      </c>
    </row>
    <row r="41" spans="2:2" x14ac:dyDescent="0.45">
      <c r="B41" t="s">
        <v>175</v>
      </c>
    </row>
  </sheetData>
  <mergeCells count="1">
    <mergeCell ref="B2:L2"/>
  </mergeCells>
  <pageMargins left="0.7" right="0.7" top="0.75" bottom="0.75" header="0.3" footer="0.3"/>
  <customProperties>
    <customPr name="Smart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</vt:i4>
      </vt:variant>
    </vt:vector>
  </HeadingPairs>
  <TitlesOfParts>
    <vt:vector size="23" baseType="lpstr">
      <vt:lpstr>Profit &amp; Loss</vt:lpstr>
      <vt:lpstr>Quarters</vt:lpstr>
      <vt:lpstr>Balance Sheet</vt:lpstr>
      <vt:lpstr>Cash Flow</vt:lpstr>
      <vt:lpstr>Data Sheet</vt:lpstr>
      <vt:lpstr>Cash Flow Data</vt:lpstr>
      <vt:lpstr>Historical Data</vt:lpstr>
      <vt:lpstr>Ratio Analysis</vt:lpstr>
      <vt:lpstr>Forecasting</vt:lpstr>
      <vt:lpstr>Financial Ratio Analysis </vt:lpstr>
      <vt:lpstr>Rm</vt:lpstr>
      <vt:lpstr>Beta Regression&gt;</vt:lpstr>
      <vt:lpstr>WACC Analysis</vt:lpstr>
      <vt:lpstr>Data Room&gt;</vt:lpstr>
      <vt:lpstr>Intrisic Growth</vt:lpstr>
      <vt:lpstr>DCF&gt;</vt:lpstr>
      <vt:lpstr>Beta Comps&gt;</vt:lpstr>
      <vt:lpstr>Comps Value</vt:lpstr>
      <vt:lpstr>Football Field Analysis</vt:lpstr>
      <vt:lpstr>Sheet2</vt:lpstr>
      <vt:lpstr>Sheet3</vt:lpstr>
      <vt:lpstr>Sheet1</vt:lpstr>
      <vt:lpstr>UPDATE</vt:lpstr>
    </vt:vector>
  </TitlesOfParts>
  <Manager/>
  <Company/>
  <LinksUpToDate>false</LinksUpToDate>
  <CharactersWithSpaces>0</CharactersWithSpaces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vikshita mali</cp:lastModifiedBy>
  <cp:revision>1</cp:revision>
  <cp:lastPrinted>2024-10-26T12:34:02Z</cp:lastPrinted>
  <dcterms:created xsi:type="dcterms:W3CDTF">2024-10-26T07:09:03Z</dcterms:created>
  <dcterms:modified xsi:type="dcterms:W3CDTF">2024-10-26T12:41:09Z</dcterms:modified>
  <cp:category/>
  <cp:contentStatus/>
  <dc:language/>
  <cp:version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mpler">
    <vt:lpwstr>{"LastCleaned":"2024-10-26T07:09:03.7518062Z"}</vt:lpwstr>
  </property>
</Properties>
</file>