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LACFS01\Folder Redirection\Desktop\ViktoriyaCherevko\Desktop\my\spreadsheets\"/>
    </mc:Choice>
  </mc:AlternateContent>
  <xr:revisionPtr revIDLastSave="0" documentId="13_ncr:1_{E2D08C52-CF16-420A-9EA8-084ECF2E13DE}" xr6:coauthVersionLast="47" xr6:coauthVersionMax="47" xr10:uidLastSave="{00000000-0000-0000-0000-000000000000}"/>
  <bookViews>
    <workbookView xWindow="-120" yWindow="-120" windowWidth="29040" windowHeight="15840" activeTab="1" autoFilterDateGrouping="0" xr2:uid="{00000000-000D-0000-FFFF-FFFF00000000}"/>
  </bookViews>
  <sheets>
    <sheet name="oveview" sheetId="10" r:id="rId1"/>
    <sheet name="Compare yr to yr" sheetId="1" r:id="rId2"/>
    <sheet name="ready to TaxCalc" sheetId="8" r:id="rId3"/>
    <sheet name="Summary tables" sheetId="5" r:id="rId4"/>
    <sheet name="WS Halifax" sheetId="9" r:id="rId5"/>
    <sheet name="WS Cash" sheetId="4" r:id="rId6"/>
  </sheets>
  <definedNames>
    <definedName name="_xlnm._FilterDatabase" localSheetId="5" hidden="1">'WS Cash'!$A$1:$C$1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1" l="1"/>
  <c r="D26" i="1"/>
  <c r="E26" i="1"/>
  <c r="F26" i="1"/>
  <c r="G26" i="1"/>
  <c r="H26" i="1"/>
  <c r="I26" i="1"/>
  <c r="J26" i="1"/>
  <c r="K26" i="1"/>
  <c r="I27" i="5"/>
  <c r="C24" i="5"/>
  <c r="Z6" i="9"/>
  <c r="J19" i="9"/>
  <c r="K19" i="9"/>
  <c r="M38" i="9"/>
  <c r="Q19" i="9"/>
  <c r="U19" i="9"/>
  <c r="U20" i="9"/>
  <c r="H37" i="9" l="1"/>
  <c r="M37" i="9"/>
  <c r="L37" i="9"/>
  <c r="T19" i="9" s="1"/>
  <c r="K37" i="9"/>
  <c r="J37" i="9"/>
  <c r="I37" i="9"/>
  <c r="C18" i="5"/>
  <c r="I24" i="5"/>
  <c r="D10" i="4" l="1"/>
  <c r="I13" i="5" l="1"/>
  <c r="C12" i="5" s="1"/>
  <c r="D15" i="4"/>
  <c r="E20" i="4" l="1"/>
  <c r="D20" i="4"/>
  <c r="C20" i="4"/>
  <c r="B20" i="4"/>
  <c r="C17" i="5"/>
  <c r="C18" i="1"/>
  <c r="C12" i="1"/>
  <c r="C17" i="1" l="1"/>
  <c r="B17" i="9"/>
  <c r="B16" i="9"/>
  <c r="W15" i="9"/>
  <c r="B14" i="9"/>
  <c r="B13" i="9"/>
  <c r="B11" i="9"/>
  <c r="X17" i="9"/>
  <c r="X16" i="9"/>
  <c r="X15" i="9"/>
  <c r="X14" i="9"/>
  <c r="X13" i="9"/>
  <c r="X12" i="9"/>
  <c r="X11" i="9"/>
  <c r="X10" i="9"/>
  <c r="B10" i="9"/>
  <c r="X9" i="9" l="1"/>
  <c r="B15" i="9"/>
  <c r="B12" i="9"/>
  <c r="B9" i="9"/>
  <c r="I8" i="9"/>
  <c r="I20" i="9" s="1"/>
  <c r="C8" i="5" s="1"/>
  <c r="C8" i="1" s="1"/>
  <c r="X8" i="9"/>
  <c r="B8" i="9"/>
  <c r="X7" i="9"/>
  <c r="B7" i="9"/>
  <c r="W20" i="9"/>
  <c r="C38" i="5" s="1"/>
  <c r="X6" i="9"/>
  <c r="B6" i="9"/>
  <c r="C20" i="9"/>
  <c r="H20" i="9"/>
  <c r="C5" i="5" s="1"/>
  <c r="C5" i="1" s="1"/>
  <c r="D20" i="9"/>
  <c r="C6" i="5" s="1"/>
  <c r="J20" i="9"/>
  <c r="K20" i="9"/>
  <c r="C20" i="5" s="1"/>
  <c r="C20" i="1" s="1"/>
  <c r="L20" i="9"/>
  <c r="C14" i="5" s="1"/>
  <c r="M20" i="9"/>
  <c r="C16" i="5" s="1"/>
  <c r="C16" i="1" s="1"/>
  <c r="F20" i="9"/>
  <c r="C7" i="5" s="1"/>
  <c r="C7" i="1" s="1"/>
  <c r="E20" i="9"/>
  <c r="C9" i="5" s="1"/>
  <c r="C9" i="1" s="1"/>
  <c r="G20" i="9"/>
  <c r="C13" i="5" s="1"/>
  <c r="C13" i="1" s="1"/>
  <c r="N20" i="9"/>
  <c r="C21" i="5" s="1"/>
  <c r="O20" i="9"/>
  <c r="P20" i="9"/>
  <c r="Q20" i="9"/>
  <c r="C19" i="5" s="1"/>
  <c r="C19" i="1" s="1"/>
  <c r="R20" i="9"/>
  <c r="S20" i="9"/>
  <c r="C11" i="5" s="1"/>
  <c r="T20" i="9"/>
  <c r="C15" i="5" s="1"/>
  <c r="C15" i="1" s="1"/>
  <c r="C22" i="5"/>
  <c r="C22" i="1" s="1"/>
  <c r="V20" i="9"/>
  <c r="C23" i="5" s="1"/>
  <c r="D28" i="1"/>
  <c r="E28" i="1"/>
  <c r="C6" i="1" l="1"/>
  <c r="C26" i="1" s="1"/>
  <c r="C28" i="1" s="1"/>
  <c r="A35" i="5"/>
  <c r="Z7" i="9"/>
  <c r="Z8" i="9" s="1"/>
  <c r="Z9" i="9" s="1"/>
  <c r="Z10" i="9" s="1"/>
  <c r="Z11" i="9" s="1"/>
  <c r="Z12" i="9" s="1"/>
  <c r="Z13" i="9" s="1"/>
  <c r="Z14" i="9" s="1"/>
  <c r="Z15" i="9" s="1"/>
  <c r="Z16" i="9" s="1"/>
  <c r="Z17" i="9" s="1"/>
  <c r="Z18" i="9" s="1"/>
  <c r="Z19" i="9" s="1"/>
  <c r="K2" i="9" s="1"/>
  <c r="C16" i="8"/>
  <c r="C10" i="5"/>
  <c r="C10" i="1" s="1"/>
  <c r="X20" i="9"/>
  <c r="C39" i="5" s="1"/>
  <c r="B20" i="9"/>
  <c r="C2" i="5" s="1"/>
  <c r="A36" i="5" l="1"/>
  <c r="C14" i="8"/>
  <c r="C29" i="5"/>
  <c r="C31" i="5" s="1"/>
  <c r="C22" i="8"/>
  <c r="C2" i="1" l="1"/>
  <c r="C3" i="1"/>
  <c r="C17" i="8"/>
  <c r="C21" i="8"/>
  <c r="C33" i="8" s="1"/>
  <c r="C18" i="8"/>
  <c r="C26" i="8"/>
  <c r="K28" i="1"/>
  <c r="J28" i="1"/>
  <c r="H28" i="1"/>
  <c r="G28" i="1"/>
  <c r="F28" i="1"/>
  <c r="C19" i="8" l="1"/>
  <c r="C20" i="8"/>
  <c r="C24" i="8" l="1"/>
  <c r="C28" i="8" s="1"/>
  <c r="C32" i="8" s="1"/>
  <c r="C34" i="8" s="1"/>
  <c r="C35" i="8" s="1"/>
  <c r="C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Viktoriya Cherevko</author>
    <author>Paul Lounds</author>
  </authors>
  <commentList>
    <comment ref="D10" authorId="0" shapeId="0" xr:uid="{5A8E571E-9F5F-47EF-AD44-FC50EAB7A026}">
      <text>
        <r>
          <rPr>
            <b/>
            <sz val="9"/>
            <color indexed="81"/>
            <rFont val="Tahoma"/>
            <family val="2"/>
          </rPr>
          <t>Viktoriya Cherevko:</t>
        </r>
        <r>
          <rPr>
            <sz val="9"/>
            <color indexed="81"/>
            <rFont val="Tahoma"/>
            <family val="2"/>
          </rPr>
          <t xml:space="preserve">
supply and fit new boiler parts
instalations, remedial work to provide satisfactory outcome for EICR</t>
        </r>
      </text>
    </comment>
    <comment ref="C14" authorId="1" shapeId="0" xr:uid="{5773BB03-6931-4D2E-BFD7-4D2814A31052}">
      <text>
        <r>
          <rPr>
            <b/>
            <sz val="9"/>
            <color indexed="81"/>
            <rFont val="Tahoma"/>
            <family val="2"/>
          </rPr>
          <t>Paul Lounds:</t>
        </r>
        <r>
          <rPr>
            <sz val="9"/>
            <color indexed="81"/>
            <rFont val="Tahoma"/>
            <family val="2"/>
          </rPr>
          <t xml:space="preserve">
22-23 tax return paid in 24-25 tax year</t>
        </r>
      </text>
    </comment>
    <comment ref="D15" authorId="0" shapeId="0" xr:uid="{A261DE64-D844-4E19-95D8-18490D6C1609}">
      <text>
        <r>
          <rPr>
            <b/>
            <sz val="9"/>
            <color indexed="81"/>
            <rFont val="Tahoma"/>
            <family val="2"/>
          </rPr>
          <t>Viktoriya Cherevko:</t>
        </r>
        <r>
          <rPr>
            <sz val="9"/>
            <color indexed="81"/>
            <rFont val="Tahoma"/>
            <family val="2"/>
          </rPr>
          <t xml:space="preserve">
washing machine,
Ikea</t>
        </r>
      </text>
    </comment>
    <comment ref="C22" authorId="0" shapeId="0" xr:uid="{38570E25-0AA5-4434-83C4-41C8ACC2875E}">
      <text>
        <r>
          <rPr>
            <b/>
            <sz val="9"/>
            <color indexed="81"/>
            <rFont val="Tahoma"/>
            <family val="2"/>
          </rPr>
          <t>Viktoriya Cherevko:</t>
        </r>
        <r>
          <rPr>
            <sz val="9"/>
            <color indexed="81"/>
            <rFont val="Tahoma"/>
            <family val="2"/>
          </rPr>
          <t xml:space="preserve">
100% - business 
Stihl HSA 50 Cordless Hedge Trimmer – 20 Inch</t>
        </r>
      </text>
    </comment>
    <comment ref="E22" authorId="0" shapeId="0" xr:uid="{FCEBFE82-E567-446B-904B-EC549888255E}">
      <text>
        <r>
          <rPr>
            <b/>
            <sz val="9"/>
            <color indexed="81"/>
            <rFont val="Tahoma"/>
            <family val="2"/>
          </rPr>
          <t>Viktoriya Cherevko:</t>
        </r>
        <r>
          <rPr>
            <sz val="9"/>
            <color indexed="81"/>
            <rFont val="Tahoma"/>
            <family val="2"/>
          </rPr>
          <t xml:space="preserve">
Laptop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Viktoriya Cherevko</author>
  </authors>
  <commentList>
    <comment ref="U19" authorId="0" shapeId="0" xr:uid="{1D190A9C-3692-4730-98FA-86328FD76C13}">
      <text>
        <r>
          <rPr>
            <b/>
            <sz val="9"/>
            <color indexed="81"/>
            <rFont val="Tahoma"/>
            <family val="2"/>
          </rPr>
          <t>Viktoriya Cherevko:</t>
        </r>
        <r>
          <rPr>
            <sz val="9"/>
            <color indexed="81"/>
            <rFont val="Tahoma"/>
            <family val="2"/>
          </rPr>
          <t xml:space="preserve">
Stihl HSA 50 Cordless Hedge Trimmer – 20 Inch</t>
        </r>
      </text>
    </comment>
  </commentList>
</comments>
</file>

<file path=xl/sharedStrings.xml><?xml version="1.0" encoding="utf-8"?>
<sst xmlns="http://schemas.openxmlformats.org/spreadsheetml/2006/main" count="251" uniqueCount="180">
  <si>
    <t>Rent, rates, insurance and ground rents</t>
  </si>
  <si>
    <t>Property repairs and maintenance</t>
  </si>
  <si>
    <t>Legal, management and other professional fees</t>
  </si>
  <si>
    <t>Costs of services provided, including wages</t>
  </si>
  <si>
    <t>Other allowable property expenses</t>
  </si>
  <si>
    <t>Costs of replacing domestic items</t>
  </si>
  <si>
    <r>
      <t>Finance costs relating to </t>
    </r>
    <r>
      <rPr>
        <b/>
        <sz val="12"/>
        <color rgb="FF172431"/>
        <rFont val="Arial"/>
        <family val="2"/>
      </rPr>
      <t>residential property</t>
    </r>
  </si>
  <si>
    <r>
      <t>Finance costs relating to </t>
    </r>
    <r>
      <rPr>
        <b/>
        <sz val="12"/>
        <color rgb="FF172431"/>
        <rFont val="Arial"/>
        <family val="2"/>
      </rPr>
      <t>non residential property</t>
    </r>
  </si>
  <si>
    <t>Insurance</t>
  </si>
  <si>
    <t>Rental income</t>
  </si>
  <si>
    <t>Other Rental Income Summary</t>
  </si>
  <si>
    <t>Income from Land and Property in the UK</t>
  </si>
  <si>
    <t>Adjusted profit for the year</t>
  </si>
  <si>
    <t>Losses brought forward from earlier years</t>
  </si>
  <si>
    <t>Loss brought forward used against UK Property Income</t>
  </si>
  <si>
    <t>Loss to carry forward to following year</t>
  </si>
  <si>
    <t>Unused Finance Costs brought forward</t>
  </si>
  <si>
    <t>Unused residential finance costs brought forward</t>
  </si>
  <si>
    <t>22-23</t>
  </si>
  <si>
    <t>2021-22</t>
  </si>
  <si>
    <t>2020-21</t>
  </si>
  <si>
    <t>2019-20</t>
  </si>
  <si>
    <t>2018-19</t>
  </si>
  <si>
    <t>2017-18</t>
  </si>
  <si>
    <t>2016-17</t>
  </si>
  <si>
    <t>2015-16</t>
  </si>
  <si>
    <t>Rates (council tax)</t>
  </si>
  <si>
    <t>Water Rates</t>
  </si>
  <si>
    <t>Electricity</t>
  </si>
  <si>
    <t>Broadband</t>
  </si>
  <si>
    <t>Repairs</t>
  </si>
  <si>
    <t>loan interest</t>
  </si>
  <si>
    <t>Mileage claims</t>
  </si>
  <si>
    <t>TV Licence</t>
  </si>
  <si>
    <t>Accountancy</t>
  </si>
  <si>
    <t>Wear &amp; Tear</t>
  </si>
  <si>
    <t>Rent Smart</t>
  </si>
  <si>
    <t>Use of home</t>
  </si>
  <si>
    <t>Mobile Phone</t>
  </si>
  <si>
    <t>Cleaning</t>
  </si>
  <si>
    <t>Gas Safety Certificate</t>
  </si>
  <si>
    <t>Other</t>
  </si>
  <si>
    <t>Total Costs</t>
  </si>
  <si>
    <t>1 Rent income</t>
  </si>
  <si>
    <t>2 Other income</t>
  </si>
  <si>
    <r>
      <t xml:space="preserve">Profit/(loss) - </t>
    </r>
    <r>
      <rPr>
        <b/>
        <i/>
        <sz val="11"/>
        <color theme="1"/>
        <rFont val="Calibri"/>
        <family val="2"/>
        <scheme val="minor"/>
      </rPr>
      <t>rental income</t>
    </r>
  </si>
  <si>
    <t>bank + cash</t>
  </si>
  <si>
    <t>Garden</t>
  </si>
  <si>
    <t>rent you pay under a lease of a property that you let</t>
  </si>
  <si>
    <t>business rates</t>
  </si>
  <si>
    <t>Council Tax</t>
  </si>
  <si>
    <t>water rates</t>
  </si>
  <si>
    <t>ground rents or, in Scotland, feu duties</t>
  </si>
  <si>
    <t>property and contents insurance.</t>
  </si>
  <si>
    <t>exterior and interior painting</t>
  </si>
  <si>
    <t>damp treatment</t>
  </si>
  <si>
    <t>stone cleaning</t>
  </si>
  <si>
    <t>roof repairs</t>
  </si>
  <si>
    <t>furniture repairs</t>
  </si>
  <si>
    <t>repairs to any kind of machinery supplied with the property.</t>
  </si>
  <si>
    <t>expenses incurred in connection with the first letting or subletting of a property for more than a year. These include legal expenses such as the cost of drawing up a lease, agents’ and surveyors’ fees and</t>
  </si>
  <si>
    <t>any costs of agreeing and paying a premium on renewal of a lease</t>
  </si>
  <si>
    <t>fees for planning permission or registration of title on property purchase.</t>
  </si>
  <si>
    <t>Costs of lighting common parts of the property.</t>
  </si>
  <si>
    <t>Heating, lighting and tenants' telephone bills you pay.</t>
  </si>
  <si>
    <t>The wages of people that provide services to your tenants, such as gardeners or cleaners.</t>
  </si>
  <si>
    <t>Include within this category any other expenses that may not have been entered elsewhere such as stationery, phone, business travelling and other miscellaneous costs.</t>
  </si>
  <si>
    <t>Where you are subletting the property and you (or an earlier tenant) paid a premium to your landlord when the lease was granted, you may be able to claim for part of the premium paid if the payment is taxable on your landlord as income.</t>
  </si>
  <si>
    <t>The availability of the relief is conditional on certain conditions being met:</t>
  </si>
  <si>
    <t>the expenditure must relate to the replacement of a domestic item for use solely by the lessee in the let property;</t>
  </si>
  <si>
    <t>the old item must no longer be available;</t>
  </si>
  <si>
    <t>the expenditure is capital in nature and incurred wholly and exclusively for the purposes of the property business;</t>
  </si>
  <si>
    <t>capital allowances are not available in respect of the expenditure; and</t>
  </si>
  <si>
    <t>rent-a-room relief has not been claimed.</t>
  </si>
  <si>
    <t>8.61*(4*2*12)*0.45</t>
  </si>
  <si>
    <t>3.7*(2*2*12)*0.45</t>
  </si>
  <si>
    <t>Employmnet</t>
  </si>
  <si>
    <t>Employer's Name</t>
  </si>
  <si>
    <t>PAYE reference</t>
  </si>
  <si>
    <t>Pay shown on your form P60 or P45</t>
  </si>
  <si>
    <t>UK tax already deducted from your pay</t>
  </si>
  <si>
    <r>
      <t>Unused </t>
    </r>
    <r>
      <rPr>
        <b/>
        <sz val="12"/>
        <color rgb="FF172431"/>
        <rFont val="Arial"/>
        <family val="2"/>
      </rPr>
      <t>residential</t>
    </r>
    <r>
      <rPr>
        <sz val="12"/>
        <color rgb="FF172431"/>
        <rFont val="Arial"/>
        <family val="2"/>
      </rPr>
      <t> finance costs brought forward????</t>
    </r>
  </si>
  <si>
    <t>Tax Code</t>
  </si>
  <si>
    <t>check</t>
  </si>
  <si>
    <t>information is filled in manualy</t>
  </si>
  <si>
    <t>type of expenses</t>
  </si>
  <si>
    <t>all information is fillled in worksheets (WS)</t>
  </si>
  <si>
    <r>
      <rPr>
        <b/>
        <sz val="11"/>
        <rFont val="Calibri"/>
        <family val="2"/>
        <scheme val="minor"/>
      </rPr>
      <t>Use of home</t>
    </r>
    <r>
      <rPr>
        <sz val="11"/>
        <rFont val="Calibri"/>
        <family val="2"/>
        <scheme val="minor"/>
      </rPr>
      <t xml:space="preserve"> - </t>
    </r>
  </si>
  <si>
    <t>23-24</t>
  </si>
  <si>
    <t>Wilko</t>
  </si>
  <si>
    <t>2022-23</t>
  </si>
  <si>
    <t>2023-24</t>
  </si>
  <si>
    <t>Prop 1</t>
  </si>
  <si>
    <t>Prop2</t>
  </si>
  <si>
    <t>Income</t>
  </si>
  <si>
    <t>Total</t>
  </si>
  <si>
    <t>Transfer in</t>
  </si>
  <si>
    <t>Transfer out</t>
  </si>
  <si>
    <t>Water Rates
Hafren</t>
  </si>
  <si>
    <t>Broadband
BT Group</t>
  </si>
  <si>
    <t>Rates (council tax)
Flintshire county</t>
  </si>
  <si>
    <t>Balance end</t>
  </si>
  <si>
    <t>Balance 06/04/23</t>
  </si>
  <si>
    <t>Charlies Queensfer</t>
  </si>
  <si>
    <t>Home bargains</t>
  </si>
  <si>
    <t>Futon limited</t>
  </si>
  <si>
    <t>Chester small plan</t>
  </si>
  <si>
    <t>Dunlem soft furnis</t>
  </si>
  <si>
    <t>Balance 05/04/24</t>
  </si>
  <si>
    <t>Bank statement 2023-24</t>
  </si>
  <si>
    <t>Profit (rental) - before finance costs</t>
  </si>
  <si>
    <t>Finance Costs</t>
  </si>
  <si>
    <r>
      <t xml:space="preserve">Profit (rental) - </t>
    </r>
    <r>
      <rPr>
        <b/>
        <sz val="12"/>
        <color rgb="FF172431"/>
        <rFont val="Arial"/>
        <family val="2"/>
      </rPr>
      <t>AFTER</t>
    </r>
    <r>
      <rPr>
        <b/>
        <i/>
        <sz val="12"/>
        <color rgb="FF172431"/>
        <rFont val="Arial"/>
        <family val="2"/>
      </rPr>
      <t xml:space="preserve"> finance costs</t>
    </r>
  </si>
  <si>
    <t>Check</t>
  </si>
  <si>
    <t>Total Expenses</t>
  </si>
  <si>
    <t>Checklist</t>
  </si>
  <si>
    <t>Mileage the same as last year</t>
  </si>
  <si>
    <t>Employment</t>
  </si>
  <si>
    <t>Interest</t>
  </si>
  <si>
    <t>Interest paid Gross</t>
  </si>
  <si>
    <t>Mobile phone</t>
  </si>
  <si>
    <t>Storage???</t>
  </si>
  <si>
    <t>Stihl HSA 50 Cordless Hedge Trimmer – 20 Inch</t>
  </si>
  <si>
    <t>FA</t>
  </si>
  <si>
    <t>doormat*2</t>
  </si>
  <si>
    <t>Cash payments 2023-24</t>
  </si>
  <si>
    <t>Service - Mountfield HP414 – HP41 Push Petrol Rotary Lawnmower</t>
  </si>
  <si>
    <t>CDI Plumbing LTD - Gas checks</t>
  </si>
  <si>
    <r>
      <t>Weedol</t>
    </r>
    <r>
      <rPr>
        <sz val="11"/>
        <color rgb="FF4D5156"/>
        <rFont val="Arial"/>
        <family val="2"/>
      </rPr>
      <t> </t>
    </r>
  </si>
  <si>
    <t>Weedkiller, wooden broom</t>
  </si>
  <si>
    <t>Addis 50L Metallic Roll Top Bin</t>
  </si>
  <si>
    <t>June property maintenance</t>
  </si>
  <si>
    <t>July</t>
  </si>
  <si>
    <t>August</t>
  </si>
  <si>
    <t>September</t>
  </si>
  <si>
    <t>Light switch replacement</t>
  </si>
  <si>
    <t>paid in 24-25</t>
  </si>
  <si>
    <t>£39.66 Sainsbury's - Habitat coastal sheets, Tea Towels, Pyrex Classic Jug 0.5L</t>
  </si>
  <si>
    <t>£17.60 Amazon - Battery powered Carbon monoxide alarm</t>
  </si>
  <si>
    <t>Expenses before Replacement of domestic items</t>
  </si>
  <si>
    <t>£47 Toilet seat</t>
  </si>
  <si>
    <t>£11.48 light bulb, glue</t>
  </si>
  <si>
    <t>Approx 1 hour a week reviewing paperwork and a cabinet which stores annual paperwork (and many previous tax years of paperwork) which has been submitted for self assessment purposes.</t>
  </si>
  <si>
    <t>100% business - Stihl HSA 50 Cordless Hedge Trimmer – 20 Inch</t>
  </si>
  <si>
    <t>don't have mortgage on the house where he lives</t>
  </si>
  <si>
    <t>£5 per month</t>
  </si>
  <si>
    <t>2 trips per month to B&amp;Q/shops  = 3.7 miles</t>
  </si>
  <si>
    <t>no mortgage on his house</t>
  </si>
  <si>
    <t>W&amp;T</t>
  </si>
  <si>
    <t>Brown bin collection</t>
  </si>
  <si>
    <t>Invoice Total</t>
  </si>
  <si>
    <t>Safety Cert</t>
  </si>
  <si>
    <t>Fixed Assets</t>
  </si>
  <si>
    <t>overview</t>
  </si>
  <si>
    <t>checked - invoices, receipts, emails, orders</t>
  </si>
  <si>
    <t>P60</t>
  </si>
  <si>
    <t>yes</t>
  </si>
  <si>
    <t>Private pension</t>
  </si>
  <si>
    <t>Tax deducted at source</t>
  </si>
  <si>
    <t>All inclusive rent</t>
  </si>
  <si>
    <t>two tenants</t>
  </si>
  <si>
    <t>1. Monthly payments</t>
  </si>
  <si>
    <t>2. Weekly payments</t>
  </si>
  <si>
    <t>No agents</t>
  </si>
  <si>
    <t>No mortgage on his own house (2024)</t>
  </si>
  <si>
    <t>Expenses</t>
  </si>
  <si>
    <t>he paid all bills for tenants</t>
  </si>
  <si>
    <t>Electricity and Gas
EDF Energy</t>
  </si>
  <si>
    <t>Yes ink is £5.49 a month HP instant ink and  4 reams of paper approx. £5 each per year, approx 50% use for no 14</t>
  </si>
  <si>
    <t>Computer cost</t>
  </si>
  <si>
    <t>Unused residential finance costs</t>
  </si>
  <si>
    <t>CHECK</t>
  </si>
  <si>
    <t>John is employed and has a P60 with LTD</t>
  </si>
  <si>
    <t>4 trips per month to property - 8.61 miles each way (from previos years)</t>
  </si>
  <si>
    <t>Property maintenance</t>
  </si>
  <si>
    <t>Plumber</t>
  </si>
  <si>
    <t>Electrician</t>
  </si>
  <si>
    <t>previous bill was paid in full, bill 23-24 first payment in April 2024</t>
  </si>
  <si>
    <t>cover cushion*4</t>
  </si>
  <si>
    <t>John Brown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</si>
</sst>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sz val="12"/>
      <color rgb="FF172431"/>
      <name val="Arial"/>
      <family val="2"/>
    </font>
    <font>
      <b/>
      <sz val="12"/>
      <color rgb="FF172431"/>
      <name val="Arial"/>
      <family val="2"/>
    </font>
    <font>
      <b/>
      <sz val="11"/>
      <color rgb="FFFF0000"/>
      <name val="Calibri"/>
      <family val="2"/>
      <scheme val="minor"/>
    </font>
    <font>
      <sz val="11"/>
      <name val="Calibri"/>
      <family val="2"/>
      <scheme val="minor"/>
    </font>
    <font>
      <b/>
      <i/>
      <sz val="11"/>
      <color theme="1"/>
      <name val="Calibri"/>
      <family val="2"/>
      <scheme val="minor"/>
    </font>
    <font>
      <b/>
      <sz val="11"/>
      <name val="Calibri"/>
      <family val="2"/>
      <scheme val="minor"/>
    </font>
    <font>
      <sz val="9"/>
      <color indexed="81"/>
      <name val="Tahoma"/>
      <family val="2"/>
    </font>
    <font>
      <b/>
      <sz val="9"/>
      <color indexed="81"/>
      <name val="Tahoma"/>
      <family val="2"/>
    </font>
    <font>
      <sz val="8"/>
      <name val="Calibri"/>
      <family val="2"/>
      <scheme val="minor"/>
    </font>
    <font>
      <sz val="11"/>
      <color rgb="FF00B050"/>
      <name val="Calibri"/>
      <family val="2"/>
      <scheme val="minor"/>
    </font>
    <font>
      <b/>
      <sz val="11"/>
      <color rgb="FF00B050"/>
      <name val="Calibri"/>
      <family val="2"/>
      <scheme val="minor"/>
    </font>
    <font>
      <b/>
      <i/>
      <sz val="12"/>
      <color rgb="FF172431"/>
      <name val="Arial"/>
      <family val="2"/>
    </font>
    <font>
      <b/>
      <i/>
      <sz val="11"/>
      <name val="Calibri"/>
      <family val="2"/>
      <scheme val="minor"/>
    </font>
    <font>
      <sz val="11"/>
      <color rgb="FF4D5156"/>
      <name val="Arial"/>
      <family val="2"/>
    </font>
    <font>
      <i/>
      <sz val="11"/>
      <color theme="1"/>
      <name val="Calibri"/>
      <family val="2"/>
      <scheme val="minor"/>
    </font>
    <font>
      <sz val="10"/>
      <name val="Calibri"/>
      <family val="2"/>
      <scheme val="minor"/>
    </font>
    <font>
      <b/>
      <sz val="12"/>
      <color theme="1"/>
      <name val="Calibri"/>
      <family val="2"/>
      <scheme val="minor"/>
    </font>
    <font>
      <sz val="18"/>
      <color rgb="FFFF000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39997558519241921"/>
        <bgColor indexed="64"/>
      </patternFill>
    </fill>
  </fills>
  <borders count="16">
    <border>
      <left/>
      <right/>
      <top/>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128">
    <xf numFmtId="0" fontId="0" fillId="0" borderId="0" xfId="0"/>
    <xf numFmtId="0" fontId="3" fillId="0" borderId="0" xfId="0" applyFont="1"/>
    <xf numFmtId="0" fontId="2" fillId="0" borderId="0" xfId="0" applyFont="1"/>
    <xf numFmtId="0" fontId="1" fillId="0" borderId="0" xfId="0" applyFont="1"/>
    <xf numFmtId="14" fontId="0" fillId="0" borderId="0" xfId="0" applyNumberFormat="1"/>
    <xf numFmtId="0" fontId="6" fillId="0" borderId="0" xfId="0" applyFont="1"/>
    <xf numFmtId="0" fontId="0" fillId="2" borderId="0" xfId="0" applyFill="1"/>
    <xf numFmtId="0" fontId="0" fillId="3" borderId="0" xfId="0" applyFill="1"/>
    <xf numFmtId="0" fontId="0" fillId="0" borderId="0" xfId="0" applyAlignment="1">
      <alignment vertical="top" indent="1"/>
    </xf>
    <xf numFmtId="0" fontId="0" fillId="0" borderId="0" xfId="0" applyAlignment="1">
      <alignment horizontal="left" vertical="center"/>
    </xf>
    <xf numFmtId="0" fontId="8" fillId="0" borderId="0" xfId="0" applyFont="1"/>
    <xf numFmtId="17" fontId="0" fillId="0" borderId="0" xfId="0" applyNumberFormat="1"/>
    <xf numFmtId="0" fontId="6" fillId="4" borderId="0" xfId="0" applyFont="1" applyFill="1"/>
    <xf numFmtId="0" fontId="0" fillId="0" borderId="0" xfId="0" applyAlignment="1">
      <alignment horizontal="center" vertical="center"/>
    </xf>
    <xf numFmtId="164" fontId="0" fillId="0" borderId="0" xfId="0" applyNumberFormat="1"/>
    <xf numFmtId="0" fontId="0" fillId="0" borderId="0" xfId="0" applyAlignment="1">
      <alignment vertical="top" wrapText="1"/>
    </xf>
    <xf numFmtId="0" fontId="6" fillId="0" borderId="0" xfId="0" quotePrefix="1" applyFont="1"/>
    <xf numFmtId="0" fontId="8" fillId="4" borderId="0" xfId="0" applyFont="1" applyFill="1"/>
    <xf numFmtId="0" fontId="3" fillId="0" borderId="3" xfId="0" applyFont="1" applyBorder="1"/>
    <xf numFmtId="0" fontId="0" fillId="0" borderId="4" xfId="0" applyBorder="1"/>
    <xf numFmtId="0" fontId="0" fillId="0" borderId="5" xfId="0" applyBorder="1"/>
    <xf numFmtId="0" fontId="3" fillId="5" borderId="6" xfId="0" applyFont="1" applyFill="1" applyBorder="1"/>
    <xf numFmtId="0" fontId="0" fillId="0" borderId="7" xfId="0" applyBorder="1"/>
    <xf numFmtId="0" fontId="0" fillId="0" borderId="8" xfId="0" applyBorder="1"/>
    <xf numFmtId="164" fontId="1" fillId="0" borderId="0" xfId="0" applyNumberFormat="1" applyFont="1"/>
    <xf numFmtId="164" fontId="6" fillId="0" borderId="0" xfId="0" applyNumberFormat="1" applyFont="1"/>
    <xf numFmtId="164" fontId="0" fillId="0" borderId="1" xfId="0" applyNumberFormat="1" applyBorder="1"/>
    <xf numFmtId="164" fontId="0" fillId="0" borderId="2" xfId="0" applyNumberFormat="1" applyBorder="1"/>
    <xf numFmtId="0" fontId="12" fillId="0" borderId="0" xfId="0" applyFont="1"/>
    <xf numFmtId="0" fontId="6" fillId="0" borderId="0" xfId="0" applyFont="1" applyAlignment="1">
      <alignment wrapText="1"/>
    </xf>
    <xf numFmtId="0" fontId="6" fillId="0" borderId="9" xfId="0" applyFont="1" applyBorder="1" applyAlignment="1">
      <alignment wrapText="1"/>
    </xf>
    <xf numFmtId="0" fontId="0" fillId="0" borderId="9" xfId="0" applyBorder="1"/>
    <xf numFmtId="164" fontId="0" fillId="5" borderId="0" xfId="0" applyNumberFormat="1" applyFill="1"/>
    <xf numFmtId="0" fontId="0" fillId="0" borderId="3" xfId="0" applyBorder="1"/>
    <xf numFmtId="0" fontId="0" fillId="0" borderId="10" xfId="0" applyBorder="1"/>
    <xf numFmtId="0" fontId="0" fillId="0" borderId="11" xfId="0" applyBorder="1"/>
    <xf numFmtId="0" fontId="0" fillId="0" borderId="10" xfId="0" applyBorder="1" applyAlignment="1">
      <alignment wrapText="1"/>
    </xf>
    <xf numFmtId="0" fontId="0" fillId="0" borderId="11" xfId="0" applyBorder="1" applyAlignment="1">
      <alignment wrapText="1"/>
    </xf>
    <xf numFmtId="0" fontId="6" fillId="0" borderId="14" xfId="0" applyFont="1" applyBorder="1" applyAlignment="1">
      <alignment wrapText="1"/>
    </xf>
    <xf numFmtId="0" fontId="0" fillId="0" borderId="14" xfId="0" applyBorder="1"/>
    <xf numFmtId="0" fontId="6" fillId="0" borderId="10" xfId="0" applyFont="1" applyBorder="1"/>
    <xf numFmtId="0" fontId="6" fillId="3" borderId="0" xfId="0" applyFont="1" applyFill="1"/>
    <xf numFmtId="0" fontId="6" fillId="0" borderId="11" xfId="0" applyFont="1" applyBorder="1"/>
    <xf numFmtId="0" fontId="6" fillId="0" borderId="10" xfId="0" applyFont="1" applyBorder="1" applyAlignment="1">
      <alignment wrapText="1"/>
    </xf>
    <xf numFmtId="0" fontId="1" fillId="0" borderId="0" xfId="0" applyFont="1" applyAlignment="1">
      <alignment wrapText="1"/>
    </xf>
    <xf numFmtId="0" fontId="6" fillId="0" borderId="11" xfId="0" applyFont="1" applyBorder="1" applyAlignment="1">
      <alignment wrapText="1"/>
    </xf>
    <xf numFmtId="0" fontId="1" fillId="7" borderId="0" xfId="0" applyFont="1" applyFill="1"/>
    <xf numFmtId="164" fontId="5" fillId="7" borderId="0" xfId="0" applyNumberFormat="1" applyFont="1" applyFill="1"/>
    <xf numFmtId="0" fontId="0" fillId="7" borderId="0" xfId="0" applyFill="1"/>
    <xf numFmtId="0" fontId="5" fillId="7" borderId="0" xfId="0" applyFont="1" applyFill="1"/>
    <xf numFmtId="164" fontId="1" fillId="5" borderId="0" xfId="0" applyNumberFormat="1" applyFont="1" applyFill="1"/>
    <xf numFmtId="0" fontId="0" fillId="4" borderId="3" xfId="0" applyFill="1" applyBorder="1"/>
    <xf numFmtId="0" fontId="0" fillId="4" borderId="4" xfId="0" applyFill="1" applyBorder="1"/>
    <xf numFmtId="164" fontId="0" fillId="0" borderId="10" xfId="0" applyNumberFormat="1" applyBorder="1"/>
    <xf numFmtId="164" fontId="0" fillId="0" borderId="11" xfId="0" applyNumberFormat="1" applyBorder="1"/>
    <xf numFmtId="164" fontId="0" fillId="0" borderId="14" xfId="0" applyNumberFormat="1" applyBorder="1"/>
    <xf numFmtId="164" fontId="0" fillId="0" borderId="9" xfId="0" applyNumberFormat="1" applyBorder="1"/>
    <xf numFmtId="164" fontId="2" fillId="0" borderId="12" xfId="0" applyNumberFormat="1" applyFont="1" applyBorder="1"/>
    <xf numFmtId="164" fontId="2" fillId="0" borderId="13" xfId="0" applyNumberFormat="1" applyFont="1" applyBorder="1"/>
    <xf numFmtId="164" fontId="2" fillId="0" borderId="15" xfId="0" applyNumberFormat="1" applyFont="1" applyBorder="1"/>
    <xf numFmtId="164" fontId="2" fillId="0" borderId="14" xfId="0" applyNumberFormat="1" applyFont="1" applyBorder="1"/>
    <xf numFmtId="164" fontId="2" fillId="0" borderId="9" xfId="0" applyNumberFormat="1" applyFont="1" applyBorder="1"/>
    <xf numFmtId="164" fontId="0" fillId="4" borderId="5" xfId="0" applyNumberFormat="1" applyFill="1" applyBorder="1"/>
    <xf numFmtId="164" fontId="0" fillId="4" borderId="4" xfId="0" applyNumberFormat="1" applyFill="1" applyBorder="1"/>
    <xf numFmtId="0" fontId="5" fillId="7" borderId="0" xfId="0" applyFont="1" applyFill="1" applyAlignment="1">
      <alignment horizontal="right"/>
    </xf>
    <xf numFmtId="0" fontId="2" fillId="0" borderId="0" xfId="0" applyFont="1" applyAlignment="1">
      <alignment horizontal="center"/>
    </xf>
    <xf numFmtId="164" fontId="2" fillId="5" borderId="0" xfId="0" applyNumberFormat="1" applyFont="1" applyFill="1"/>
    <xf numFmtId="0" fontId="2" fillId="8" borderId="0" xfId="0" applyFont="1" applyFill="1"/>
    <xf numFmtId="0" fontId="0" fillId="8" borderId="0" xfId="0" applyFill="1"/>
    <xf numFmtId="0" fontId="13" fillId="8" borderId="0" xfId="0" applyFont="1" applyFill="1" applyAlignment="1">
      <alignment horizontal="center" vertical="center"/>
    </xf>
    <xf numFmtId="164" fontId="13" fillId="8" borderId="0" xfId="0" applyNumberFormat="1" applyFont="1" applyFill="1" applyAlignment="1">
      <alignment horizontal="center" vertical="center"/>
    </xf>
    <xf numFmtId="0" fontId="2" fillId="9" borderId="0" xfId="0" applyFont="1" applyFill="1"/>
    <xf numFmtId="0" fontId="0" fillId="9" borderId="0" xfId="0" applyFill="1"/>
    <xf numFmtId="164" fontId="1" fillId="9" borderId="0" xfId="0" applyNumberFormat="1" applyFont="1" applyFill="1"/>
    <xf numFmtId="0" fontId="2" fillId="10" borderId="0" xfId="0" applyFont="1" applyFill="1"/>
    <xf numFmtId="0" fontId="0" fillId="10" borderId="0" xfId="0" applyFill="1"/>
    <xf numFmtId="0" fontId="1" fillId="10" borderId="0" xfId="0" applyFont="1" applyFill="1"/>
    <xf numFmtId="0" fontId="3" fillId="10" borderId="0" xfId="0" applyFont="1" applyFill="1"/>
    <xf numFmtId="164" fontId="1" fillId="10" borderId="0" xfId="0" applyNumberFormat="1" applyFont="1" applyFill="1"/>
    <xf numFmtId="0" fontId="14" fillId="10" borderId="0" xfId="0" applyFont="1" applyFill="1"/>
    <xf numFmtId="164" fontId="0" fillId="10" borderId="0" xfId="0" applyNumberFormat="1" applyFill="1"/>
    <xf numFmtId="164" fontId="15" fillId="10" borderId="0" xfId="0" applyNumberFormat="1" applyFont="1" applyFill="1"/>
    <xf numFmtId="164" fontId="0" fillId="10" borderId="0" xfId="0" applyNumberFormat="1" applyFill="1" applyAlignment="1">
      <alignment horizontal="right"/>
    </xf>
    <xf numFmtId="0" fontId="2" fillId="7" borderId="0" xfId="0" applyFont="1" applyFill="1"/>
    <xf numFmtId="164" fontId="0" fillId="6" borderId="0" xfId="0" applyNumberFormat="1" applyFill="1"/>
    <xf numFmtId="164" fontId="6" fillId="10" borderId="0" xfId="0" applyNumberFormat="1" applyFont="1" applyFill="1"/>
    <xf numFmtId="44" fontId="2" fillId="5" borderId="0" xfId="0" applyNumberFormat="1" applyFont="1" applyFill="1"/>
    <xf numFmtId="0" fontId="0" fillId="5" borderId="7" xfId="0" applyFill="1" applyBorder="1"/>
    <xf numFmtId="0" fontId="0" fillId="5" borderId="8" xfId="0" applyFill="1" applyBorder="1"/>
    <xf numFmtId="164" fontId="5" fillId="7" borderId="0" xfId="0" applyNumberFormat="1" applyFont="1" applyFill="1" applyAlignment="1">
      <alignment horizontal="right"/>
    </xf>
    <xf numFmtId="0" fontId="0" fillId="0" borderId="0" xfId="0" applyAlignment="1">
      <alignment horizontal="center"/>
    </xf>
    <xf numFmtId="0" fontId="6" fillId="0" borderId="0" xfId="0" applyFont="1" applyAlignment="1">
      <alignment horizontal="center" vertical="center"/>
    </xf>
    <xf numFmtId="164" fontId="6" fillId="0" borderId="0" xfId="0" applyNumberFormat="1" applyFont="1" applyAlignment="1">
      <alignment horizontal="center" vertical="center"/>
    </xf>
    <xf numFmtId="164" fontId="2" fillId="0" borderId="6" xfId="0" applyNumberFormat="1" applyFont="1" applyBorder="1"/>
    <xf numFmtId="164" fontId="2" fillId="0" borderId="7" xfId="0" applyNumberFormat="1" applyFont="1" applyBorder="1"/>
    <xf numFmtId="164" fontId="2" fillId="0" borderId="8" xfId="0" applyNumberFormat="1" applyFont="1" applyBorder="1"/>
    <xf numFmtId="0" fontId="6" fillId="0" borderId="3" xfId="0" applyFont="1" applyBorder="1"/>
    <xf numFmtId="0" fontId="6" fillId="0" borderId="4" xfId="0" applyFont="1" applyBorder="1"/>
    <xf numFmtId="164" fontId="0" fillId="0" borderId="3" xfId="0" applyNumberFormat="1" applyBorder="1"/>
    <xf numFmtId="164" fontId="0" fillId="0" borderId="4" xfId="0" applyNumberFormat="1" applyBorder="1"/>
    <xf numFmtId="164" fontId="0" fillId="0" borderId="5" xfId="0" applyNumberFormat="1" applyBorder="1"/>
    <xf numFmtId="0" fontId="0" fillId="0" borderId="6" xfId="0" applyBorder="1"/>
    <xf numFmtId="0" fontId="17" fillId="0" borderId="0" xfId="0" applyFont="1"/>
    <xf numFmtId="164" fontId="2" fillId="0" borderId="2" xfId="0" applyNumberFormat="1" applyFont="1" applyBorder="1"/>
    <xf numFmtId="164" fontId="2" fillId="5" borderId="2" xfId="0" applyNumberFormat="1" applyFont="1" applyFill="1" applyBorder="1"/>
    <xf numFmtId="0" fontId="0" fillId="5" borderId="0" xfId="0" applyFill="1"/>
    <xf numFmtId="0" fontId="0" fillId="11" borderId="0" xfId="0" applyFill="1"/>
    <xf numFmtId="164" fontId="0" fillId="11" borderId="0" xfId="0" applyNumberFormat="1" applyFill="1"/>
    <xf numFmtId="164" fontId="2" fillId="11" borderId="2" xfId="0" applyNumberFormat="1" applyFont="1" applyFill="1" applyBorder="1"/>
    <xf numFmtId="0" fontId="0" fillId="12" borderId="0" xfId="0" applyFill="1"/>
    <xf numFmtId="164" fontId="0" fillId="12" borderId="0" xfId="0" applyNumberFormat="1" applyFill="1"/>
    <xf numFmtId="164" fontId="2" fillId="12" borderId="2" xfId="0" applyNumberFormat="1" applyFont="1" applyFill="1" applyBorder="1"/>
    <xf numFmtId="0" fontId="0" fillId="13" borderId="0" xfId="0" applyFill="1"/>
    <xf numFmtId="164" fontId="0" fillId="13" borderId="0" xfId="0" applyNumberFormat="1" applyFill="1"/>
    <xf numFmtId="164" fontId="2" fillId="13" borderId="2" xfId="0" applyNumberFormat="1" applyFont="1" applyFill="1" applyBorder="1"/>
    <xf numFmtId="0" fontId="0" fillId="14" borderId="0" xfId="0" applyFill="1"/>
    <xf numFmtId="164" fontId="0" fillId="14" borderId="0" xfId="0" applyNumberFormat="1" applyFill="1"/>
    <xf numFmtId="164" fontId="2" fillId="14" borderId="2" xfId="0" applyNumberFormat="1" applyFont="1" applyFill="1" applyBorder="1"/>
    <xf numFmtId="0" fontId="0" fillId="6" borderId="0" xfId="0" applyFill="1"/>
    <xf numFmtId="164" fontId="0" fillId="7" borderId="0" xfId="0" applyNumberFormat="1" applyFill="1"/>
    <xf numFmtId="164" fontId="0" fillId="6" borderId="11" xfId="0" applyNumberFormat="1" applyFill="1" applyBorder="1"/>
    <xf numFmtId="164" fontId="2" fillId="6" borderId="12" xfId="0" applyNumberFormat="1" applyFont="1" applyFill="1" applyBorder="1"/>
    <xf numFmtId="0" fontId="13" fillId="0" borderId="0" xfId="0" applyFont="1"/>
    <xf numFmtId="0" fontId="18" fillId="0" borderId="0" xfId="0" applyFont="1" applyAlignment="1">
      <alignment wrapText="1"/>
    </xf>
    <xf numFmtId="0" fontId="17" fillId="0" borderId="0" xfId="0" applyFont="1" applyAlignment="1">
      <alignment horizontal="left" vertical="center" indent="1"/>
    </xf>
    <xf numFmtId="0" fontId="19" fillId="0" borderId="0" xfId="0" applyFont="1"/>
    <xf numFmtId="0" fontId="20" fillId="0" borderId="0" xfId="0" applyFont="1"/>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243417</xdr:colOff>
      <xdr:row>10</xdr:row>
      <xdr:rowOff>264584</xdr:rowOff>
    </xdr:from>
    <xdr:to>
      <xdr:col>8</xdr:col>
      <xdr:colOff>836083</xdr:colOff>
      <xdr:row>39</xdr:row>
      <xdr:rowOff>190500</xdr:rowOff>
    </xdr:to>
    <xdr:cxnSp macro="">
      <xdr:nvCxnSpPr>
        <xdr:cNvPr id="3" name="Straight Arrow Connector 2">
          <a:extLst>
            <a:ext uri="{FF2B5EF4-FFF2-40B4-BE49-F238E27FC236}">
              <a16:creationId xmlns:a16="http://schemas.microsoft.com/office/drawing/2014/main" id="{2F95E526-A268-3F1E-9ECF-0C880FFE4D1E}"/>
            </a:ext>
          </a:extLst>
        </xdr:cNvPr>
        <xdr:cNvCxnSpPr/>
      </xdr:nvCxnSpPr>
      <xdr:spPr>
        <a:xfrm flipH="1">
          <a:off x="7461250" y="2275417"/>
          <a:ext cx="3820583" cy="576791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8D43B-F169-4E82-B91B-2137E9E1AC04}">
  <dimension ref="A1:C20"/>
  <sheetViews>
    <sheetView workbookViewId="0">
      <selection activeCell="H7" sqref="H7"/>
    </sheetView>
  </sheetViews>
  <sheetFormatPr defaultRowHeight="15" x14ac:dyDescent="0.25"/>
  <sheetData>
    <row r="1" spans="1:3" x14ac:dyDescent="0.25">
      <c r="A1" t="s">
        <v>153</v>
      </c>
    </row>
    <row r="6" spans="1:3" x14ac:dyDescent="0.25">
      <c r="A6" t="s">
        <v>172</v>
      </c>
    </row>
    <row r="12" spans="1:3" x14ac:dyDescent="0.25">
      <c r="A12" s="122" t="s">
        <v>159</v>
      </c>
      <c r="C12" t="s">
        <v>166</v>
      </c>
    </row>
    <row r="14" spans="1:3" x14ac:dyDescent="0.25">
      <c r="A14" t="s">
        <v>160</v>
      </c>
    </row>
    <row r="15" spans="1:3" x14ac:dyDescent="0.25">
      <c r="A15" t="s">
        <v>161</v>
      </c>
    </row>
    <row r="16" spans="1:3" x14ac:dyDescent="0.25">
      <c r="A16" t="s">
        <v>162</v>
      </c>
    </row>
    <row r="18" spans="1:1" x14ac:dyDescent="0.25">
      <c r="A18" t="s">
        <v>163</v>
      </c>
    </row>
    <row r="20" spans="1:1" x14ac:dyDescent="0.25">
      <c r="A20"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M32"/>
  <sheetViews>
    <sheetView tabSelected="1" showOutlineSymbols="0" showWhiteSpace="0" workbookViewId="0">
      <selection activeCell="E9" sqref="E9"/>
    </sheetView>
  </sheetViews>
  <sheetFormatPr defaultRowHeight="15" x14ac:dyDescent="0.25"/>
  <cols>
    <col min="1" max="1" width="21.5703125" customWidth="1"/>
    <col min="3" max="11" width="11.7109375" customWidth="1"/>
  </cols>
  <sheetData>
    <row r="1" spans="1:13" x14ac:dyDescent="0.25">
      <c r="C1" s="65" t="s">
        <v>91</v>
      </c>
      <c r="D1" s="65" t="s">
        <v>90</v>
      </c>
      <c r="E1" s="65" t="s">
        <v>19</v>
      </c>
      <c r="F1" s="65" t="s">
        <v>20</v>
      </c>
      <c r="G1" s="65" t="s">
        <v>21</v>
      </c>
      <c r="H1" s="65" t="s">
        <v>22</v>
      </c>
      <c r="I1" s="65" t="s">
        <v>23</v>
      </c>
      <c r="J1" s="65" t="s">
        <v>24</v>
      </c>
      <c r="K1" s="65" t="s">
        <v>25</v>
      </c>
    </row>
    <row r="2" spans="1:13" x14ac:dyDescent="0.25">
      <c r="A2" t="s">
        <v>43</v>
      </c>
      <c r="C2" s="14">
        <f>'Summary tables'!C2</f>
        <v>11100</v>
      </c>
      <c r="D2" s="14">
        <v>11100</v>
      </c>
      <c r="E2" s="14">
        <v>8822</v>
      </c>
      <c r="F2" s="14">
        <v>10130</v>
      </c>
      <c r="G2" s="14">
        <v>9418.19</v>
      </c>
      <c r="H2" s="14">
        <v>10028</v>
      </c>
      <c r="I2" s="14">
        <v>9750</v>
      </c>
      <c r="J2" s="14">
        <v>7513</v>
      </c>
      <c r="K2" s="14">
        <v>8360</v>
      </c>
    </row>
    <row r="3" spans="1:13" x14ac:dyDescent="0.25">
      <c r="A3" t="s">
        <v>44</v>
      </c>
      <c r="C3" s="14">
        <f>'Summary tables'!C3</f>
        <v>0</v>
      </c>
      <c r="D3" s="14">
        <v>0</v>
      </c>
      <c r="E3" s="14">
        <v>0</v>
      </c>
      <c r="F3" s="14"/>
      <c r="G3" s="14"/>
      <c r="H3" s="14"/>
      <c r="I3" s="14"/>
      <c r="J3" s="14"/>
      <c r="K3" s="14"/>
    </row>
    <row r="4" spans="1:13" x14ac:dyDescent="0.25">
      <c r="C4" s="14"/>
      <c r="D4" s="14"/>
      <c r="E4" s="14"/>
      <c r="F4" s="14"/>
      <c r="G4" s="14"/>
      <c r="H4" s="14"/>
      <c r="I4" s="14"/>
      <c r="J4" s="14"/>
      <c r="K4" s="14"/>
    </row>
    <row r="5" spans="1:13" x14ac:dyDescent="0.25">
      <c r="A5" s="5" t="s">
        <v>26</v>
      </c>
      <c r="C5" s="14">
        <f>'Summary tables'!C5</f>
        <v>1686.57</v>
      </c>
      <c r="D5" s="14">
        <v>1458.32</v>
      </c>
      <c r="E5" s="14">
        <v>1584.3600000000001</v>
      </c>
      <c r="F5" s="14">
        <v>1488.97</v>
      </c>
      <c r="G5" s="14">
        <v>1423.78</v>
      </c>
      <c r="H5" s="14">
        <v>1314</v>
      </c>
      <c r="I5" s="14">
        <v>1240.6500000000001</v>
      </c>
      <c r="J5" s="14">
        <v>1084</v>
      </c>
      <c r="K5" s="14">
        <v>1159</v>
      </c>
    </row>
    <row r="6" spans="1:13" x14ac:dyDescent="0.25">
      <c r="A6" s="5" t="s">
        <v>27</v>
      </c>
      <c r="C6" s="14">
        <f>'Summary tables'!C6</f>
        <v>700.37</v>
      </c>
      <c r="D6" s="14">
        <v>629.65000000000009</v>
      </c>
      <c r="E6" s="14">
        <v>581.61999999999989</v>
      </c>
      <c r="F6" s="14">
        <v>495.09</v>
      </c>
      <c r="G6" s="14">
        <v>527.07000000000005</v>
      </c>
      <c r="H6" s="14">
        <v>516</v>
      </c>
      <c r="I6" s="14">
        <v>496.85</v>
      </c>
      <c r="J6" s="14">
        <v>487</v>
      </c>
      <c r="K6" s="14">
        <v>477</v>
      </c>
    </row>
    <row r="7" spans="1:13" x14ac:dyDescent="0.25">
      <c r="A7" s="5" t="s">
        <v>28</v>
      </c>
      <c r="C7" s="14">
        <f>'Summary tables'!C7</f>
        <v>1200</v>
      </c>
      <c r="D7" s="14">
        <v>690</v>
      </c>
      <c r="E7" s="14">
        <v>717.78</v>
      </c>
      <c r="F7" s="14">
        <v>800</v>
      </c>
      <c r="G7" s="14">
        <v>975</v>
      </c>
      <c r="H7" s="14">
        <v>700</v>
      </c>
      <c r="I7" s="14">
        <v>709</v>
      </c>
      <c r="J7" s="14">
        <v>736</v>
      </c>
      <c r="K7" s="14">
        <v>854</v>
      </c>
    </row>
    <row r="8" spans="1:13" x14ac:dyDescent="0.25">
      <c r="A8" s="5" t="s">
        <v>8</v>
      </c>
      <c r="C8" s="14">
        <f>'Summary tables'!C8</f>
        <v>311.72000000000003</v>
      </c>
      <c r="D8" s="14">
        <v>294.77</v>
      </c>
      <c r="E8" s="14">
        <v>345.45</v>
      </c>
      <c r="F8" s="14">
        <v>330.85</v>
      </c>
      <c r="G8" s="14">
        <v>303.5</v>
      </c>
      <c r="H8" s="14">
        <v>294</v>
      </c>
      <c r="I8" s="14">
        <v>245.32</v>
      </c>
      <c r="J8" s="14">
        <v>210</v>
      </c>
      <c r="K8" s="14">
        <v>204</v>
      </c>
    </row>
    <row r="9" spans="1:13" x14ac:dyDescent="0.25">
      <c r="A9" s="5" t="s">
        <v>29</v>
      </c>
      <c r="C9" s="14">
        <f>'Summary tables'!C9</f>
        <v>413.13000000000005</v>
      </c>
      <c r="D9" s="14">
        <v>360.08000000000004</v>
      </c>
      <c r="E9" s="14">
        <v>289.68</v>
      </c>
      <c r="F9" s="14">
        <v>462.77000000000004</v>
      </c>
      <c r="G9" s="14">
        <v>629.80999999999995</v>
      </c>
      <c r="H9" s="14">
        <v>595</v>
      </c>
      <c r="I9" s="14">
        <v>421.74000000000007</v>
      </c>
      <c r="J9" s="14">
        <v>331</v>
      </c>
      <c r="K9" s="14">
        <v>319</v>
      </c>
    </row>
    <row r="10" spans="1:13" x14ac:dyDescent="0.25">
      <c r="A10" s="5" t="s">
        <v>30</v>
      </c>
      <c r="C10" s="14">
        <f>'Summary tables'!C10</f>
        <v>439.90999999999997</v>
      </c>
      <c r="D10" s="14">
        <v>1651.81</v>
      </c>
      <c r="E10" s="14">
        <v>182.32999999999998</v>
      </c>
      <c r="F10" s="14">
        <v>1201.99</v>
      </c>
      <c r="G10" s="14">
        <v>177.83</v>
      </c>
      <c r="H10" s="14">
        <v>1120</v>
      </c>
      <c r="I10" s="14">
        <v>1567.66</v>
      </c>
      <c r="J10" s="14">
        <v>5158</v>
      </c>
      <c r="K10" s="14">
        <v>744</v>
      </c>
    </row>
    <row r="11" spans="1:13" x14ac:dyDescent="0.25">
      <c r="A11" s="5" t="s">
        <v>31</v>
      </c>
      <c r="C11" s="14"/>
      <c r="D11" s="14"/>
      <c r="E11" s="14"/>
      <c r="F11" s="14">
        <v>224.44</v>
      </c>
      <c r="G11" s="14">
        <v>2125.9200000000005</v>
      </c>
      <c r="H11" s="14">
        <v>2283</v>
      </c>
      <c r="I11" s="14">
        <v>2136.9</v>
      </c>
      <c r="J11" s="14">
        <v>2196</v>
      </c>
      <c r="K11" s="14">
        <v>2762</v>
      </c>
      <c r="M11" t="s">
        <v>147</v>
      </c>
    </row>
    <row r="12" spans="1:13" x14ac:dyDescent="0.25">
      <c r="A12" s="5" t="s">
        <v>32</v>
      </c>
      <c r="C12" s="14">
        <f>'Summary tables'!C12</f>
        <v>451.87200000000001</v>
      </c>
      <c r="D12" s="14">
        <v>451.87200000000001</v>
      </c>
      <c r="E12" s="14">
        <v>451.87200000000001</v>
      </c>
      <c r="F12" s="14">
        <v>411.90999999999997</v>
      </c>
      <c r="G12" s="14">
        <v>638.04999999999995</v>
      </c>
      <c r="H12" s="14">
        <v>505</v>
      </c>
      <c r="I12" s="14">
        <v>504.9</v>
      </c>
      <c r="J12" s="14">
        <v>418</v>
      </c>
      <c r="K12" s="14">
        <v>418</v>
      </c>
    </row>
    <row r="13" spans="1:13" x14ac:dyDescent="0.25">
      <c r="A13" s="5" t="s">
        <v>33</v>
      </c>
      <c r="C13" s="14">
        <f>'Summary tables'!C13</f>
        <v>159</v>
      </c>
      <c r="D13" s="14">
        <v>158.69999999999999</v>
      </c>
      <c r="E13" s="14">
        <v>159.00000000000003</v>
      </c>
      <c r="F13" s="14">
        <v>157.84000000000003</v>
      </c>
      <c r="G13" s="14">
        <v>155.28</v>
      </c>
      <c r="H13" s="14">
        <v>151</v>
      </c>
      <c r="I13" s="14">
        <v>147.75000000000003</v>
      </c>
      <c r="J13" s="14">
        <v>146</v>
      </c>
      <c r="K13" s="14">
        <v>146</v>
      </c>
    </row>
    <row r="14" spans="1:13" x14ac:dyDescent="0.25">
      <c r="A14" s="5" t="s">
        <v>34</v>
      </c>
      <c r="C14" s="14">
        <v>0</v>
      </c>
      <c r="D14" s="14">
        <v>162</v>
      </c>
      <c r="E14" s="14">
        <v>156</v>
      </c>
      <c r="F14" s="14">
        <v>150</v>
      </c>
      <c r="G14" s="14">
        <v>150</v>
      </c>
      <c r="H14" s="14">
        <v>150</v>
      </c>
      <c r="I14" s="14">
        <v>150</v>
      </c>
      <c r="J14" s="14">
        <v>108</v>
      </c>
      <c r="K14" s="14">
        <v>102</v>
      </c>
    </row>
    <row r="15" spans="1:13" x14ac:dyDescent="0.25">
      <c r="A15" s="5" t="s">
        <v>35</v>
      </c>
      <c r="C15" s="14">
        <f>'Summary tables'!C15</f>
        <v>183.72</v>
      </c>
      <c r="D15" s="14">
        <v>489.99</v>
      </c>
      <c r="E15" s="14">
        <v>210.70000000000002</v>
      </c>
      <c r="F15" s="14"/>
      <c r="G15" s="14">
        <v>0</v>
      </c>
      <c r="H15" s="14">
        <v>0</v>
      </c>
      <c r="I15" s="14">
        <v>0</v>
      </c>
      <c r="J15" s="14"/>
      <c r="K15" s="14">
        <v>587</v>
      </c>
    </row>
    <row r="16" spans="1:13" x14ac:dyDescent="0.25">
      <c r="A16" s="5" t="s">
        <v>36</v>
      </c>
      <c r="C16" s="14">
        <f>'Summary tables'!C16</f>
        <v>0</v>
      </c>
      <c r="D16" s="14">
        <v>36</v>
      </c>
      <c r="E16" s="14"/>
      <c r="F16" s="14"/>
      <c r="G16" s="14">
        <v>0</v>
      </c>
      <c r="H16" s="14">
        <v>0</v>
      </c>
      <c r="I16" s="14">
        <v>207.5</v>
      </c>
      <c r="J16" s="14"/>
      <c r="K16" s="14"/>
    </row>
    <row r="17" spans="1:11" x14ac:dyDescent="0.25">
      <c r="A17" s="5" t="s">
        <v>37</v>
      </c>
      <c r="C17" s="14">
        <f>'Summary tables'!C17</f>
        <v>120</v>
      </c>
      <c r="D17" s="14">
        <v>312</v>
      </c>
      <c r="E17" s="14">
        <v>312</v>
      </c>
      <c r="F17" s="14">
        <v>312</v>
      </c>
      <c r="G17" s="14">
        <v>120</v>
      </c>
      <c r="H17" s="14">
        <v>120</v>
      </c>
      <c r="I17" s="14">
        <v>120</v>
      </c>
      <c r="J17" s="14"/>
      <c r="K17" s="14"/>
    </row>
    <row r="18" spans="1:11" x14ac:dyDescent="0.25">
      <c r="A18" s="5" t="s">
        <v>38</v>
      </c>
      <c r="C18" s="14">
        <f>'Summary tables'!C18</f>
        <v>60</v>
      </c>
      <c r="D18" s="14">
        <v>60</v>
      </c>
      <c r="E18" s="14">
        <v>60</v>
      </c>
      <c r="F18" s="14">
        <v>60</v>
      </c>
      <c r="G18" s="14">
        <v>60</v>
      </c>
      <c r="H18" s="14">
        <v>60</v>
      </c>
      <c r="I18" s="14">
        <v>60</v>
      </c>
      <c r="J18" s="14"/>
      <c r="K18" s="14"/>
    </row>
    <row r="19" spans="1:11" x14ac:dyDescent="0.25">
      <c r="A19" s="5" t="s">
        <v>39</v>
      </c>
      <c r="C19" s="14">
        <f>'Summary tables'!C19</f>
        <v>71.98</v>
      </c>
      <c r="D19" s="14">
        <v>32</v>
      </c>
      <c r="E19" s="14">
        <v>67.03</v>
      </c>
      <c r="F19" s="14">
        <v>41.76</v>
      </c>
      <c r="G19" s="14">
        <v>1044</v>
      </c>
      <c r="H19" s="14">
        <v>459</v>
      </c>
      <c r="I19" s="14"/>
      <c r="J19" s="14"/>
      <c r="K19" s="14"/>
    </row>
    <row r="20" spans="1:11" x14ac:dyDescent="0.25">
      <c r="A20" s="5" t="s">
        <v>40</v>
      </c>
      <c r="C20" s="14">
        <f>'Summary tables'!C20</f>
        <v>120</v>
      </c>
      <c r="D20" s="14">
        <v>300</v>
      </c>
      <c r="E20" s="14">
        <v>138</v>
      </c>
      <c r="F20" s="14">
        <v>120</v>
      </c>
      <c r="G20" s="14">
        <v>120</v>
      </c>
      <c r="H20" s="14"/>
      <c r="I20" s="14"/>
      <c r="J20" s="14"/>
      <c r="K20" s="14"/>
    </row>
    <row r="21" spans="1:11" x14ac:dyDescent="0.25">
      <c r="A21" s="5" t="s">
        <v>47</v>
      </c>
      <c r="C21" s="14">
        <v>0</v>
      </c>
      <c r="D21" s="14"/>
      <c r="E21" s="14"/>
      <c r="F21" s="14"/>
      <c r="G21" s="14"/>
      <c r="H21" s="14"/>
      <c r="I21" s="14"/>
      <c r="J21" s="14"/>
      <c r="K21" s="14"/>
    </row>
    <row r="22" spans="1:11" x14ac:dyDescent="0.25">
      <c r="A22" s="5" t="s">
        <v>123</v>
      </c>
      <c r="C22" s="14">
        <f>'Summary tables'!C22</f>
        <v>262.58999999999997</v>
      </c>
      <c r="D22" s="14"/>
      <c r="E22" s="14">
        <v>214.5</v>
      </c>
      <c r="F22" s="14"/>
      <c r="G22" s="14"/>
      <c r="H22" s="14"/>
      <c r="I22" s="14"/>
      <c r="J22" s="14"/>
      <c r="K22" s="14"/>
    </row>
    <row r="23" spans="1:11" x14ac:dyDescent="0.25">
      <c r="A23" s="5" t="s">
        <v>41</v>
      </c>
      <c r="C23" s="14">
        <v>0</v>
      </c>
      <c r="D23" s="14"/>
      <c r="E23" s="14"/>
      <c r="F23" s="14">
        <v>30</v>
      </c>
      <c r="G23" s="14">
        <v>30</v>
      </c>
      <c r="H23" s="14"/>
      <c r="I23" s="14">
        <v>30</v>
      </c>
      <c r="J23" s="14"/>
      <c r="K23" s="14"/>
    </row>
    <row r="24" spans="1:11" x14ac:dyDescent="0.25">
      <c r="A24" s="5" t="s">
        <v>169</v>
      </c>
      <c r="C24" s="14">
        <f>'Summary tables'!C24</f>
        <v>42.94</v>
      </c>
      <c r="D24" s="14"/>
      <c r="E24" s="14"/>
      <c r="F24" s="14"/>
      <c r="G24" s="14"/>
      <c r="H24" s="14"/>
      <c r="I24" s="14"/>
      <c r="J24" s="14"/>
      <c r="K24" s="14"/>
    </row>
    <row r="25" spans="1:11" x14ac:dyDescent="0.25">
      <c r="A25" s="5"/>
      <c r="C25" s="14"/>
      <c r="D25" s="14"/>
      <c r="E25" s="14"/>
      <c r="F25" s="14"/>
      <c r="G25" s="14"/>
      <c r="H25" s="14"/>
      <c r="I25" s="14"/>
      <c r="J25" s="14"/>
      <c r="K25" s="14"/>
    </row>
    <row r="26" spans="1:11" x14ac:dyDescent="0.25">
      <c r="A26" s="5" t="s">
        <v>42</v>
      </c>
      <c r="C26" s="26">
        <f>SUM(C5:C25)</f>
        <v>6223.8019999999997</v>
      </c>
      <c r="D26" s="26">
        <f t="shared" ref="D26:K26" si="0">SUM(D5:D25)</f>
        <v>7087.192</v>
      </c>
      <c r="E26" s="26">
        <f t="shared" si="0"/>
        <v>5470.3219999999992</v>
      </c>
      <c r="F26" s="26">
        <f t="shared" si="0"/>
        <v>6287.62</v>
      </c>
      <c r="G26" s="26">
        <f t="shared" si="0"/>
        <v>8480.24</v>
      </c>
      <c r="H26" s="26">
        <f t="shared" si="0"/>
        <v>8267</v>
      </c>
      <c r="I26" s="26">
        <f t="shared" si="0"/>
        <v>8038.27</v>
      </c>
      <c r="J26" s="26">
        <f t="shared" si="0"/>
        <v>10874</v>
      </c>
      <c r="K26" s="26">
        <f t="shared" si="0"/>
        <v>7772</v>
      </c>
    </row>
    <row r="27" spans="1:11" x14ac:dyDescent="0.25">
      <c r="A27" s="5"/>
      <c r="C27" s="14"/>
      <c r="D27" s="14"/>
      <c r="E27" s="14"/>
      <c r="F27" s="14"/>
      <c r="G27" s="14"/>
      <c r="H27" s="14"/>
      <c r="I27" s="14"/>
      <c r="J27" s="14"/>
      <c r="K27" s="14"/>
    </row>
    <row r="28" spans="1:11" ht="15.75" thickBot="1" x14ac:dyDescent="0.3">
      <c r="A28" t="s">
        <v>45</v>
      </c>
      <c r="C28" s="27">
        <f>C2-C26</f>
        <v>4876.1980000000003</v>
      </c>
      <c r="D28" s="27">
        <f t="shared" ref="D28:H28" si="1">D2-D26</f>
        <v>4012.808</v>
      </c>
      <c r="E28" s="27">
        <f t="shared" si="1"/>
        <v>3351.6780000000008</v>
      </c>
      <c r="F28" s="27">
        <f t="shared" si="1"/>
        <v>3842.38</v>
      </c>
      <c r="G28" s="27">
        <f t="shared" si="1"/>
        <v>937.95000000000073</v>
      </c>
      <c r="H28" s="27">
        <f t="shared" si="1"/>
        <v>1761</v>
      </c>
      <c r="I28" s="27">
        <v>1711.7299999999996</v>
      </c>
      <c r="J28" s="27">
        <f>J2-J26</f>
        <v>-3361</v>
      </c>
      <c r="K28" s="27">
        <f>K2-K26</f>
        <v>588</v>
      </c>
    </row>
    <row r="29" spans="1:11" ht="15.75" thickTop="1" x14ac:dyDescent="0.25"/>
    <row r="30" spans="1:11" x14ac:dyDescent="0.25">
      <c r="A30" s="5"/>
      <c r="C30" s="49" t="s">
        <v>83</v>
      </c>
    </row>
    <row r="31" spans="1:11" x14ac:dyDescent="0.25">
      <c r="C31" s="47" t="str">
        <f>IF(C28-'Summary tables'!C31=0,"OK","check amounts with Summary tables")</f>
        <v>OK</v>
      </c>
      <c r="D31" s="14"/>
      <c r="E31" s="14"/>
    </row>
    <row r="32" spans="1:11" x14ac:dyDescent="0.25">
      <c r="F32" s="14"/>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J49"/>
  <sheetViews>
    <sheetView showOutlineSymbols="0" showWhiteSpace="0" zoomScale="90" zoomScaleNormal="90" workbookViewId="0">
      <selection activeCell="C27" sqref="C27"/>
    </sheetView>
  </sheetViews>
  <sheetFormatPr defaultRowHeight="15" x14ac:dyDescent="0.25"/>
  <cols>
    <col min="1" max="1" width="31.85546875" customWidth="1"/>
    <col min="2" max="2" width="48.85546875" customWidth="1"/>
    <col min="3" max="3" width="27.42578125" customWidth="1"/>
    <col min="5" max="5" width="11.5703125" customWidth="1"/>
    <col min="9" max="9" width="15.42578125" customWidth="1"/>
    <col min="10" max="10" width="22.42578125" customWidth="1"/>
  </cols>
  <sheetData>
    <row r="1" spans="1:10" x14ac:dyDescent="0.25">
      <c r="A1" s="2" t="s">
        <v>179</v>
      </c>
      <c r="I1" s="83" t="s">
        <v>115</v>
      </c>
      <c r="J1" s="48"/>
    </row>
    <row r="2" spans="1:10" x14ac:dyDescent="0.25">
      <c r="A2" s="2"/>
      <c r="I2" s="48" t="s">
        <v>117</v>
      </c>
      <c r="J2" s="48" t="s">
        <v>155</v>
      </c>
    </row>
    <row r="3" spans="1:10" x14ac:dyDescent="0.25">
      <c r="A3" s="67" t="s">
        <v>76</v>
      </c>
      <c r="B3" s="68"/>
      <c r="C3" s="68" t="s">
        <v>88</v>
      </c>
      <c r="E3" s="90" t="s">
        <v>18</v>
      </c>
      <c r="I3" s="48" t="s">
        <v>118</v>
      </c>
      <c r="J3" s="119">
        <v>2111.33</v>
      </c>
    </row>
    <row r="4" spans="1:10" x14ac:dyDescent="0.25">
      <c r="A4" s="68"/>
      <c r="B4" s="68" t="s">
        <v>77</v>
      </c>
      <c r="C4" s="69"/>
      <c r="D4" s="28"/>
      <c r="E4" s="91"/>
      <c r="I4" s="48" t="s">
        <v>9</v>
      </c>
      <c r="J4" s="48" t="s">
        <v>156</v>
      </c>
    </row>
    <row r="5" spans="1:10" x14ac:dyDescent="0.25">
      <c r="A5" s="68"/>
      <c r="B5" s="68" t="s">
        <v>78</v>
      </c>
      <c r="C5" s="69"/>
      <c r="D5" s="28"/>
      <c r="E5" s="91"/>
      <c r="I5" s="48" t="s">
        <v>157</v>
      </c>
      <c r="J5" s="48" t="s">
        <v>158</v>
      </c>
    </row>
    <row r="6" spans="1:10" x14ac:dyDescent="0.25">
      <c r="A6" s="68"/>
      <c r="B6" s="68" t="s">
        <v>79</v>
      </c>
      <c r="C6" s="70"/>
      <c r="D6" s="28"/>
      <c r="E6" s="92"/>
    </row>
    <row r="7" spans="1:10" x14ac:dyDescent="0.25">
      <c r="A7" s="68"/>
      <c r="B7" s="68" t="s">
        <v>80</v>
      </c>
      <c r="C7" s="70"/>
      <c r="D7" s="28"/>
      <c r="E7" s="92"/>
    </row>
    <row r="8" spans="1:10" x14ac:dyDescent="0.25">
      <c r="A8" s="68"/>
      <c r="B8" s="68" t="s">
        <v>82</v>
      </c>
      <c r="C8" s="69"/>
      <c r="D8" s="28"/>
      <c r="E8" s="91"/>
    </row>
    <row r="9" spans="1:10" x14ac:dyDescent="0.25">
      <c r="C9" s="3"/>
    </row>
    <row r="10" spans="1:10" ht="23.25" x14ac:dyDescent="0.35">
      <c r="A10" s="71" t="s">
        <v>119</v>
      </c>
      <c r="B10" s="72"/>
      <c r="C10" s="73">
        <v>2111.33</v>
      </c>
      <c r="I10" s="126" t="s">
        <v>171</v>
      </c>
    </row>
    <row r="11" spans="1:10" ht="23.25" x14ac:dyDescent="0.35">
      <c r="A11" s="1"/>
      <c r="C11" s="3"/>
      <c r="I11" s="126" t="s">
        <v>170</v>
      </c>
    </row>
    <row r="12" spans="1:10" x14ac:dyDescent="0.25">
      <c r="C12" s="3"/>
    </row>
    <row r="13" spans="1:10" x14ac:dyDescent="0.25">
      <c r="A13" s="74" t="s">
        <v>9</v>
      </c>
      <c r="B13" s="75"/>
      <c r="C13" s="76"/>
    </row>
    <row r="14" spans="1:10" ht="15.75" x14ac:dyDescent="0.25">
      <c r="A14" s="75">
        <v>1</v>
      </c>
      <c r="B14" s="77" t="s">
        <v>9</v>
      </c>
      <c r="C14" s="85">
        <f>SUMIF('Summary tables'!$B$2:$B$28,$A$14:$A$26,'Summary tables'!$C$2:$C$28)</f>
        <v>11100</v>
      </c>
    </row>
    <row r="15" spans="1:10" ht="15.75" x14ac:dyDescent="0.25">
      <c r="A15" s="75"/>
      <c r="B15" s="77"/>
      <c r="C15" s="78"/>
    </row>
    <row r="16" spans="1:10" ht="15.75" x14ac:dyDescent="0.25">
      <c r="A16" s="75">
        <v>2</v>
      </c>
      <c r="B16" s="77" t="s">
        <v>0</v>
      </c>
      <c r="C16" s="85">
        <f>SUMIF('Summary tables'!$B$2:$B$28,$A$14:$A$26,'Summary tables'!$C$2:$C$28)</f>
        <v>2698.66</v>
      </c>
    </row>
    <row r="17" spans="1:3" ht="15.75" x14ac:dyDescent="0.25">
      <c r="A17" s="75">
        <v>3</v>
      </c>
      <c r="B17" s="77" t="s">
        <v>1</v>
      </c>
      <c r="C17" s="85">
        <f>SUMIF('Summary tables'!$B$2:$B$28,$A$14:$A$26,'Summary tables'!$C$2:$C$28)</f>
        <v>815.61</v>
      </c>
    </row>
    <row r="18" spans="1:3" ht="15.75" x14ac:dyDescent="0.25">
      <c r="A18" s="75">
        <v>4</v>
      </c>
      <c r="B18" s="77" t="s">
        <v>2</v>
      </c>
      <c r="C18" s="85">
        <f>SUMIF('Summary tables'!$B$2:$B$28,$A$14:$A$26,'Summary tables'!$C$2:$C$28)</f>
        <v>0</v>
      </c>
    </row>
    <row r="19" spans="1:3" ht="15.75" x14ac:dyDescent="0.25">
      <c r="A19" s="75">
        <v>5</v>
      </c>
      <c r="B19" s="77" t="s">
        <v>3</v>
      </c>
      <c r="C19" s="85">
        <f>SUMIF('Summary tables'!$B$2:$B$28,$A$14:$A$26,'Summary tables'!$C$2:$C$28)</f>
        <v>1772.13</v>
      </c>
    </row>
    <row r="20" spans="1:3" ht="15.75" x14ac:dyDescent="0.25">
      <c r="A20" s="75">
        <v>6</v>
      </c>
      <c r="B20" s="77" t="s">
        <v>4</v>
      </c>
      <c r="C20" s="85">
        <f>SUMIF('Summary tables'!$B$2:$B$28,$A$14:$A$26,'Summary tables'!$C$2:$C$28)</f>
        <v>937.40200000000004</v>
      </c>
    </row>
    <row r="21" spans="1:3" ht="15.75" x14ac:dyDescent="0.25">
      <c r="A21" s="75">
        <v>7</v>
      </c>
      <c r="B21" s="77" t="s">
        <v>6</v>
      </c>
      <c r="C21" s="85">
        <f>SUMIF('Summary tables'!$B$2:$B$28,$A$14:$A$26,'Summary tables'!$C$2:$C$28)</f>
        <v>0</v>
      </c>
    </row>
    <row r="22" spans="1:3" ht="15.75" x14ac:dyDescent="0.25">
      <c r="A22" s="75">
        <v>8</v>
      </c>
      <c r="B22" s="77" t="s">
        <v>7</v>
      </c>
      <c r="C22" s="85">
        <f>SUMIF('Summary tables'!$B$2:$B$28,$A$14:$A$26,'Summary tables'!$C$2:$C$28)</f>
        <v>0</v>
      </c>
    </row>
    <row r="23" spans="1:3" ht="15.75" x14ac:dyDescent="0.25">
      <c r="A23" s="75"/>
      <c r="B23" s="77"/>
      <c r="C23" s="78"/>
    </row>
    <row r="24" spans="1:3" ht="15.75" x14ac:dyDescent="0.25">
      <c r="A24" s="75"/>
      <c r="B24" s="79" t="s">
        <v>139</v>
      </c>
      <c r="C24" s="85">
        <f>SUM(C16:C23)</f>
        <v>6223.8019999999997</v>
      </c>
    </row>
    <row r="25" spans="1:3" ht="15.75" x14ac:dyDescent="0.25">
      <c r="A25" s="75"/>
      <c r="B25" s="77"/>
      <c r="C25" s="78"/>
    </row>
    <row r="26" spans="1:3" ht="15.75" x14ac:dyDescent="0.25">
      <c r="A26" s="75">
        <v>9</v>
      </c>
      <c r="B26" s="77" t="s">
        <v>5</v>
      </c>
      <c r="C26" s="85">
        <f>SUMIF('Summary tables'!$B$2:$B$28,$A$14:$A$26,'Summary tables'!$C$2:$C$28)</f>
        <v>0</v>
      </c>
    </row>
    <row r="27" spans="1:3" ht="15.75" x14ac:dyDescent="0.25">
      <c r="A27" s="75"/>
      <c r="B27" s="77"/>
      <c r="C27" s="85"/>
    </row>
    <row r="28" spans="1:3" ht="15.75" x14ac:dyDescent="0.25">
      <c r="A28" s="75"/>
      <c r="B28" s="79" t="s">
        <v>114</v>
      </c>
      <c r="C28" s="85">
        <f>SUM(C24:C26)</f>
        <v>6223.8019999999997</v>
      </c>
    </row>
    <row r="29" spans="1:3" ht="15.75" x14ac:dyDescent="0.25">
      <c r="A29" s="75"/>
      <c r="B29" s="77"/>
      <c r="C29" s="78"/>
    </row>
    <row r="30" spans="1:3" ht="15.75" x14ac:dyDescent="0.25">
      <c r="A30" s="75"/>
      <c r="B30" s="77"/>
      <c r="C30" s="78"/>
    </row>
    <row r="31" spans="1:3" x14ac:dyDescent="0.25">
      <c r="A31" s="75"/>
      <c r="B31" s="75"/>
      <c r="C31" s="80"/>
    </row>
    <row r="32" spans="1:3" ht="15.75" x14ac:dyDescent="0.25">
      <c r="A32" s="75"/>
      <c r="B32" s="79" t="s">
        <v>110</v>
      </c>
      <c r="C32" s="81">
        <f>C14-C28</f>
        <v>4876.1980000000003</v>
      </c>
    </row>
    <row r="33" spans="1:7" ht="15.75" x14ac:dyDescent="0.25">
      <c r="A33" s="75"/>
      <c r="B33" s="79" t="s">
        <v>111</v>
      </c>
      <c r="C33" s="82">
        <f>C21</f>
        <v>0</v>
      </c>
    </row>
    <row r="34" spans="1:7" ht="15.75" x14ac:dyDescent="0.25">
      <c r="A34" s="75"/>
      <c r="B34" s="79" t="s">
        <v>112</v>
      </c>
      <c r="C34" s="82">
        <f>C32-C33</f>
        <v>4876.1980000000003</v>
      </c>
    </row>
    <row r="35" spans="1:7" x14ac:dyDescent="0.25">
      <c r="B35" s="64" t="s">
        <v>113</v>
      </c>
      <c r="C35" s="89" t="str">
        <f>IF(ROUND(C34-'Summary tables'!C31,2)=0,"OK","Double check amounts")</f>
        <v>OK</v>
      </c>
    </row>
    <row r="36" spans="1:7" x14ac:dyDescent="0.25">
      <c r="C36" s="14"/>
    </row>
    <row r="40" spans="1:7" ht="15.75" x14ac:dyDescent="0.25">
      <c r="A40" s="1" t="s">
        <v>81</v>
      </c>
    </row>
    <row r="41" spans="1:7" x14ac:dyDescent="0.25">
      <c r="A41" s="10"/>
      <c r="B41" s="10" t="s">
        <v>10</v>
      </c>
      <c r="E41" t="s">
        <v>90</v>
      </c>
      <c r="F41" t="s">
        <v>19</v>
      </c>
      <c r="G41" t="s">
        <v>20</v>
      </c>
    </row>
    <row r="42" spans="1:7" x14ac:dyDescent="0.25">
      <c r="B42" s="2" t="s">
        <v>11</v>
      </c>
    </row>
    <row r="43" spans="1:7" x14ac:dyDescent="0.25">
      <c r="B43" t="s">
        <v>12</v>
      </c>
      <c r="C43" s="7"/>
      <c r="E43" s="7"/>
      <c r="F43" s="7"/>
      <c r="G43" s="7"/>
    </row>
    <row r="44" spans="1:7" x14ac:dyDescent="0.25">
      <c r="B44" t="s">
        <v>13</v>
      </c>
      <c r="C44" s="7"/>
      <c r="E44" s="7"/>
      <c r="F44" s="7"/>
      <c r="G44" s="7"/>
    </row>
    <row r="45" spans="1:7" x14ac:dyDescent="0.25">
      <c r="B45" t="s">
        <v>14</v>
      </c>
      <c r="C45" s="7"/>
      <c r="E45" s="7"/>
      <c r="F45" s="7"/>
      <c r="G45" s="7"/>
    </row>
    <row r="46" spans="1:7" x14ac:dyDescent="0.25">
      <c r="B46" t="s">
        <v>12</v>
      </c>
      <c r="C46" s="7"/>
      <c r="E46" s="7"/>
      <c r="F46" s="7"/>
      <c r="G46" s="7"/>
    </row>
    <row r="47" spans="1:7" x14ac:dyDescent="0.25">
      <c r="B47" t="s">
        <v>15</v>
      </c>
      <c r="C47" s="7"/>
      <c r="E47" s="7"/>
      <c r="F47" s="7"/>
      <c r="G47" s="7"/>
    </row>
    <row r="48" spans="1:7" x14ac:dyDescent="0.25">
      <c r="B48" s="2" t="s">
        <v>16</v>
      </c>
      <c r="C48" s="7"/>
      <c r="E48" s="7"/>
      <c r="F48" s="7"/>
      <c r="G48" s="7"/>
    </row>
    <row r="49" spans="2:7" x14ac:dyDescent="0.25">
      <c r="B49" t="s">
        <v>17</v>
      </c>
      <c r="C49" s="7"/>
      <c r="E49" s="7"/>
      <c r="F49" s="7"/>
      <c r="G49"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P39"/>
  <sheetViews>
    <sheetView showOutlineSymbols="0" showWhiteSpace="0" zoomScale="70" zoomScaleNormal="70" workbookViewId="0">
      <selection activeCell="C10" sqref="C10"/>
    </sheetView>
  </sheetViews>
  <sheetFormatPr defaultRowHeight="15" x14ac:dyDescent="0.25"/>
  <cols>
    <col min="1" max="1" width="33.42578125" customWidth="1"/>
    <col min="2" max="2" width="10.42578125" customWidth="1"/>
    <col min="3" max="3" width="16.42578125" customWidth="1"/>
    <col min="7" max="7" width="15.85546875" customWidth="1"/>
  </cols>
  <sheetData>
    <row r="1" spans="1:16" ht="30.75" thickBot="1" x14ac:dyDescent="0.3">
      <c r="B1" s="15" t="s">
        <v>85</v>
      </c>
      <c r="C1" s="13" t="s">
        <v>46</v>
      </c>
    </row>
    <row r="2" spans="1:16" ht="15.75" x14ac:dyDescent="0.25">
      <c r="A2" t="s">
        <v>43</v>
      </c>
      <c r="B2">
        <v>1</v>
      </c>
      <c r="C2" s="14">
        <f>SUM('WS Halifax'!B20:C20)</f>
        <v>11100</v>
      </c>
      <c r="G2" s="18" t="s">
        <v>86</v>
      </c>
      <c r="H2" s="19"/>
      <c r="I2" s="19"/>
      <c r="J2" s="20"/>
      <c r="O2">
        <v>2</v>
      </c>
      <c r="P2" s="1" t="s">
        <v>0</v>
      </c>
    </row>
    <row r="3" spans="1:16" ht="16.5" thickBot="1" x14ac:dyDescent="0.3">
      <c r="A3" t="s">
        <v>44</v>
      </c>
      <c r="C3" s="14"/>
      <c r="G3" s="21" t="s">
        <v>84</v>
      </c>
      <c r="H3" s="87"/>
      <c r="I3" s="87"/>
      <c r="J3" s="88"/>
      <c r="P3" s="8" t="s">
        <v>48</v>
      </c>
    </row>
    <row r="4" spans="1:16" ht="15.75" x14ac:dyDescent="0.25">
      <c r="C4" s="14"/>
      <c r="G4" s="1"/>
      <c r="P4" s="8" t="s">
        <v>49</v>
      </c>
    </row>
    <row r="5" spans="1:16" ht="15.75" x14ac:dyDescent="0.25">
      <c r="A5" s="5" t="s">
        <v>26</v>
      </c>
      <c r="B5" s="12">
        <v>2</v>
      </c>
      <c r="C5" s="14">
        <f>'WS Halifax'!H20</f>
        <v>1686.57</v>
      </c>
      <c r="D5" s="5"/>
      <c r="G5" s="1"/>
      <c r="P5" s="8" t="s">
        <v>50</v>
      </c>
    </row>
    <row r="6" spans="1:16" ht="15.75" x14ac:dyDescent="0.25">
      <c r="A6" s="5" t="s">
        <v>27</v>
      </c>
      <c r="B6" s="12">
        <v>2</v>
      </c>
      <c r="C6" s="14">
        <f>'WS Halifax'!D20</f>
        <v>700.37</v>
      </c>
      <c r="D6" s="5"/>
      <c r="G6" s="1"/>
      <c r="P6" s="8" t="s">
        <v>51</v>
      </c>
    </row>
    <row r="7" spans="1:16" ht="15.75" x14ac:dyDescent="0.25">
      <c r="A7" s="5" t="s">
        <v>28</v>
      </c>
      <c r="B7" s="12">
        <v>5</v>
      </c>
      <c r="C7" s="25">
        <f>'WS Halifax'!F20</f>
        <v>1200</v>
      </c>
      <c r="D7" s="5"/>
      <c r="E7" s="3"/>
      <c r="G7" s="1"/>
      <c r="P7" s="8" t="s">
        <v>52</v>
      </c>
    </row>
    <row r="8" spans="1:16" ht="15.75" x14ac:dyDescent="0.25">
      <c r="A8" s="5" t="s">
        <v>8</v>
      </c>
      <c r="B8" s="12">
        <v>2</v>
      </c>
      <c r="C8" s="14">
        <f>'WS Halifax'!I20</f>
        <v>311.72000000000003</v>
      </c>
      <c r="D8" s="5"/>
      <c r="G8" s="1"/>
      <c r="P8" t="s">
        <v>53</v>
      </c>
    </row>
    <row r="9" spans="1:16" ht="15.75" x14ac:dyDescent="0.25">
      <c r="A9" s="5" t="s">
        <v>29</v>
      </c>
      <c r="B9" s="12">
        <v>5</v>
      </c>
      <c r="C9" s="14">
        <f>'WS Halifax'!E20</f>
        <v>413.13000000000005</v>
      </c>
      <c r="D9" s="5"/>
      <c r="G9" s="1"/>
      <c r="O9">
        <v>3</v>
      </c>
      <c r="P9" s="1" t="s">
        <v>1</v>
      </c>
    </row>
    <row r="10" spans="1:16" ht="15.75" x14ac:dyDescent="0.25">
      <c r="A10" s="5" t="s">
        <v>30</v>
      </c>
      <c r="B10" s="12">
        <v>3</v>
      </c>
      <c r="C10" s="14">
        <f>'WS Halifax'!J20+'WS Cash'!B20</f>
        <v>439.90999999999997</v>
      </c>
      <c r="D10" s="5"/>
      <c r="G10" s="1"/>
      <c r="P10" s="8" t="s">
        <v>54</v>
      </c>
    </row>
    <row r="11" spans="1:16" x14ac:dyDescent="0.25">
      <c r="A11" s="5" t="s">
        <v>31</v>
      </c>
      <c r="B11" s="5">
        <v>7</v>
      </c>
      <c r="C11" s="14">
        <f>'WS Halifax'!S20</f>
        <v>0</v>
      </c>
      <c r="D11" s="3" t="s">
        <v>144</v>
      </c>
      <c r="P11" s="8" t="s">
        <v>55</v>
      </c>
    </row>
    <row r="12" spans="1:16" x14ac:dyDescent="0.25">
      <c r="A12" s="5" t="s">
        <v>32</v>
      </c>
      <c r="B12" s="12">
        <v>6</v>
      </c>
      <c r="C12" s="50">
        <f>I13</f>
        <v>451.87200000000001</v>
      </c>
      <c r="D12" s="5"/>
      <c r="P12" s="8" t="s">
        <v>56</v>
      </c>
    </row>
    <row r="13" spans="1:16" x14ac:dyDescent="0.25">
      <c r="A13" s="5" t="s">
        <v>33</v>
      </c>
      <c r="B13" s="12">
        <v>5</v>
      </c>
      <c r="C13" s="14">
        <f>'WS Halifax'!G20</f>
        <v>159</v>
      </c>
      <c r="D13" s="5"/>
      <c r="G13" s="17" t="s">
        <v>32</v>
      </c>
      <c r="I13" s="66">
        <f>8.61*(4*2*12)*0.45+3.7*(2*2*12)*0.45</f>
        <v>451.87200000000001</v>
      </c>
      <c r="P13" s="8" t="s">
        <v>57</v>
      </c>
    </row>
    <row r="14" spans="1:16" x14ac:dyDescent="0.25">
      <c r="A14" s="5" t="s">
        <v>34</v>
      </c>
      <c r="B14" s="12">
        <v>4</v>
      </c>
      <c r="C14" s="32">
        <f>'WS Halifax'!L20</f>
        <v>0</v>
      </c>
      <c r="D14" s="5" t="s">
        <v>136</v>
      </c>
      <c r="G14" s="102" t="s">
        <v>116</v>
      </c>
      <c r="P14" s="8" t="s">
        <v>58</v>
      </c>
    </row>
    <row r="15" spans="1:16" x14ac:dyDescent="0.25">
      <c r="A15" s="5" t="s">
        <v>35</v>
      </c>
      <c r="B15" s="12">
        <v>3</v>
      </c>
      <c r="C15" s="14">
        <f>'WS Halifax'!T20+'WS Cash'!D20</f>
        <v>183.72</v>
      </c>
      <c r="D15" s="5"/>
      <c r="G15" t="s">
        <v>173</v>
      </c>
      <c r="P15" t="s">
        <v>59</v>
      </c>
    </row>
    <row r="16" spans="1:16" ht="15.75" x14ac:dyDescent="0.25">
      <c r="A16" s="5" t="s">
        <v>36</v>
      </c>
      <c r="B16" s="12">
        <v>2</v>
      </c>
      <c r="C16" s="14">
        <f>'WS Halifax'!M20</f>
        <v>0</v>
      </c>
      <c r="D16" s="5"/>
      <c r="G16" t="s">
        <v>74</v>
      </c>
      <c r="O16">
        <v>4</v>
      </c>
      <c r="P16" s="1" t="s">
        <v>2</v>
      </c>
    </row>
    <row r="17" spans="1:16" x14ac:dyDescent="0.25">
      <c r="A17" s="5" t="s">
        <v>37</v>
      </c>
      <c r="B17" s="12">
        <v>6</v>
      </c>
      <c r="C17" s="50">
        <f>I21</f>
        <v>120</v>
      </c>
      <c r="D17" s="5"/>
      <c r="P17" s="8" t="s">
        <v>60</v>
      </c>
    </row>
    <row r="18" spans="1:16" x14ac:dyDescent="0.25">
      <c r="A18" s="5" t="s">
        <v>38</v>
      </c>
      <c r="B18" s="12">
        <v>6</v>
      </c>
      <c r="C18" s="50">
        <f>I24</f>
        <v>60</v>
      </c>
      <c r="D18" s="5"/>
      <c r="G18" t="s">
        <v>146</v>
      </c>
      <c r="P18" s="8" t="s">
        <v>61</v>
      </c>
    </row>
    <row r="19" spans="1:16" x14ac:dyDescent="0.25">
      <c r="A19" s="5" t="s">
        <v>39</v>
      </c>
      <c r="B19" s="12">
        <v>3</v>
      </c>
      <c r="C19" s="14">
        <f>'WS Halifax'!Q20</f>
        <v>71.98</v>
      </c>
      <c r="D19" s="5"/>
      <c r="G19" t="s">
        <v>75</v>
      </c>
      <c r="P19" t="s">
        <v>62</v>
      </c>
    </row>
    <row r="20" spans="1:16" ht="15.75" x14ac:dyDescent="0.25">
      <c r="A20" s="5" t="s">
        <v>40</v>
      </c>
      <c r="B20" s="12">
        <v>3</v>
      </c>
      <c r="C20" s="25">
        <f>'WS Halifax'!K20</f>
        <v>120</v>
      </c>
      <c r="D20" s="5"/>
      <c r="O20">
        <v>5</v>
      </c>
      <c r="P20" s="1" t="s">
        <v>3</v>
      </c>
    </row>
    <row r="21" spans="1:16" x14ac:dyDescent="0.25">
      <c r="A21" s="5" t="s">
        <v>47</v>
      </c>
      <c r="B21" s="5">
        <v>5</v>
      </c>
      <c r="C21" s="14">
        <f>'WS Halifax'!N20</f>
        <v>0</v>
      </c>
      <c r="D21" s="5"/>
      <c r="G21" s="12" t="s">
        <v>87</v>
      </c>
      <c r="I21" s="86">
        <v>120</v>
      </c>
      <c r="K21" t="s">
        <v>121</v>
      </c>
      <c r="P21" s="8" t="s">
        <v>63</v>
      </c>
    </row>
    <row r="22" spans="1:16" ht="24" customHeight="1" x14ac:dyDescent="0.25">
      <c r="A22" s="3" t="s">
        <v>123</v>
      </c>
      <c r="B22" s="5">
        <v>6</v>
      </c>
      <c r="C22" s="25">
        <f>'WS Halifax'!U20</f>
        <v>262.58999999999997</v>
      </c>
      <c r="D22" s="3" t="s">
        <v>143</v>
      </c>
      <c r="G22" s="127" t="s">
        <v>142</v>
      </c>
      <c r="H22" s="127"/>
      <c r="I22" s="127"/>
      <c r="J22" s="127"/>
      <c r="K22" s="127"/>
      <c r="L22" s="127"/>
      <c r="M22" s="127"/>
      <c r="N22" s="127"/>
      <c r="P22" s="8" t="s">
        <v>64</v>
      </c>
    </row>
    <row r="23" spans="1:16" ht="24" customHeight="1" x14ac:dyDescent="0.25">
      <c r="A23" s="5" t="s">
        <v>41</v>
      </c>
      <c r="B23" s="5">
        <v>6</v>
      </c>
      <c r="C23" s="14">
        <f>'WS Halifax'!V20</f>
        <v>0</v>
      </c>
      <c r="D23" s="5"/>
      <c r="G23" s="127"/>
      <c r="H23" s="127"/>
      <c r="I23" s="127"/>
      <c r="J23" s="127"/>
      <c r="K23" s="127"/>
      <c r="L23" s="127"/>
      <c r="M23" s="127"/>
      <c r="N23" s="127"/>
      <c r="P23" t="s">
        <v>65</v>
      </c>
    </row>
    <row r="24" spans="1:16" ht="15.75" x14ac:dyDescent="0.25">
      <c r="A24" s="5" t="s">
        <v>169</v>
      </c>
      <c r="B24" s="5">
        <v>6</v>
      </c>
      <c r="C24" s="14">
        <f>I27</f>
        <v>42.94</v>
      </c>
      <c r="G24" s="12" t="s">
        <v>120</v>
      </c>
      <c r="I24" s="86">
        <f>5*12</f>
        <v>60</v>
      </c>
      <c r="O24">
        <v>6</v>
      </c>
      <c r="P24" s="1" t="s">
        <v>4</v>
      </c>
    </row>
    <row r="25" spans="1:16" x14ac:dyDescent="0.25">
      <c r="C25" s="14"/>
      <c r="G25" s="16" t="s">
        <v>145</v>
      </c>
      <c r="P25" t="s">
        <v>66</v>
      </c>
    </row>
    <row r="26" spans="1:16" x14ac:dyDescent="0.25">
      <c r="P26" t="s">
        <v>67</v>
      </c>
    </row>
    <row r="27" spans="1:16" ht="15.75" x14ac:dyDescent="0.25">
      <c r="G27" s="12" t="s">
        <v>169</v>
      </c>
      <c r="I27" s="86">
        <f>(12*5.49+4*5)/2</f>
        <v>42.94</v>
      </c>
      <c r="O27">
        <v>7</v>
      </c>
      <c r="P27" s="1" t="s">
        <v>6</v>
      </c>
    </row>
    <row r="28" spans="1:16" ht="15.75" x14ac:dyDescent="0.25">
      <c r="C28" s="14"/>
      <c r="G28" s="124" t="s">
        <v>168</v>
      </c>
      <c r="O28">
        <v>8</v>
      </c>
      <c r="P28" s="1" t="s">
        <v>7</v>
      </c>
    </row>
    <row r="29" spans="1:16" ht="15.75" x14ac:dyDescent="0.25">
      <c r="A29" s="5" t="s">
        <v>42</v>
      </c>
      <c r="B29" s="5"/>
      <c r="C29" s="26">
        <f>SUM(C5:C24)</f>
        <v>6223.8019999999997</v>
      </c>
      <c r="O29">
        <v>9</v>
      </c>
      <c r="P29" s="1" t="s">
        <v>5</v>
      </c>
    </row>
    <row r="30" spans="1:16" x14ac:dyDescent="0.25">
      <c r="A30" s="5"/>
      <c r="B30" s="5"/>
      <c r="C30" s="14"/>
      <c r="P30" t="s">
        <v>68</v>
      </c>
    </row>
    <row r="31" spans="1:16" ht="15.75" thickBot="1" x14ac:dyDescent="0.3">
      <c r="A31" t="s">
        <v>45</v>
      </c>
      <c r="C31" s="27">
        <f>C2-C29</f>
        <v>4876.1980000000003</v>
      </c>
      <c r="P31" s="9" t="s">
        <v>69</v>
      </c>
    </row>
    <row r="32" spans="1:16" ht="15.75" thickTop="1" x14ac:dyDescent="0.25">
      <c r="P32" s="9" t="s">
        <v>70</v>
      </c>
    </row>
    <row r="33" spans="1:16" x14ac:dyDescent="0.25">
      <c r="A33" s="3"/>
      <c r="B33" s="3"/>
      <c r="P33" s="9" t="s">
        <v>71</v>
      </c>
    </row>
    <row r="34" spans="1:16" x14ac:dyDescent="0.25">
      <c r="A34" s="46" t="s">
        <v>83</v>
      </c>
      <c r="B34" s="3"/>
      <c r="C34" s="24"/>
      <c r="P34" s="9" t="s">
        <v>72</v>
      </c>
    </row>
    <row r="35" spans="1:16" x14ac:dyDescent="0.25">
      <c r="A35" s="47" t="str">
        <f>IF(ROUND(SUM(C2:C28,C38:C40)-(SUM('WS Halifax'!B20:X20)+SUM('WS Cash'!B20:E20))-C24-C12-C17-C18,2)=0, "OK","CHECK INCOME AND EXPENCES")</f>
        <v>OK</v>
      </c>
      <c r="P35" s="9" t="s">
        <v>73</v>
      </c>
    </row>
    <row r="36" spans="1:16" x14ac:dyDescent="0.25">
      <c r="A36" s="14">
        <f>SUM(C2:C23)-(SUM('WS Halifax'!B20:X20)+SUM('WS Cash'!B20:E20))-C12-C17-C18+C38+C39</f>
        <v>0</v>
      </c>
      <c r="P36" s="9"/>
    </row>
    <row r="38" spans="1:16" x14ac:dyDescent="0.25">
      <c r="A38" s="6" t="s">
        <v>96</v>
      </c>
      <c r="B38" s="6">
        <v>11</v>
      </c>
      <c r="C38" s="14">
        <f>'WS Halifax'!W20</f>
        <v>6116.2</v>
      </c>
      <c r="D38" s="6">
        <v>11</v>
      </c>
    </row>
    <row r="39" spans="1:16" x14ac:dyDescent="0.25">
      <c r="A39" s="6" t="s">
        <v>97</v>
      </c>
      <c r="B39" s="6">
        <v>12</v>
      </c>
      <c r="C39" s="14">
        <f>'WS Halifax'!X20</f>
        <v>9000</v>
      </c>
      <c r="D39" s="6">
        <v>12</v>
      </c>
    </row>
  </sheetData>
  <mergeCells count="1">
    <mergeCell ref="G22:N2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1E540-F73C-44EE-B4F6-E956BA43DE71}">
  <sheetPr>
    <tabColor rgb="FF00B050"/>
  </sheetPr>
  <dimension ref="A1:Z39"/>
  <sheetViews>
    <sheetView workbookViewId="0">
      <selection activeCell="U25" sqref="U25"/>
    </sheetView>
  </sheetViews>
  <sheetFormatPr defaultRowHeight="15" x14ac:dyDescent="0.25"/>
  <cols>
    <col min="2" max="3" width="9.42578125" customWidth="1"/>
    <col min="4" max="4" width="16.140625" customWidth="1"/>
    <col min="5" max="5" width="10.85546875" customWidth="1"/>
    <col min="6" max="7" width="9.42578125" customWidth="1"/>
    <col min="8" max="8" width="14.28515625" customWidth="1"/>
    <col min="9" max="11" width="9.42578125" customWidth="1"/>
    <col min="12" max="13" width="10.5703125" customWidth="1"/>
    <col min="14" max="19" width="9.42578125" customWidth="1"/>
  </cols>
  <sheetData>
    <row r="1" spans="1:26" ht="16.5" thickBot="1" x14ac:dyDescent="0.3">
      <c r="A1" s="125" t="s">
        <v>109</v>
      </c>
      <c r="K1" s="48" t="s">
        <v>83</v>
      </c>
    </row>
    <row r="2" spans="1:26" ht="15.75" thickBot="1" x14ac:dyDescent="0.3">
      <c r="D2" s="51" t="s">
        <v>102</v>
      </c>
      <c r="E2" s="63">
        <v>6223.29</v>
      </c>
      <c r="F2" s="52"/>
      <c r="G2" s="52" t="s">
        <v>108</v>
      </c>
      <c r="H2" s="52"/>
      <c r="I2" s="62">
        <v>9019.23</v>
      </c>
      <c r="K2" s="49" t="str">
        <f>IF(ROUND(I2-Z19,0)=0,"OK","CHECK BALANCE")</f>
        <v>OK</v>
      </c>
    </row>
    <row r="3" spans="1:26" x14ac:dyDescent="0.25">
      <c r="B3" s="33" t="s">
        <v>94</v>
      </c>
      <c r="C3" s="20"/>
      <c r="D3" s="33" t="s">
        <v>165</v>
      </c>
      <c r="E3" s="19"/>
      <c r="F3" s="19"/>
      <c r="G3" s="19"/>
      <c r="H3" s="19"/>
      <c r="I3" s="19"/>
      <c r="J3" s="19"/>
      <c r="K3" s="19"/>
      <c r="L3" s="19"/>
      <c r="M3" s="19"/>
      <c r="N3" s="19"/>
      <c r="O3" s="19"/>
      <c r="P3" s="19"/>
      <c r="Q3" s="19"/>
      <c r="R3" s="19"/>
      <c r="S3" s="19"/>
      <c r="T3" s="19"/>
      <c r="U3" s="19"/>
      <c r="V3" s="20"/>
    </row>
    <row r="4" spans="1:26" x14ac:dyDescent="0.25">
      <c r="B4" s="34">
        <v>1</v>
      </c>
      <c r="C4" s="35">
        <v>1</v>
      </c>
      <c r="D4" s="40">
        <v>2</v>
      </c>
      <c r="E4" s="5">
        <v>5</v>
      </c>
      <c r="F4" s="5">
        <v>5</v>
      </c>
      <c r="G4" s="5">
        <v>5</v>
      </c>
      <c r="H4" s="5">
        <v>2</v>
      </c>
      <c r="I4" s="5">
        <v>2</v>
      </c>
      <c r="J4" s="5">
        <v>3</v>
      </c>
      <c r="K4" s="5">
        <v>3</v>
      </c>
      <c r="L4" s="5">
        <v>4</v>
      </c>
      <c r="M4" s="5">
        <v>4</v>
      </c>
      <c r="N4" s="5">
        <v>5</v>
      </c>
      <c r="O4" s="5">
        <v>6</v>
      </c>
      <c r="P4" s="5">
        <v>6</v>
      </c>
      <c r="Q4" s="5">
        <v>6</v>
      </c>
      <c r="R4" s="5">
        <v>6</v>
      </c>
      <c r="S4" s="5">
        <v>7</v>
      </c>
      <c r="T4" s="5">
        <v>9</v>
      </c>
      <c r="U4" s="41">
        <v>6</v>
      </c>
      <c r="V4" s="42">
        <v>6</v>
      </c>
    </row>
    <row r="5" spans="1:26" ht="45" customHeight="1" x14ac:dyDescent="0.25">
      <c r="B5" s="36" t="s">
        <v>92</v>
      </c>
      <c r="C5" s="37" t="s">
        <v>93</v>
      </c>
      <c r="D5" s="43" t="s">
        <v>98</v>
      </c>
      <c r="E5" s="29" t="s">
        <v>99</v>
      </c>
      <c r="F5" s="123" t="s">
        <v>167</v>
      </c>
      <c r="G5" s="29" t="s">
        <v>33</v>
      </c>
      <c r="H5" s="29" t="s">
        <v>100</v>
      </c>
      <c r="I5" s="29" t="s">
        <v>8</v>
      </c>
      <c r="J5" s="29" t="s">
        <v>30</v>
      </c>
      <c r="K5" s="29" t="s">
        <v>40</v>
      </c>
      <c r="L5" s="29" t="s">
        <v>34</v>
      </c>
      <c r="M5" s="29" t="s">
        <v>36</v>
      </c>
      <c r="N5" s="29" t="s">
        <v>47</v>
      </c>
      <c r="O5" s="29" t="s">
        <v>37</v>
      </c>
      <c r="P5" s="29" t="s">
        <v>38</v>
      </c>
      <c r="Q5" s="29" t="s">
        <v>39</v>
      </c>
      <c r="R5" s="29" t="s">
        <v>32</v>
      </c>
      <c r="S5" s="29" t="s">
        <v>31</v>
      </c>
      <c r="T5" s="29" t="s">
        <v>35</v>
      </c>
      <c r="U5" s="44" t="s">
        <v>123</v>
      </c>
      <c r="V5" s="45" t="s">
        <v>41</v>
      </c>
      <c r="W5" s="38" t="s">
        <v>96</v>
      </c>
      <c r="X5" s="30" t="s">
        <v>97</v>
      </c>
      <c r="Z5" s="29" t="s">
        <v>101</v>
      </c>
    </row>
    <row r="6" spans="1:26" x14ac:dyDescent="0.25">
      <c r="A6" s="11">
        <v>45017</v>
      </c>
      <c r="B6" s="53">
        <f>3*105</f>
        <v>315</v>
      </c>
      <c r="C6" s="54">
        <v>470</v>
      </c>
      <c r="D6" s="53">
        <v>70.010000000000005</v>
      </c>
      <c r="E6" s="14">
        <v>35.83</v>
      </c>
      <c r="F6" s="14">
        <v>115</v>
      </c>
      <c r="G6" s="14">
        <v>13.25</v>
      </c>
      <c r="H6" s="14">
        <v>165.57</v>
      </c>
      <c r="I6" s="14"/>
      <c r="K6" s="14"/>
      <c r="L6" s="14"/>
      <c r="M6" s="14"/>
      <c r="N6" s="14"/>
      <c r="O6" s="14"/>
      <c r="P6" s="14"/>
      <c r="Q6" s="14"/>
      <c r="R6" s="14"/>
      <c r="S6" s="14"/>
      <c r="T6" s="14"/>
      <c r="U6" s="14"/>
      <c r="V6" s="54"/>
      <c r="W6" s="55">
        <v>500</v>
      </c>
      <c r="X6" s="56">
        <f>250+500</f>
        <v>750</v>
      </c>
      <c r="Z6" s="14">
        <f>E2+B6+C6-SUM(D6:V6)+W6-X6</f>
        <v>6358.63</v>
      </c>
    </row>
    <row r="7" spans="1:26" x14ac:dyDescent="0.25">
      <c r="A7" s="11">
        <v>45047</v>
      </c>
      <c r="B7" s="53">
        <f>5*105</f>
        <v>525</v>
      </c>
      <c r="C7" s="54">
        <v>470</v>
      </c>
      <c r="D7" s="53">
        <v>70.040000000000006</v>
      </c>
      <c r="E7" s="14">
        <v>34.299999999999997</v>
      </c>
      <c r="F7" s="14">
        <v>115</v>
      </c>
      <c r="G7" s="14">
        <v>13.25</v>
      </c>
      <c r="H7" s="14">
        <v>169</v>
      </c>
      <c r="I7" s="14"/>
      <c r="J7" s="24"/>
      <c r="K7" s="24"/>
      <c r="L7" s="14"/>
      <c r="M7" s="14"/>
      <c r="N7" s="14"/>
      <c r="O7" s="14"/>
      <c r="P7" s="14"/>
      <c r="Q7" s="14"/>
      <c r="R7" s="14"/>
      <c r="S7" s="14"/>
      <c r="T7" s="14"/>
      <c r="U7" s="14"/>
      <c r="V7" s="54"/>
      <c r="W7" s="55">
        <v>500</v>
      </c>
      <c r="X7" s="56">
        <f>250+500</f>
        <v>750</v>
      </c>
      <c r="Z7" s="14">
        <f t="shared" ref="Z7:Z18" si="0">Z6+B7+C7-SUM(D7:V7)+W7-X7</f>
        <v>6702.04</v>
      </c>
    </row>
    <row r="8" spans="1:26" x14ac:dyDescent="0.25">
      <c r="A8" s="11">
        <v>45078</v>
      </c>
      <c r="B8" s="53">
        <f>4*105</f>
        <v>420</v>
      </c>
      <c r="C8" s="54">
        <v>470</v>
      </c>
      <c r="D8" s="53">
        <v>70.040000000000006</v>
      </c>
      <c r="E8" s="14">
        <v>34.299999999999997</v>
      </c>
      <c r="F8" s="14">
        <v>97</v>
      </c>
      <c r="G8" s="14">
        <v>13.25</v>
      </c>
      <c r="H8" s="14">
        <v>169</v>
      </c>
      <c r="I8" s="25">
        <f>341.72-30</f>
        <v>311.72000000000003</v>
      </c>
      <c r="J8" s="24"/>
      <c r="K8" s="14"/>
      <c r="L8" s="14"/>
      <c r="M8" s="14"/>
      <c r="N8" s="14"/>
      <c r="O8" s="14"/>
      <c r="P8" s="14"/>
      <c r="Q8" s="14"/>
      <c r="R8" s="14"/>
      <c r="S8" s="14"/>
      <c r="T8" s="14"/>
      <c r="U8" s="14"/>
      <c r="V8" s="54"/>
      <c r="W8" s="55">
        <v>500</v>
      </c>
      <c r="X8" s="56">
        <f>250+500</f>
        <v>750</v>
      </c>
      <c r="Z8" s="14">
        <f t="shared" si="0"/>
        <v>6646.73</v>
      </c>
    </row>
    <row r="9" spans="1:26" x14ac:dyDescent="0.25">
      <c r="A9" s="11">
        <v>45108</v>
      </c>
      <c r="B9" s="53">
        <f>5*105</f>
        <v>525</v>
      </c>
      <c r="C9" s="54">
        <v>470</v>
      </c>
      <c r="D9" s="53">
        <v>70.040000000000006</v>
      </c>
      <c r="E9" s="14">
        <v>34.299999999999997</v>
      </c>
      <c r="F9" s="14">
        <v>97</v>
      </c>
      <c r="G9" s="14">
        <v>13.25</v>
      </c>
      <c r="H9" s="14">
        <v>169</v>
      </c>
      <c r="I9" s="14"/>
      <c r="J9" s="24"/>
      <c r="K9" s="14"/>
      <c r="L9" s="14"/>
      <c r="M9" s="14"/>
      <c r="N9" s="14"/>
      <c r="O9" s="14"/>
      <c r="P9" s="14"/>
      <c r="Q9" s="14"/>
      <c r="R9" s="14"/>
      <c r="S9" s="14"/>
      <c r="T9" s="14"/>
      <c r="U9" s="14"/>
      <c r="V9" s="54"/>
      <c r="W9" s="55">
        <v>500</v>
      </c>
      <c r="X9" s="56">
        <f>250+500</f>
        <v>750</v>
      </c>
      <c r="Z9" s="14">
        <f t="shared" si="0"/>
        <v>7008.1399999999994</v>
      </c>
    </row>
    <row r="10" spans="1:26" x14ac:dyDescent="0.25">
      <c r="A10" s="11">
        <v>45139</v>
      </c>
      <c r="B10" s="53">
        <f>4*105</f>
        <v>420</v>
      </c>
      <c r="C10" s="54">
        <v>470</v>
      </c>
      <c r="D10" s="53">
        <v>70.040000000000006</v>
      </c>
      <c r="E10" s="14">
        <v>34.299999999999997</v>
      </c>
      <c r="F10" s="14">
        <v>97</v>
      </c>
      <c r="G10" s="14">
        <v>13.25</v>
      </c>
      <c r="H10" s="14">
        <v>169</v>
      </c>
      <c r="I10" s="14"/>
      <c r="J10" s="24"/>
      <c r="K10" s="14"/>
      <c r="L10" s="14"/>
      <c r="M10" s="14"/>
      <c r="N10" s="14"/>
      <c r="O10" s="14"/>
      <c r="P10" s="14"/>
      <c r="Q10" s="14"/>
      <c r="R10" s="14"/>
      <c r="S10" s="14"/>
      <c r="T10" s="14"/>
      <c r="U10" s="14"/>
      <c r="V10" s="54"/>
      <c r="W10" s="55">
        <v>500</v>
      </c>
      <c r="X10" s="56">
        <f t="shared" ref="X10:X17" si="1">250+500</f>
        <v>750</v>
      </c>
      <c r="Z10" s="14">
        <f t="shared" si="0"/>
        <v>7264.5499999999993</v>
      </c>
    </row>
    <row r="11" spans="1:26" x14ac:dyDescent="0.25">
      <c r="A11" s="11">
        <v>45170</v>
      </c>
      <c r="B11" s="53">
        <f>4*105</f>
        <v>420</v>
      </c>
      <c r="C11" s="54">
        <v>470</v>
      </c>
      <c r="D11" s="53">
        <v>70.040000000000006</v>
      </c>
      <c r="E11" s="14">
        <v>34.299999999999997</v>
      </c>
      <c r="F11" s="14">
        <v>97</v>
      </c>
      <c r="G11" s="14">
        <v>13.25</v>
      </c>
      <c r="H11" s="14">
        <v>169</v>
      </c>
      <c r="I11" s="24"/>
      <c r="J11" s="24"/>
      <c r="K11" s="14"/>
      <c r="L11" s="14"/>
      <c r="M11" s="14"/>
      <c r="N11" s="14"/>
      <c r="O11" s="14"/>
      <c r="P11" s="14"/>
      <c r="Q11" s="14"/>
      <c r="R11" s="14"/>
      <c r="S11" s="14"/>
      <c r="T11" s="14"/>
      <c r="U11" s="14"/>
      <c r="V11" s="54"/>
      <c r="W11" s="55">
        <v>500</v>
      </c>
      <c r="X11" s="56">
        <f t="shared" si="1"/>
        <v>750</v>
      </c>
      <c r="Z11" s="14">
        <f t="shared" si="0"/>
        <v>7520.9599999999991</v>
      </c>
    </row>
    <row r="12" spans="1:26" x14ac:dyDescent="0.25">
      <c r="A12" s="11">
        <v>45200</v>
      </c>
      <c r="B12" s="53">
        <f t="shared" ref="B12:B15" si="2">5*105</f>
        <v>525</v>
      </c>
      <c r="C12" s="54">
        <v>470</v>
      </c>
      <c r="D12" s="53">
        <v>70.040000000000006</v>
      </c>
      <c r="E12" s="14">
        <v>34.299999999999997</v>
      </c>
      <c r="F12" s="14">
        <v>97</v>
      </c>
      <c r="G12" s="14">
        <v>13.25</v>
      </c>
      <c r="H12" s="14">
        <v>169</v>
      </c>
      <c r="I12" s="14"/>
      <c r="J12" s="24"/>
      <c r="K12" s="14"/>
      <c r="L12" s="14"/>
      <c r="M12" s="14"/>
      <c r="N12" s="14"/>
      <c r="O12" s="14"/>
      <c r="P12" s="14"/>
      <c r="Q12" s="14"/>
      <c r="R12" s="14"/>
      <c r="S12" s="14"/>
      <c r="T12" s="14"/>
      <c r="U12" s="14"/>
      <c r="V12" s="54"/>
      <c r="W12" s="55">
        <v>500</v>
      </c>
      <c r="X12" s="56">
        <f t="shared" si="1"/>
        <v>750</v>
      </c>
      <c r="Z12" s="14">
        <f t="shared" si="0"/>
        <v>7882.369999999999</v>
      </c>
    </row>
    <row r="13" spans="1:26" x14ac:dyDescent="0.25">
      <c r="A13" s="11">
        <v>45231</v>
      </c>
      <c r="B13" s="53">
        <f>4*105</f>
        <v>420</v>
      </c>
      <c r="C13" s="54">
        <v>470</v>
      </c>
      <c r="D13" s="53">
        <v>70.040000000000006</v>
      </c>
      <c r="E13" s="14">
        <v>34.299999999999997</v>
      </c>
      <c r="F13" s="14">
        <v>97</v>
      </c>
      <c r="G13" s="14">
        <v>13.25</v>
      </c>
      <c r="H13" s="14">
        <v>169</v>
      </c>
      <c r="I13" s="14"/>
      <c r="J13" s="24"/>
      <c r="K13" s="14"/>
      <c r="L13" s="14"/>
      <c r="M13" s="14"/>
      <c r="N13" s="14"/>
      <c r="O13" s="14"/>
      <c r="P13" s="14"/>
      <c r="Q13" s="14"/>
      <c r="R13" s="14"/>
      <c r="S13" s="14"/>
      <c r="T13" s="14"/>
      <c r="U13" s="14"/>
      <c r="V13" s="54"/>
      <c r="W13" s="55">
        <v>500</v>
      </c>
      <c r="X13" s="56">
        <f t="shared" si="1"/>
        <v>750</v>
      </c>
      <c r="Z13" s="14">
        <f t="shared" si="0"/>
        <v>8138.7799999999988</v>
      </c>
    </row>
    <row r="14" spans="1:26" x14ac:dyDescent="0.25">
      <c r="A14" s="11">
        <v>45261</v>
      </c>
      <c r="B14" s="53">
        <f>4*105</f>
        <v>420</v>
      </c>
      <c r="C14" s="54">
        <v>470</v>
      </c>
      <c r="D14" s="53">
        <v>70.040000000000006</v>
      </c>
      <c r="E14" s="14">
        <v>34.299999999999997</v>
      </c>
      <c r="F14" s="14">
        <v>97</v>
      </c>
      <c r="G14" s="14">
        <v>13.25</v>
      </c>
      <c r="H14" s="14">
        <v>169</v>
      </c>
      <c r="I14" s="14"/>
      <c r="J14" s="24"/>
      <c r="K14" s="14"/>
      <c r="L14" s="14"/>
      <c r="M14" s="14"/>
      <c r="N14" s="14"/>
      <c r="O14" s="14"/>
      <c r="P14" s="14"/>
      <c r="Q14" s="14"/>
      <c r="R14" s="14"/>
      <c r="S14" s="14"/>
      <c r="T14" s="14"/>
      <c r="U14" s="14"/>
      <c r="V14" s="54"/>
      <c r="W14" s="55">
        <v>500</v>
      </c>
      <c r="X14" s="56">
        <f t="shared" si="1"/>
        <v>750</v>
      </c>
      <c r="Z14" s="14">
        <f t="shared" si="0"/>
        <v>8395.1899999999987</v>
      </c>
    </row>
    <row r="15" spans="1:26" x14ac:dyDescent="0.25">
      <c r="A15" s="11">
        <v>45292</v>
      </c>
      <c r="B15" s="53">
        <f t="shared" si="2"/>
        <v>525</v>
      </c>
      <c r="C15" s="54">
        <v>470</v>
      </c>
      <c r="D15" s="53">
        <v>70.040000000000006</v>
      </c>
      <c r="E15" s="14">
        <v>34.299999999999997</v>
      </c>
      <c r="F15" s="14">
        <v>97</v>
      </c>
      <c r="G15" s="14">
        <v>13.25</v>
      </c>
      <c r="H15" s="14">
        <v>169</v>
      </c>
      <c r="I15" s="14"/>
      <c r="J15" s="24"/>
      <c r="K15" s="14"/>
      <c r="L15" s="14"/>
      <c r="M15" s="14"/>
      <c r="N15" s="14"/>
      <c r="O15" s="14"/>
      <c r="P15" s="14"/>
      <c r="Q15" s="14"/>
      <c r="R15" s="14"/>
      <c r="S15" s="14"/>
      <c r="T15" s="14"/>
      <c r="U15" s="14"/>
      <c r="V15" s="54"/>
      <c r="W15" s="55">
        <f>500+116.2</f>
        <v>616.20000000000005</v>
      </c>
      <c r="X15" s="56">
        <f t="shared" si="1"/>
        <v>750</v>
      </c>
      <c r="Z15" s="14">
        <f t="shared" si="0"/>
        <v>8872.7999999999993</v>
      </c>
    </row>
    <row r="16" spans="1:26" x14ac:dyDescent="0.25">
      <c r="A16" s="11">
        <v>45323</v>
      </c>
      <c r="B16" s="53">
        <f>4*105</f>
        <v>420</v>
      </c>
      <c r="C16" s="54">
        <v>470</v>
      </c>
      <c r="D16" s="53" t="s">
        <v>177</v>
      </c>
      <c r="E16" s="14">
        <v>34.299999999999997</v>
      </c>
      <c r="F16" s="14">
        <v>97</v>
      </c>
      <c r="G16" s="14">
        <v>13.25</v>
      </c>
      <c r="I16" s="14"/>
      <c r="J16" s="24"/>
      <c r="K16" s="14"/>
      <c r="L16" s="14"/>
      <c r="M16" s="14"/>
      <c r="N16" s="14"/>
      <c r="O16" s="14"/>
      <c r="P16" s="14"/>
      <c r="Q16" s="14"/>
      <c r="R16" s="14"/>
      <c r="S16" s="14"/>
      <c r="T16" s="14"/>
      <c r="U16" s="14"/>
      <c r="V16" s="54"/>
      <c r="W16" s="55">
        <v>500</v>
      </c>
      <c r="X16" s="56">
        <f t="shared" si="1"/>
        <v>750</v>
      </c>
      <c r="Z16" s="14">
        <f t="shared" si="0"/>
        <v>9368.25</v>
      </c>
    </row>
    <row r="17" spans="1:26" x14ac:dyDescent="0.25">
      <c r="A17" s="11">
        <v>45352</v>
      </c>
      <c r="B17" s="53">
        <f>4*105</f>
        <v>420</v>
      </c>
      <c r="C17" s="54">
        <v>470</v>
      </c>
      <c r="D17" s="53"/>
      <c r="E17" s="14">
        <v>34.299999999999997</v>
      </c>
      <c r="F17" s="14">
        <v>97</v>
      </c>
      <c r="G17" s="14">
        <v>13.25</v>
      </c>
      <c r="H17" s="14"/>
      <c r="I17" s="14"/>
      <c r="J17" s="24"/>
      <c r="K17" s="14"/>
      <c r="L17" s="14"/>
      <c r="M17" s="14"/>
      <c r="N17" s="14"/>
      <c r="O17" s="14"/>
      <c r="P17" s="14"/>
      <c r="Q17" s="14"/>
      <c r="R17" s="14"/>
      <c r="S17" s="14"/>
      <c r="T17" s="14"/>
      <c r="U17" s="14"/>
      <c r="V17" s="54"/>
      <c r="W17" s="55">
        <v>500</v>
      </c>
      <c r="X17" s="56">
        <f t="shared" si="1"/>
        <v>750</v>
      </c>
      <c r="Z17" s="14">
        <f t="shared" si="0"/>
        <v>9863.7000000000007</v>
      </c>
    </row>
    <row r="18" spans="1:26" x14ac:dyDescent="0.25">
      <c r="A18" s="11">
        <v>45383</v>
      </c>
      <c r="B18" s="53">
        <v>105</v>
      </c>
      <c r="C18" s="54"/>
      <c r="D18" s="53"/>
      <c r="E18" s="14"/>
      <c r="F18" s="14"/>
      <c r="G18" s="14"/>
      <c r="H18" s="14"/>
      <c r="I18" s="14"/>
      <c r="J18" s="24"/>
      <c r="K18" s="14"/>
      <c r="L18" s="14"/>
      <c r="M18" s="14"/>
      <c r="N18" s="14"/>
      <c r="O18" s="14"/>
      <c r="P18" s="14"/>
      <c r="Q18" s="14"/>
      <c r="R18" s="14"/>
      <c r="S18" s="14"/>
      <c r="T18" s="14"/>
      <c r="U18" s="14"/>
      <c r="V18" s="54"/>
      <c r="W18" s="55"/>
      <c r="X18" s="56"/>
      <c r="Z18" s="14">
        <f t="shared" si="0"/>
        <v>9968.7000000000007</v>
      </c>
    </row>
    <row r="19" spans="1:26" x14ac:dyDescent="0.25">
      <c r="B19" s="34"/>
      <c r="C19" s="35"/>
      <c r="D19" s="34"/>
      <c r="J19" s="32">
        <f>I37</f>
        <v>439.90999999999997</v>
      </c>
      <c r="K19" s="107">
        <f>J37</f>
        <v>120</v>
      </c>
      <c r="Q19" s="110">
        <f>K37</f>
        <v>71.98</v>
      </c>
      <c r="T19" s="113">
        <f>L37</f>
        <v>54.99</v>
      </c>
      <c r="U19" s="116">
        <f>M37</f>
        <v>262.58999999999997</v>
      </c>
      <c r="V19" s="35"/>
      <c r="W19" s="39"/>
      <c r="X19" s="31"/>
      <c r="Z19" s="14">
        <f>Z18+B19+C19-SUM(D19:V19)+W19-X19</f>
        <v>9019.2300000000014</v>
      </c>
    </row>
    <row r="20" spans="1:26" ht="15.75" thickBot="1" x14ac:dyDescent="0.3">
      <c r="A20" s="2" t="s">
        <v>95</v>
      </c>
      <c r="B20" s="57">
        <f>SUM(B6:B19)</f>
        <v>5460</v>
      </c>
      <c r="C20" s="58">
        <f t="shared" ref="C20:V20" si="3">SUM(C6:C19)</f>
        <v>5640</v>
      </c>
      <c r="D20" s="121">
        <f t="shared" si="3"/>
        <v>700.37</v>
      </c>
      <c r="E20" s="59">
        <f>SUM(E6:E19)</f>
        <v>413.13000000000005</v>
      </c>
      <c r="F20" s="59">
        <f>SUM(F6:F19)</f>
        <v>1200</v>
      </c>
      <c r="G20" s="59">
        <f>SUM(G6:G19)</f>
        <v>159</v>
      </c>
      <c r="H20" s="59">
        <f>SUM(H6:H19)</f>
        <v>1686.57</v>
      </c>
      <c r="I20" s="59">
        <f t="shared" si="3"/>
        <v>311.72000000000003</v>
      </c>
      <c r="J20" s="59">
        <f t="shared" si="3"/>
        <v>439.90999999999997</v>
      </c>
      <c r="K20" s="59">
        <f t="shared" si="3"/>
        <v>120</v>
      </c>
      <c r="L20" s="59">
        <f t="shared" si="3"/>
        <v>0</v>
      </c>
      <c r="M20" s="59">
        <f t="shared" si="3"/>
        <v>0</v>
      </c>
      <c r="N20" s="59">
        <f t="shared" si="3"/>
        <v>0</v>
      </c>
      <c r="O20" s="59">
        <f t="shared" si="3"/>
        <v>0</v>
      </c>
      <c r="P20" s="59">
        <f t="shared" si="3"/>
        <v>0</v>
      </c>
      <c r="Q20" s="59">
        <f>SUM(Q6:Q19)</f>
        <v>71.98</v>
      </c>
      <c r="R20" s="59">
        <f t="shared" si="3"/>
        <v>0</v>
      </c>
      <c r="S20" s="59">
        <f t="shared" si="3"/>
        <v>0</v>
      </c>
      <c r="T20" s="59">
        <f t="shared" si="3"/>
        <v>54.99</v>
      </c>
      <c r="U20" s="59">
        <f t="shared" si="3"/>
        <v>262.58999999999997</v>
      </c>
      <c r="V20" s="58">
        <f t="shared" si="3"/>
        <v>0</v>
      </c>
      <c r="W20" s="60">
        <f t="shared" ref="W20" si="4">SUM(W6:W19)</f>
        <v>6116.2</v>
      </c>
      <c r="X20" s="61">
        <f t="shared" ref="X20" si="5">SUM(X6:X19)</f>
        <v>9000</v>
      </c>
    </row>
    <row r="22" spans="1:26" x14ac:dyDescent="0.25">
      <c r="H22" s="118" t="s">
        <v>150</v>
      </c>
      <c r="I22" s="105" t="s">
        <v>30</v>
      </c>
      <c r="J22" s="106" t="s">
        <v>151</v>
      </c>
      <c r="K22" s="109" t="s">
        <v>39</v>
      </c>
      <c r="L22" s="112" t="s">
        <v>148</v>
      </c>
      <c r="M22" s="115" t="s">
        <v>152</v>
      </c>
    </row>
    <row r="23" spans="1:26" x14ac:dyDescent="0.25">
      <c r="E23" s="4">
        <v>45023</v>
      </c>
      <c r="F23" t="s">
        <v>89</v>
      </c>
      <c r="H23" s="84">
        <v>25</v>
      </c>
      <c r="I23" s="32"/>
      <c r="J23" s="107"/>
      <c r="K23" s="110">
        <v>25</v>
      </c>
      <c r="L23" s="113"/>
      <c r="M23" s="116"/>
      <c r="N23" t="s">
        <v>128</v>
      </c>
    </row>
    <row r="24" spans="1:26" x14ac:dyDescent="0.25">
      <c r="D24" t="s">
        <v>123</v>
      </c>
      <c r="E24" s="4">
        <v>45064</v>
      </c>
      <c r="F24" s="3" t="s">
        <v>103</v>
      </c>
      <c r="H24" s="84">
        <v>262.58999999999997</v>
      </c>
      <c r="I24" s="32"/>
      <c r="J24" s="107"/>
      <c r="K24" s="110"/>
      <c r="L24" s="113"/>
      <c r="M24" s="116">
        <v>262.58999999999997</v>
      </c>
      <c r="N24" t="s">
        <v>122</v>
      </c>
    </row>
    <row r="25" spans="1:26" x14ac:dyDescent="0.25">
      <c r="E25" s="4">
        <v>45132</v>
      </c>
      <c r="F25" t="s">
        <v>104</v>
      </c>
      <c r="H25" s="84">
        <v>14.97</v>
      </c>
      <c r="I25" s="32"/>
      <c r="J25" s="107"/>
      <c r="K25" s="110">
        <v>11.98</v>
      </c>
      <c r="L25" s="113">
        <v>2.99</v>
      </c>
      <c r="M25" s="116"/>
      <c r="N25" t="s">
        <v>129</v>
      </c>
    </row>
    <row r="26" spans="1:26" x14ac:dyDescent="0.25">
      <c r="E26" s="4">
        <v>45138</v>
      </c>
      <c r="F26" t="s">
        <v>174</v>
      </c>
      <c r="H26" s="84">
        <v>80</v>
      </c>
      <c r="I26" s="32">
        <v>80</v>
      </c>
      <c r="J26" s="107"/>
      <c r="K26" s="110"/>
      <c r="L26" s="113"/>
      <c r="M26" s="116"/>
      <c r="N26" t="s">
        <v>131</v>
      </c>
    </row>
    <row r="27" spans="1:26" x14ac:dyDescent="0.25">
      <c r="E27" s="4">
        <v>45138</v>
      </c>
      <c r="F27" t="s">
        <v>174</v>
      </c>
      <c r="H27" s="84">
        <v>80</v>
      </c>
      <c r="I27" s="32">
        <v>80</v>
      </c>
      <c r="J27" s="107"/>
      <c r="K27" s="110"/>
      <c r="L27" s="113"/>
      <c r="M27" s="116"/>
      <c r="N27" t="s">
        <v>132</v>
      </c>
    </row>
    <row r="28" spans="1:26" x14ac:dyDescent="0.25">
      <c r="E28" s="4">
        <v>45187</v>
      </c>
      <c r="F28" t="s">
        <v>174</v>
      </c>
      <c r="H28" s="84">
        <v>80</v>
      </c>
      <c r="I28" s="32">
        <v>80</v>
      </c>
      <c r="J28" s="107"/>
      <c r="K28" s="110"/>
      <c r="L28" s="113"/>
      <c r="M28" s="116"/>
      <c r="N28" t="s">
        <v>133</v>
      </c>
    </row>
    <row r="29" spans="1:26" x14ac:dyDescent="0.25">
      <c r="E29" s="4">
        <v>45187</v>
      </c>
      <c r="F29" t="s">
        <v>174</v>
      </c>
      <c r="H29" s="84">
        <v>80</v>
      </c>
      <c r="I29" s="32">
        <v>80</v>
      </c>
      <c r="J29" s="107"/>
      <c r="K29" s="110"/>
      <c r="L29" s="113"/>
      <c r="M29" s="116"/>
      <c r="N29" t="s">
        <v>134</v>
      </c>
    </row>
    <row r="30" spans="1:26" x14ac:dyDescent="0.25">
      <c r="E30" s="4">
        <v>45173</v>
      </c>
      <c r="F30" t="s">
        <v>105</v>
      </c>
      <c r="H30" s="84">
        <v>40</v>
      </c>
      <c r="I30" s="32"/>
      <c r="J30" s="107"/>
      <c r="K30" s="110"/>
      <c r="L30" s="113">
        <v>40</v>
      </c>
      <c r="M30" s="116"/>
      <c r="N30" t="s">
        <v>178</v>
      </c>
    </row>
    <row r="31" spans="1:26" x14ac:dyDescent="0.25">
      <c r="E31" s="4">
        <v>45229</v>
      </c>
      <c r="F31" t="s">
        <v>175</v>
      </c>
      <c r="H31" s="84">
        <v>120</v>
      </c>
      <c r="I31" s="32"/>
      <c r="J31" s="107">
        <v>120</v>
      </c>
      <c r="K31" s="110"/>
      <c r="L31" s="113"/>
      <c r="M31" s="116"/>
      <c r="N31" t="s">
        <v>127</v>
      </c>
    </row>
    <row r="32" spans="1:26" x14ac:dyDescent="0.25">
      <c r="E32" s="4">
        <v>45314</v>
      </c>
      <c r="F32" t="s">
        <v>106</v>
      </c>
      <c r="H32" s="84">
        <v>99.91</v>
      </c>
      <c r="I32" s="32">
        <v>99.91</v>
      </c>
      <c r="J32" s="107"/>
      <c r="K32" s="110"/>
      <c r="L32" s="113"/>
      <c r="M32" s="116"/>
      <c r="N32" t="s">
        <v>126</v>
      </c>
    </row>
    <row r="33" spans="4:14" x14ac:dyDescent="0.25">
      <c r="E33" s="4">
        <v>45341</v>
      </c>
      <c r="F33" t="s">
        <v>107</v>
      </c>
      <c r="H33" s="84">
        <v>12</v>
      </c>
      <c r="I33" s="32"/>
      <c r="J33" s="107"/>
      <c r="K33" s="110"/>
      <c r="L33" s="113">
        <v>12</v>
      </c>
      <c r="M33" s="116"/>
      <c r="N33" t="s">
        <v>124</v>
      </c>
    </row>
    <row r="34" spans="4:14" x14ac:dyDescent="0.25">
      <c r="E34" s="4"/>
      <c r="F34" t="s">
        <v>149</v>
      </c>
      <c r="H34" s="84">
        <v>35</v>
      </c>
      <c r="I34" s="32"/>
      <c r="J34" s="107"/>
      <c r="K34" s="110">
        <v>35</v>
      </c>
      <c r="L34" s="113"/>
      <c r="M34" s="116"/>
    </row>
    <row r="35" spans="4:14" x14ac:dyDescent="0.25">
      <c r="E35" s="4">
        <v>45376</v>
      </c>
      <c r="F35" t="s">
        <v>176</v>
      </c>
      <c r="H35" s="84">
        <v>20</v>
      </c>
      <c r="I35" s="32">
        <v>20</v>
      </c>
      <c r="J35" s="107"/>
      <c r="K35" s="110"/>
      <c r="L35" s="113"/>
      <c r="M35" s="116"/>
      <c r="N35" t="s">
        <v>135</v>
      </c>
    </row>
    <row r="36" spans="4:14" x14ac:dyDescent="0.25">
      <c r="H36" s="14"/>
      <c r="I36" s="32"/>
      <c r="J36" s="107"/>
      <c r="K36" s="110"/>
      <c r="L36" s="113"/>
      <c r="M36" s="116"/>
    </row>
    <row r="37" spans="4:14" ht="15.75" thickBot="1" x14ac:dyDescent="0.3">
      <c r="H37" s="103">
        <f>SUM(H23:H36)</f>
        <v>949.46999999999991</v>
      </c>
      <c r="I37" s="104">
        <f>SUM(I23:I36)</f>
        <v>439.90999999999997</v>
      </c>
      <c r="J37" s="108">
        <f t="shared" ref="J37" si="6">SUM(J23:J36)</f>
        <v>120</v>
      </c>
      <c r="K37" s="111">
        <f t="shared" ref="K37" si="7">SUM(K23:K36)</f>
        <v>71.98</v>
      </c>
      <c r="L37" s="114">
        <f t="shared" ref="L37" si="8">SUM(L23:L36)</f>
        <v>54.99</v>
      </c>
      <c r="M37" s="117">
        <f t="shared" ref="M37" si="9">SUM(M23:M36)</f>
        <v>262.58999999999997</v>
      </c>
    </row>
    <row r="38" spans="4:14" ht="15.75" thickTop="1" x14ac:dyDescent="0.25">
      <c r="M38" s="14">
        <f>SUM(I37:M37)-H37</f>
        <v>0</v>
      </c>
      <c r="N38" t="s">
        <v>83</v>
      </c>
    </row>
    <row r="39" spans="4:14" x14ac:dyDescent="0.25">
      <c r="D39" s="118" t="s">
        <v>154</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20"/>
  <sheetViews>
    <sheetView showOutlineSymbols="0" showWhiteSpace="0" workbookViewId="0">
      <selection activeCell="E16" sqref="E16"/>
    </sheetView>
  </sheetViews>
  <sheetFormatPr defaultRowHeight="15" x14ac:dyDescent="0.25"/>
  <cols>
    <col min="2" max="2" width="16.140625" customWidth="1"/>
    <col min="3" max="3" width="10.85546875" customWidth="1"/>
    <col min="4" max="4" width="13" customWidth="1"/>
  </cols>
  <sheetData>
    <row r="1" spans="1:5" x14ac:dyDescent="0.25">
      <c r="A1" s="2" t="s">
        <v>125</v>
      </c>
    </row>
    <row r="2" spans="1:5" ht="15.75" thickBot="1" x14ac:dyDescent="0.3">
      <c r="A2" s="2"/>
    </row>
    <row r="3" spans="1:5" ht="15.75" thickBot="1" x14ac:dyDescent="0.3">
      <c r="B3" s="33" t="s">
        <v>165</v>
      </c>
      <c r="C3" s="19"/>
      <c r="D3" s="19"/>
      <c r="E3" s="20"/>
    </row>
    <row r="4" spans="1:5" x14ac:dyDescent="0.25">
      <c r="B4" s="96">
        <v>3</v>
      </c>
      <c r="C4" s="97">
        <v>6</v>
      </c>
      <c r="D4" s="97">
        <v>9</v>
      </c>
      <c r="E4" s="20"/>
    </row>
    <row r="5" spans="1:5" ht="15.75" thickBot="1" x14ac:dyDescent="0.3">
      <c r="B5" s="43" t="s">
        <v>30</v>
      </c>
      <c r="C5" s="29" t="s">
        <v>41</v>
      </c>
      <c r="D5" s="29" t="s">
        <v>35</v>
      </c>
      <c r="E5" s="35"/>
    </row>
    <row r="6" spans="1:5" x14ac:dyDescent="0.25">
      <c r="A6" s="11">
        <v>45017</v>
      </c>
      <c r="B6" s="98"/>
      <c r="C6" s="99"/>
      <c r="D6" s="99"/>
      <c r="E6" s="100"/>
    </row>
    <row r="7" spans="1:5" x14ac:dyDescent="0.25">
      <c r="A7" s="11">
        <v>45047</v>
      </c>
      <c r="B7" s="34"/>
      <c r="C7" s="14"/>
      <c r="D7" s="84">
        <v>12.99</v>
      </c>
      <c r="E7" s="120" t="s">
        <v>130</v>
      </c>
    </row>
    <row r="8" spans="1:5" x14ac:dyDescent="0.25">
      <c r="A8" s="11">
        <v>45078</v>
      </c>
      <c r="B8" s="53"/>
      <c r="C8" s="14"/>
      <c r="D8" s="14"/>
      <c r="E8" s="54"/>
    </row>
    <row r="9" spans="1:5" x14ac:dyDescent="0.25">
      <c r="A9" s="11">
        <v>45108</v>
      </c>
      <c r="B9" s="53"/>
      <c r="C9" s="14"/>
      <c r="D9" s="14"/>
      <c r="E9" s="54"/>
    </row>
    <row r="10" spans="1:5" x14ac:dyDescent="0.25">
      <c r="A10" s="11">
        <v>45139</v>
      </c>
      <c r="B10" s="34"/>
      <c r="C10" s="14"/>
      <c r="D10" s="84">
        <f>58.48</f>
        <v>58.48</v>
      </c>
      <c r="E10" s="120" t="s">
        <v>141</v>
      </c>
    </row>
    <row r="11" spans="1:5" x14ac:dyDescent="0.25">
      <c r="A11" s="11">
        <v>45170</v>
      </c>
      <c r="B11" s="53"/>
      <c r="C11" s="14"/>
      <c r="D11" s="14"/>
      <c r="E11" s="120" t="s">
        <v>140</v>
      </c>
    </row>
    <row r="12" spans="1:5" x14ac:dyDescent="0.25">
      <c r="A12" s="11">
        <v>45200</v>
      </c>
      <c r="B12" s="53"/>
      <c r="C12" s="14"/>
      <c r="D12" s="14"/>
      <c r="E12" s="54"/>
    </row>
    <row r="13" spans="1:5" x14ac:dyDescent="0.25">
      <c r="A13" s="11">
        <v>45231</v>
      </c>
      <c r="B13" s="53"/>
      <c r="C13" s="14"/>
      <c r="D13" s="14"/>
      <c r="E13" s="54"/>
    </row>
    <row r="14" spans="1:5" x14ac:dyDescent="0.25">
      <c r="A14" s="11">
        <v>45261</v>
      </c>
      <c r="B14" s="53"/>
      <c r="C14" s="14"/>
      <c r="D14" s="14"/>
      <c r="E14" s="54"/>
    </row>
    <row r="15" spans="1:5" x14ac:dyDescent="0.25">
      <c r="A15" s="11">
        <v>45292</v>
      </c>
      <c r="B15" s="34"/>
      <c r="C15" s="14"/>
      <c r="D15" s="84">
        <f>17.6+39.66</f>
        <v>57.26</v>
      </c>
      <c r="E15" s="120" t="s">
        <v>137</v>
      </c>
    </row>
    <row r="16" spans="1:5" x14ac:dyDescent="0.25">
      <c r="A16" s="11">
        <v>45323</v>
      </c>
      <c r="B16" s="53"/>
      <c r="C16" s="14"/>
      <c r="D16" s="14"/>
      <c r="E16" s="120" t="s">
        <v>138</v>
      </c>
    </row>
    <row r="17" spans="1:5" x14ac:dyDescent="0.25">
      <c r="A17" s="11">
        <v>45352</v>
      </c>
      <c r="B17" s="53"/>
      <c r="C17" s="14"/>
      <c r="D17" s="14"/>
      <c r="E17" s="54"/>
    </row>
    <row r="18" spans="1:5" x14ac:dyDescent="0.25">
      <c r="A18" s="11">
        <v>45383</v>
      </c>
      <c r="B18" s="53"/>
      <c r="C18" s="14"/>
      <c r="D18" s="14"/>
      <c r="E18" s="54"/>
    </row>
    <row r="19" spans="1:5" ht="15.75" thickBot="1" x14ac:dyDescent="0.3">
      <c r="B19" s="101"/>
      <c r="C19" s="22"/>
      <c r="D19" s="22"/>
      <c r="E19" s="23"/>
    </row>
    <row r="20" spans="1:5" ht="15.75" thickBot="1" x14ac:dyDescent="0.3">
      <c r="A20" s="2" t="s">
        <v>95</v>
      </c>
      <c r="B20" s="93">
        <f t="shared" ref="B20:E20" si="0">SUM(B6:B19)</f>
        <v>0</v>
      </c>
      <c r="C20" s="94">
        <f>SUM(C6:C19)</f>
        <v>0</v>
      </c>
      <c r="D20" s="94">
        <f t="shared" si="0"/>
        <v>128.72999999999999</v>
      </c>
      <c r="E20" s="95">
        <f t="shared" si="0"/>
        <v>0</v>
      </c>
    </row>
  </sheetData>
  <phoneticPr fontId="1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b o S X V U H G a Z q l A A A A 9 g A A A B I A H A B D b 2 5 m a W c v U G F j a 2 F n Z S 5 4 b W w g o h g A K K A U A A A A A A A A A A A A A A A A A A A A A A A A A A A A h Y 9 L C s I w G I S v U r J v X o J I S V P Q h R s L g i B u Q x r b Y P t X m t T 0 b i 4 8 k l e w o l V 3 L m f m G 5 i 5 X 2 8 i G 5 o 6 u p j O 2 R Z S x D B F k Q H d F h b K F P X + G C 9 Q J s V W 6 Z M q T T T C 4 J L B 2 R R V 3 p 8 T Q k I I O M x w 2 5 W E U 8 r I I d / s d G U a F V t w X o E 2 6 N M q / r e Q F P v X G M k x Y w z P K c d U k M k U u Y U v w M e 9 z / T H F K u + 9 n 1 n p I F 4 v R R k k o K 8 P 8 g H U E s D B B Q A A g A I A G 6 E l 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h J d V K I p H u A 4 A A A A R A A A A E w A c A E Z v c m 1 1 b G F z L 1 N l Y 3 R p b 2 4 x L m 0 g o h g A K K A U A A A A A A A A A A A A A A A A A A A A A A A A A A A A K 0 5 N L s n M z 1 M I h t C G 1 g B Q S w E C L Q A U A A I A C A B u h J d V Q c Z p m q U A A A D 2 A A A A E g A A A A A A A A A A A A A A A A A A A A A A Q 2 9 u Z m l n L 1 B h Y 2 t h Z 2 U u e G 1 s U E s B A i 0 A F A A C A A g A b o S X V Q / K 6 a u k A A A A 6 Q A A A B M A A A A A A A A A A A A A A A A A 8 Q A A A F t D b 2 5 0 Z W 5 0 X 1 R 5 c G V z X S 5 4 b W x Q S w E C L Q A U A A I A C A B u h J d V 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4 4 k 9 / x t h 0 6 y / p x z n l 8 o P Q A A A A A C A A A A A A A D Z g A A w A A A A B A A A A D e 2 V b q 5 6 + p L v f p F s L H 2 f O G A A A A A A S A A A C g A A A A E A A A A A G Y W F 1 T w k i h D u v P 5 J Z E M F l Q A A A A a X V 9 W m C G + D s 6 N q X h i I j M 8 u o T U H i I M T E W F n f + r p I t n C H S u t i N k 3 n l 7 Q D 3 w O n R J K c V G 2 D a L P N H j u q z f Q T A s 7 T k h l c g s E + w M y m M N u T i m 9 X W y A w U A A A A v f t X Q w v A B a 0 L t Z 0 d 1 / / b 6 n z 1 R 3 g = < / D a t a M a s h u p > 
</file>

<file path=customXml/itemProps1.xml><?xml version="1.0" encoding="utf-8"?>
<ds:datastoreItem xmlns:ds="http://schemas.openxmlformats.org/officeDocument/2006/customXml" ds:itemID="{F7D4DD0B-2007-48C6-9B58-25731CC9F8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oveview</vt:lpstr>
      <vt:lpstr>Compare yr to yr</vt:lpstr>
      <vt:lpstr>ready to TaxCalc</vt:lpstr>
      <vt:lpstr>Summary tables</vt:lpstr>
      <vt:lpstr>WS Halifax</vt:lpstr>
      <vt:lpstr>WS Cash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Viktoriya Cherevko</dc:creator>
  <cp:lastModifiedBy>Viktoriya Cherevko</cp:lastModifiedBy>
  <dcterms:created xsi:type="dcterms:W3CDTF">2022-12-23T15:32:28Z</dcterms:created>
  <dcterms:modified xsi:type="dcterms:W3CDTF">2024-11-28T10:59:01Z</dcterms:modified>
</cp:coreProperties>
</file>